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E84D3779-9738-4893-92CC-7CE06165E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SAR &amp; ESP" sheetId="3" r:id="rId2"/>
    <sheet name="Coorelation EC &amp; ESP" sheetId="4" r:id="rId3"/>
  </sheets>
  <definedNames>
    <definedName name="_xlnm._FilterDatabase" localSheetId="0" hidden="1">Feuil1!$A$1:$AX$438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" i="1" l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339" i="1"/>
  <c r="P2" i="3"/>
  <c r="V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2" i="3"/>
  <c r="R3" i="3" l="1"/>
  <c r="V3" i="3" s="1"/>
  <c r="W3" i="3" s="1"/>
  <c r="R4" i="3"/>
  <c r="V4" i="3" s="1"/>
  <c r="W4" i="3" s="1"/>
  <c r="R5" i="3"/>
  <c r="V5" i="3" s="1"/>
  <c r="W5" i="3" s="1"/>
  <c r="R6" i="3"/>
  <c r="V6" i="3" s="1"/>
  <c r="W6" i="3" s="1"/>
  <c r="R7" i="3"/>
  <c r="V7" i="3" s="1"/>
  <c r="W7" i="3" s="1"/>
  <c r="R8" i="3"/>
  <c r="V8" i="3" s="1"/>
  <c r="W8" i="3" s="1"/>
  <c r="R9" i="3"/>
  <c r="V9" i="3" s="1"/>
  <c r="W9" i="3" s="1"/>
  <c r="R10" i="3"/>
  <c r="V10" i="3" s="1"/>
  <c r="W10" i="3" s="1"/>
  <c r="R11" i="3"/>
  <c r="V11" i="3" s="1"/>
  <c r="W11" i="3" s="1"/>
  <c r="R12" i="3"/>
  <c r="V12" i="3" s="1"/>
  <c r="W12" i="3" s="1"/>
  <c r="R13" i="3"/>
  <c r="V13" i="3" s="1"/>
  <c r="W13" i="3" s="1"/>
  <c r="R14" i="3"/>
  <c r="V14" i="3" s="1"/>
  <c r="W14" i="3" s="1"/>
  <c r="R15" i="3"/>
  <c r="V15" i="3" s="1"/>
  <c r="W15" i="3" s="1"/>
  <c r="R16" i="3"/>
  <c r="V16" i="3" s="1"/>
  <c r="W16" i="3" s="1"/>
  <c r="R17" i="3"/>
  <c r="V17" i="3" s="1"/>
  <c r="W17" i="3" s="1"/>
  <c r="R18" i="3"/>
  <c r="V18" i="3" s="1"/>
  <c r="W18" i="3" s="1"/>
  <c r="R19" i="3"/>
  <c r="V19" i="3" s="1"/>
  <c r="W19" i="3" s="1"/>
  <c r="R20" i="3"/>
  <c r="V20" i="3" s="1"/>
  <c r="W20" i="3" s="1"/>
  <c r="R21" i="3"/>
  <c r="V21" i="3" s="1"/>
  <c r="W21" i="3" s="1"/>
  <c r="R22" i="3"/>
  <c r="V22" i="3" s="1"/>
  <c r="W22" i="3" s="1"/>
  <c r="R23" i="3"/>
  <c r="V23" i="3" s="1"/>
  <c r="W23" i="3" s="1"/>
  <c r="R24" i="3"/>
  <c r="V24" i="3" s="1"/>
  <c r="W24" i="3" s="1"/>
  <c r="R25" i="3"/>
  <c r="V25" i="3" s="1"/>
  <c r="W25" i="3" s="1"/>
  <c r="R26" i="3"/>
  <c r="V26" i="3" s="1"/>
  <c r="W26" i="3" s="1"/>
  <c r="R27" i="3"/>
  <c r="V27" i="3" s="1"/>
  <c r="W27" i="3" s="1"/>
  <c r="R28" i="3"/>
  <c r="V28" i="3" s="1"/>
  <c r="W28" i="3" s="1"/>
  <c r="R29" i="3"/>
  <c r="V29" i="3" s="1"/>
  <c r="W29" i="3" s="1"/>
  <c r="R30" i="3"/>
  <c r="V30" i="3" s="1"/>
  <c r="W30" i="3" s="1"/>
  <c r="R31" i="3"/>
  <c r="V31" i="3" s="1"/>
  <c r="W31" i="3" s="1"/>
  <c r="R32" i="3"/>
  <c r="V32" i="3" s="1"/>
  <c r="W32" i="3" s="1"/>
  <c r="R33" i="3"/>
  <c r="V33" i="3" s="1"/>
  <c r="W33" i="3" s="1"/>
  <c r="R34" i="3"/>
  <c r="V34" i="3" s="1"/>
  <c r="W34" i="3" s="1"/>
  <c r="R35" i="3"/>
  <c r="V35" i="3" s="1"/>
  <c r="W35" i="3" s="1"/>
  <c r="R36" i="3"/>
  <c r="V36" i="3" s="1"/>
  <c r="W36" i="3" s="1"/>
  <c r="R37" i="3"/>
  <c r="V37" i="3" s="1"/>
  <c r="W37" i="3" s="1"/>
  <c r="R38" i="3"/>
  <c r="V38" i="3" s="1"/>
  <c r="W38" i="3" s="1"/>
  <c r="R39" i="3"/>
  <c r="V39" i="3" s="1"/>
  <c r="W39" i="3" s="1"/>
  <c r="R40" i="3"/>
  <c r="V40" i="3" s="1"/>
  <c r="W40" i="3" s="1"/>
  <c r="R41" i="3"/>
  <c r="V41" i="3" s="1"/>
  <c r="W41" i="3" s="1"/>
  <c r="R42" i="3"/>
  <c r="V42" i="3" s="1"/>
  <c r="W42" i="3" s="1"/>
  <c r="R43" i="3"/>
  <c r="V43" i="3" s="1"/>
  <c r="W43" i="3" s="1"/>
  <c r="R44" i="3"/>
  <c r="V44" i="3" s="1"/>
  <c r="W44" i="3" s="1"/>
  <c r="R45" i="3"/>
  <c r="V45" i="3" s="1"/>
  <c r="W45" i="3" s="1"/>
  <c r="R46" i="3"/>
  <c r="V46" i="3" s="1"/>
  <c r="W46" i="3" s="1"/>
  <c r="R47" i="3"/>
  <c r="V47" i="3" s="1"/>
  <c r="W47" i="3" s="1"/>
  <c r="R48" i="3"/>
  <c r="V48" i="3" s="1"/>
  <c r="W48" i="3" s="1"/>
  <c r="R49" i="3"/>
  <c r="V49" i="3" s="1"/>
  <c r="W49" i="3" s="1"/>
  <c r="R50" i="3"/>
  <c r="V50" i="3" s="1"/>
  <c r="W50" i="3" s="1"/>
  <c r="R51" i="3"/>
  <c r="V51" i="3" s="1"/>
  <c r="W51" i="3" s="1"/>
  <c r="R52" i="3"/>
  <c r="V52" i="3" s="1"/>
  <c r="W52" i="3" s="1"/>
  <c r="R53" i="3"/>
  <c r="V53" i="3" s="1"/>
  <c r="W53" i="3" s="1"/>
  <c r="R54" i="3"/>
  <c r="V54" i="3" s="1"/>
  <c r="W54" i="3" s="1"/>
  <c r="R55" i="3"/>
  <c r="V55" i="3" s="1"/>
  <c r="W55" i="3" s="1"/>
  <c r="R56" i="3"/>
  <c r="V56" i="3" s="1"/>
  <c r="W56" i="3" s="1"/>
  <c r="R57" i="3"/>
  <c r="V57" i="3" s="1"/>
  <c r="W57" i="3" s="1"/>
  <c r="R58" i="3"/>
  <c r="V58" i="3" s="1"/>
  <c r="W58" i="3" s="1"/>
  <c r="R59" i="3"/>
  <c r="V59" i="3" s="1"/>
  <c r="W59" i="3" s="1"/>
  <c r="R60" i="3"/>
  <c r="V60" i="3" s="1"/>
  <c r="W60" i="3" s="1"/>
  <c r="R61" i="3"/>
  <c r="V61" i="3" s="1"/>
  <c r="W61" i="3" s="1"/>
  <c r="R62" i="3"/>
  <c r="V62" i="3" s="1"/>
  <c r="W62" i="3" s="1"/>
  <c r="R63" i="3"/>
  <c r="V63" i="3" s="1"/>
  <c r="W63" i="3" s="1"/>
  <c r="R64" i="3"/>
  <c r="V64" i="3" s="1"/>
  <c r="W64" i="3" s="1"/>
  <c r="R65" i="3"/>
  <c r="V65" i="3" s="1"/>
  <c r="W65" i="3" s="1"/>
  <c r="R66" i="3"/>
  <c r="V66" i="3" s="1"/>
  <c r="W66" i="3" s="1"/>
  <c r="R67" i="3"/>
  <c r="V67" i="3" s="1"/>
  <c r="W67" i="3" s="1"/>
  <c r="R68" i="3"/>
  <c r="V68" i="3" s="1"/>
  <c r="W68" i="3" s="1"/>
  <c r="R69" i="3"/>
  <c r="V69" i="3" s="1"/>
  <c r="W69" i="3" s="1"/>
  <c r="R70" i="3"/>
  <c r="V70" i="3" s="1"/>
  <c r="W70" i="3" s="1"/>
  <c r="R71" i="3"/>
  <c r="V71" i="3" s="1"/>
  <c r="W71" i="3" s="1"/>
  <c r="R72" i="3"/>
  <c r="V72" i="3" s="1"/>
  <c r="W72" i="3" s="1"/>
  <c r="R73" i="3"/>
  <c r="V73" i="3" s="1"/>
  <c r="W73" i="3" s="1"/>
  <c r="R74" i="3"/>
  <c r="V74" i="3" s="1"/>
  <c r="W74" i="3" s="1"/>
  <c r="R75" i="3"/>
  <c r="V75" i="3" s="1"/>
  <c r="W75" i="3" s="1"/>
  <c r="R76" i="3"/>
  <c r="V76" i="3" s="1"/>
  <c r="W76" i="3" s="1"/>
  <c r="R77" i="3"/>
  <c r="V77" i="3" s="1"/>
  <c r="W77" i="3" s="1"/>
  <c r="R78" i="3"/>
  <c r="V78" i="3" s="1"/>
  <c r="W78" i="3" s="1"/>
  <c r="R79" i="3"/>
  <c r="V79" i="3" s="1"/>
  <c r="W79" i="3" s="1"/>
  <c r="R80" i="3"/>
  <c r="V80" i="3" s="1"/>
  <c r="W80" i="3" s="1"/>
  <c r="R81" i="3"/>
  <c r="V81" i="3" s="1"/>
  <c r="W81" i="3" s="1"/>
  <c r="R82" i="3"/>
  <c r="V82" i="3" s="1"/>
  <c r="W82" i="3" s="1"/>
  <c r="R83" i="3"/>
  <c r="V83" i="3" s="1"/>
  <c r="W83" i="3" s="1"/>
  <c r="R84" i="3"/>
  <c r="V84" i="3" s="1"/>
  <c r="W84" i="3" s="1"/>
  <c r="R85" i="3"/>
  <c r="V85" i="3" s="1"/>
  <c r="W85" i="3" s="1"/>
  <c r="R86" i="3"/>
  <c r="V86" i="3" s="1"/>
  <c r="W86" i="3" s="1"/>
  <c r="R87" i="3"/>
  <c r="V87" i="3" s="1"/>
  <c r="W87" i="3" s="1"/>
  <c r="R88" i="3"/>
  <c r="V88" i="3" s="1"/>
  <c r="W88" i="3" s="1"/>
  <c r="R89" i="3"/>
  <c r="V89" i="3" s="1"/>
  <c r="W89" i="3" s="1"/>
  <c r="R90" i="3"/>
  <c r="V90" i="3" s="1"/>
  <c r="W90" i="3" s="1"/>
  <c r="R91" i="3"/>
  <c r="V91" i="3" s="1"/>
  <c r="W91" i="3" s="1"/>
  <c r="R92" i="3"/>
  <c r="V92" i="3" s="1"/>
  <c r="W92" i="3" s="1"/>
  <c r="R93" i="3"/>
  <c r="V93" i="3" s="1"/>
  <c r="W93" i="3" s="1"/>
  <c r="R94" i="3"/>
  <c r="V94" i="3" s="1"/>
  <c r="W94" i="3" s="1"/>
  <c r="R95" i="3"/>
  <c r="V95" i="3" s="1"/>
  <c r="W95" i="3" s="1"/>
  <c r="R96" i="3"/>
  <c r="V96" i="3" s="1"/>
  <c r="W96" i="3" s="1"/>
  <c r="R97" i="3"/>
  <c r="V97" i="3" s="1"/>
  <c r="W97" i="3" s="1"/>
  <c r="R98" i="3"/>
  <c r="V98" i="3" s="1"/>
  <c r="W98" i="3" s="1"/>
  <c r="R99" i="3"/>
  <c r="V99" i="3" s="1"/>
  <c r="W99" i="3" s="1"/>
  <c r="R100" i="3"/>
  <c r="V100" i="3" s="1"/>
  <c r="W100" i="3" s="1"/>
  <c r="R101" i="3"/>
  <c r="V101" i="3" s="1"/>
  <c r="W101" i="3" s="1"/>
  <c r="R102" i="3"/>
  <c r="V102" i="3" s="1"/>
  <c r="W102" i="3" s="1"/>
  <c r="R103" i="3"/>
  <c r="V103" i="3" s="1"/>
  <c r="W103" i="3" s="1"/>
  <c r="R104" i="3"/>
  <c r="V104" i="3" s="1"/>
  <c r="W104" i="3" s="1"/>
  <c r="R105" i="3"/>
  <c r="V105" i="3" s="1"/>
  <c r="W105" i="3" s="1"/>
  <c r="R106" i="3"/>
  <c r="V106" i="3" s="1"/>
  <c r="W106" i="3" s="1"/>
  <c r="R107" i="3"/>
  <c r="V107" i="3" s="1"/>
  <c r="W107" i="3" s="1"/>
  <c r="R108" i="3"/>
  <c r="V108" i="3" s="1"/>
  <c r="W108" i="3" s="1"/>
  <c r="R109" i="3"/>
  <c r="V109" i="3" s="1"/>
  <c r="W109" i="3" s="1"/>
  <c r="R110" i="3"/>
  <c r="V110" i="3" s="1"/>
  <c r="W110" i="3" s="1"/>
  <c r="R111" i="3"/>
  <c r="V111" i="3" s="1"/>
  <c r="W111" i="3" s="1"/>
  <c r="R112" i="3"/>
  <c r="V112" i="3" s="1"/>
  <c r="W112" i="3" s="1"/>
  <c r="R113" i="3"/>
  <c r="V113" i="3" s="1"/>
  <c r="W113" i="3" s="1"/>
  <c r="R114" i="3"/>
  <c r="V114" i="3" s="1"/>
  <c r="W114" i="3" s="1"/>
  <c r="R115" i="3"/>
  <c r="V115" i="3" s="1"/>
  <c r="W115" i="3" s="1"/>
  <c r="R116" i="3"/>
  <c r="V116" i="3" s="1"/>
  <c r="W116" i="3" s="1"/>
  <c r="R117" i="3"/>
  <c r="V117" i="3" s="1"/>
  <c r="W117" i="3" s="1"/>
  <c r="R118" i="3"/>
  <c r="V118" i="3" s="1"/>
  <c r="W118" i="3" s="1"/>
  <c r="R119" i="3"/>
  <c r="V119" i="3" s="1"/>
  <c r="W119" i="3" s="1"/>
  <c r="R120" i="3"/>
  <c r="V120" i="3" s="1"/>
  <c r="W120" i="3" s="1"/>
  <c r="R121" i="3"/>
  <c r="V121" i="3" s="1"/>
  <c r="W121" i="3" s="1"/>
  <c r="R122" i="3"/>
  <c r="V122" i="3" s="1"/>
  <c r="W122" i="3" s="1"/>
  <c r="R123" i="3"/>
  <c r="V123" i="3" s="1"/>
  <c r="W123" i="3" s="1"/>
  <c r="R124" i="3"/>
  <c r="V124" i="3" s="1"/>
  <c r="W124" i="3" s="1"/>
  <c r="R125" i="3"/>
  <c r="V125" i="3" s="1"/>
  <c r="W125" i="3" s="1"/>
  <c r="R126" i="3"/>
  <c r="V126" i="3" s="1"/>
  <c r="W126" i="3" s="1"/>
  <c r="R127" i="3"/>
  <c r="V127" i="3" s="1"/>
  <c r="W127" i="3" s="1"/>
  <c r="R128" i="3"/>
  <c r="V128" i="3" s="1"/>
  <c r="W128" i="3" s="1"/>
  <c r="R129" i="3"/>
  <c r="V129" i="3" s="1"/>
  <c r="W129" i="3" s="1"/>
  <c r="R130" i="3"/>
  <c r="V130" i="3" s="1"/>
  <c r="W130" i="3" s="1"/>
  <c r="R131" i="3"/>
  <c r="V131" i="3" s="1"/>
  <c r="W131" i="3" s="1"/>
  <c r="R132" i="3"/>
  <c r="V132" i="3" s="1"/>
  <c r="W132" i="3" s="1"/>
  <c r="R133" i="3"/>
  <c r="V133" i="3" s="1"/>
  <c r="W133" i="3" s="1"/>
  <c r="R134" i="3"/>
  <c r="V134" i="3" s="1"/>
  <c r="W134" i="3" s="1"/>
  <c r="R135" i="3"/>
  <c r="V135" i="3" s="1"/>
  <c r="W135" i="3" s="1"/>
  <c r="R136" i="3"/>
  <c r="V136" i="3" s="1"/>
  <c r="W136" i="3" s="1"/>
  <c r="R137" i="3"/>
  <c r="V137" i="3" s="1"/>
  <c r="W137" i="3" s="1"/>
  <c r="R138" i="3"/>
  <c r="V138" i="3" s="1"/>
  <c r="W138" i="3" s="1"/>
  <c r="R139" i="3"/>
  <c r="V139" i="3" s="1"/>
  <c r="W139" i="3" s="1"/>
  <c r="R140" i="3"/>
  <c r="V140" i="3" s="1"/>
  <c r="W140" i="3" s="1"/>
  <c r="R141" i="3"/>
  <c r="V141" i="3" s="1"/>
  <c r="W141" i="3" s="1"/>
  <c r="R142" i="3"/>
  <c r="V142" i="3" s="1"/>
  <c r="W142" i="3" s="1"/>
  <c r="R143" i="3"/>
  <c r="V143" i="3" s="1"/>
  <c r="W143" i="3" s="1"/>
  <c r="R144" i="3"/>
  <c r="V144" i="3" s="1"/>
  <c r="W144" i="3" s="1"/>
  <c r="R145" i="3"/>
  <c r="V145" i="3" s="1"/>
  <c r="W145" i="3" s="1"/>
  <c r="R146" i="3"/>
  <c r="V146" i="3" s="1"/>
  <c r="W146" i="3" s="1"/>
  <c r="R147" i="3"/>
  <c r="V147" i="3" s="1"/>
  <c r="W147" i="3" s="1"/>
  <c r="R148" i="3"/>
  <c r="V148" i="3" s="1"/>
  <c r="W148" i="3" s="1"/>
  <c r="R149" i="3"/>
  <c r="V149" i="3" s="1"/>
  <c r="W149" i="3" s="1"/>
  <c r="R150" i="3"/>
  <c r="V150" i="3" s="1"/>
  <c r="W150" i="3" s="1"/>
  <c r="R151" i="3"/>
  <c r="V151" i="3" s="1"/>
  <c r="W151" i="3" s="1"/>
  <c r="R152" i="3"/>
  <c r="V152" i="3" s="1"/>
  <c r="W152" i="3" s="1"/>
  <c r="R153" i="3"/>
  <c r="V153" i="3" s="1"/>
  <c r="W153" i="3" s="1"/>
  <c r="R154" i="3"/>
  <c r="V154" i="3" s="1"/>
  <c r="W154" i="3" s="1"/>
  <c r="R155" i="3"/>
  <c r="V155" i="3" s="1"/>
  <c r="W155" i="3" s="1"/>
  <c r="R156" i="3"/>
  <c r="V156" i="3" s="1"/>
  <c r="W156" i="3" s="1"/>
  <c r="R157" i="3"/>
  <c r="V157" i="3" s="1"/>
  <c r="W157" i="3" s="1"/>
  <c r="R158" i="3"/>
  <c r="V158" i="3" s="1"/>
  <c r="W158" i="3" s="1"/>
  <c r="R159" i="3"/>
  <c r="V159" i="3" s="1"/>
  <c r="W159" i="3" s="1"/>
  <c r="R160" i="3"/>
  <c r="V160" i="3" s="1"/>
  <c r="W160" i="3" s="1"/>
  <c r="R161" i="3"/>
  <c r="V161" i="3" s="1"/>
  <c r="W161" i="3" s="1"/>
  <c r="R162" i="3"/>
  <c r="V162" i="3" s="1"/>
  <c r="W162" i="3" s="1"/>
  <c r="R163" i="3"/>
  <c r="V163" i="3" s="1"/>
  <c r="W163" i="3" s="1"/>
  <c r="R164" i="3"/>
  <c r="V164" i="3" s="1"/>
  <c r="W164" i="3" s="1"/>
  <c r="R165" i="3"/>
  <c r="V165" i="3" s="1"/>
  <c r="W165" i="3" s="1"/>
  <c r="R166" i="3"/>
  <c r="V166" i="3" s="1"/>
  <c r="W166" i="3" s="1"/>
  <c r="R167" i="3"/>
  <c r="V167" i="3" s="1"/>
  <c r="W167" i="3" s="1"/>
  <c r="R168" i="3"/>
  <c r="V168" i="3" s="1"/>
  <c r="W168" i="3" s="1"/>
  <c r="R169" i="3"/>
  <c r="V169" i="3" s="1"/>
  <c r="W169" i="3" s="1"/>
  <c r="R170" i="3"/>
  <c r="V170" i="3" s="1"/>
  <c r="W170" i="3" s="1"/>
  <c r="R171" i="3"/>
  <c r="V171" i="3" s="1"/>
  <c r="W171" i="3" s="1"/>
  <c r="R172" i="3"/>
  <c r="V172" i="3" s="1"/>
  <c r="W172" i="3" s="1"/>
  <c r="R173" i="3"/>
  <c r="V173" i="3" s="1"/>
  <c r="W173" i="3" s="1"/>
  <c r="R174" i="3"/>
  <c r="V174" i="3" s="1"/>
  <c r="W174" i="3" s="1"/>
  <c r="R175" i="3"/>
  <c r="V175" i="3" s="1"/>
  <c r="W175" i="3" s="1"/>
  <c r="R176" i="3"/>
  <c r="V176" i="3" s="1"/>
  <c r="W176" i="3" s="1"/>
  <c r="R177" i="3"/>
  <c r="V177" i="3" s="1"/>
  <c r="W177" i="3" s="1"/>
  <c r="R178" i="3"/>
  <c r="V178" i="3" s="1"/>
  <c r="W178" i="3" s="1"/>
  <c r="R179" i="3"/>
  <c r="V179" i="3" s="1"/>
  <c r="W179" i="3" s="1"/>
  <c r="R180" i="3"/>
  <c r="V180" i="3" s="1"/>
  <c r="W180" i="3" s="1"/>
  <c r="R181" i="3"/>
  <c r="V181" i="3" s="1"/>
  <c r="W181" i="3" s="1"/>
  <c r="R182" i="3"/>
  <c r="V182" i="3" s="1"/>
  <c r="W182" i="3" s="1"/>
  <c r="R183" i="3"/>
  <c r="V183" i="3" s="1"/>
  <c r="W183" i="3" s="1"/>
  <c r="R184" i="3"/>
  <c r="V184" i="3" s="1"/>
  <c r="W184" i="3" s="1"/>
  <c r="R185" i="3"/>
  <c r="V185" i="3" s="1"/>
  <c r="W185" i="3" s="1"/>
  <c r="R186" i="3"/>
  <c r="V186" i="3" s="1"/>
  <c r="W186" i="3" s="1"/>
  <c r="R187" i="3"/>
  <c r="V187" i="3" s="1"/>
  <c r="W187" i="3" s="1"/>
  <c r="R188" i="3"/>
  <c r="V188" i="3" s="1"/>
  <c r="W188" i="3" s="1"/>
  <c r="R189" i="3"/>
  <c r="V189" i="3" s="1"/>
  <c r="W189" i="3" s="1"/>
  <c r="R190" i="3"/>
  <c r="V190" i="3" s="1"/>
  <c r="W190" i="3" s="1"/>
  <c r="R191" i="3"/>
  <c r="V191" i="3" s="1"/>
  <c r="W191" i="3" s="1"/>
  <c r="R192" i="3"/>
  <c r="V192" i="3" s="1"/>
  <c r="W192" i="3" s="1"/>
  <c r="R193" i="3"/>
  <c r="V193" i="3" s="1"/>
  <c r="W193" i="3" s="1"/>
  <c r="R194" i="3"/>
  <c r="V194" i="3" s="1"/>
  <c r="W194" i="3" s="1"/>
  <c r="R195" i="3"/>
  <c r="V195" i="3" s="1"/>
  <c r="W195" i="3" s="1"/>
  <c r="R196" i="3"/>
  <c r="V196" i="3" s="1"/>
  <c r="W196" i="3" s="1"/>
  <c r="R197" i="3"/>
  <c r="V197" i="3" s="1"/>
  <c r="W197" i="3" s="1"/>
  <c r="R198" i="3"/>
  <c r="V198" i="3" s="1"/>
  <c r="W198" i="3" s="1"/>
  <c r="R199" i="3"/>
  <c r="V199" i="3" s="1"/>
  <c r="W199" i="3" s="1"/>
  <c r="R200" i="3"/>
  <c r="V200" i="3" s="1"/>
  <c r="W200" i="3" s="1"/>
  <c r="R201" i="3"/>
  <c r="V201" i="3" s="1"/>
  <c r="W201" i="3" s="1"/>
  <c r="R202" i="3"/>
  <c r="V202" i="3" s="1"/>
  <c r="W202" i="3" s="1"/>
  <c r="R203" i="3"/>
  <c r="V203" i="3" s="1"/>
  <c r="W203" i="3" s="1"/>
  <c r="R204" i="3"/>
  <c r="V204" i="3" s="1"/>
  <c r="W204" i="3" s="1"/>
  <c r="R205" i="3"/>
  <c r="V205" i="3" s="1"/>
  <c r="W205" i="3" s="1"/>
  <c r="R206" i="3"/>
  <c r="V206" i="3" s="1"/>
  <c r="W206" i="3" s="1"/>
  <c r="R207" i="3"/>
  <c r="V207" i="3" s="1"/>
  <c r="W207" i="3" s="1"/>
  <c r="R208" i="3"/>
  <c r="V208" i="3" s="1"/>
  <c r="W208" i="3" s="1"/>
  <c r="R209" i="3"/>
  <c r="V209" i="3" s="1"/>
  <c r="W209" i="3" s="1"/>
  <c r="R210" i="3"/>
  <c r="V210" i="3" s="1"/>
  <c r="W210" i="3" s="1"/>
  <c r="R211" i="3"/>
  <c r="V211" i="3" s="1"/>
  <c r="W211" i="3" s="1"/>
  <c r="R212" i="3"/>
  <c r="V212" i="3" s="1"/>
  <c r="W212" i="3" s="1"/>
  <c r="R213" i="3"/>
  <c r="V213" i="3" s="1"/>
  <c r="W213" i="3" s="1"/>
  <c r="R214" i="3"/>
  <c r="V214" i="3" s="1"/>
  <c r="W214" i="3" s="1"/>
  <c r="R215" i="3"/>
  <c r="V215" i="3" s="1"/>
  <c r="W215" i="3" s="1"/>
  <c r="R216" i="3"/>
  <c r="V216" i="3" s="1"/>
  <c r="W216" i="3" s="1"/>
  <c r="R217" i="3"/>
  <c r="V217" i="3" s="1"/>
  <c r="W217" i="3" s="1"/>
  <c r="R218" i="3"/>
  <c r="V218" i="3" s="1"/>
  <c r="W218" i="3" s="1"/>
  <c r="R219" i="3"/>
  <c r="V219" i="3" s="1"/>
  <c r="W219" i="3" s="1"/>
  <c r="R220" i="3"/>
  <c r="V220" i="3" s="1"/>
  <c r="W220" i="3" s="1"/>
  <c r="R221" i="3"/>
  <c r="V221" i="3" s="1"/>
  <c r="W221" i="3" s="1"/>
  <c r="R222" i="3"/>
  <c r="V222" i="3" s="1"/>
  <c r="W222" i="3" s="1"/>
  <c r="R223" i="3"/>
  <c r="V223" i="3" s="1"/>
  <c r="W223" i="3" s="1"/>
  <c r="R224" i="3"/>
  <c r="V224" i="3" s="1"/>
  <c r="W224" i="3" s="1"/>
  <c r="R225" i="3"/>
  <c r="V225" i="3" s="1"/>
  <c r="W225" i="3" s="1"/>
  <c r="R226" i="3"/>
  <c r="V226" i="3" s="1"/>
  <c r="W226" i="3" s="1"/>
  <c r="R227" i="3"/>
  <c r="V227" i="3" s="1"/>
  <c r="W227" i="3" s="1"/>
  <c r="R228" i="3"/>
  <c r="V228" i="3" s="1"/>
  <c r="W228" i="3" s="1"/>
  <c r="R229" i="3"/>
  <c r="V229" i="3" s="1"/>
  <c r="W229" i="3" s="1"/>
  <c r="R230" i="3"/>
  <c r="V230" i="3" s="1"/>
  <c r="W230" i="3" s="1"/>
  <c r="R231" i="3"/>
  <c r="V231" i="3" s="1"/>
  <c r="W231" i="3" s="1"/>
  <c r="R232" i="3"/>
  <c r="V232" i="3" s="1"/>
  <c r="W232" i="3" s="1"/>
  <c r="R233" i="3"/>
  <c r="V233" i="3" s="1"/>
  <c r="W233" i="3" s="1"/>
  <c r="R234" i="3"/>
  <c r="V234" i="3" s="1"/>
  <c r="W234" i="3" s="1"/>
  <c r="R235" i="3"/>
  <c r="V235" i="3" s="1"/>
  <c r="W235" i="3" s="1"/>
  <c r="R236" i="3"/>
  <c r="V236" i="3" s="1"/>
  <c r="W236" i="3" s="1"/>
  <c r="R237" i="3"/>
  <c r="V237" i="3" s="1"/>
  <c r="W237" i="3" s="1"/>
  <c r="R238" i="3"/>
  <c r="V238" i="3" s="1"/>
  <c r="W238" i="3" s="1"/>
  <c r="R239" i="3"/>
  <c r="V239" i="3" s="1"/>
  <c r="W239" i="3" s="1"/>
  <c r="R240" i="3"/>
  <c r="V240" i="3" s="1"/>
  <c r="W240" i="3" s="1"/>
  <c r="R241" i="3"/>
  <c r="V241" i="3" s="1"/>
  <c r="W241" i="3" s="1"/>
  <c r="R242" i="3"/>
  <c r="V242" i="3" s="1"/>
  <c r="W242" i="3" s="1"/>
  <c r="R243" i="3"/>
  <c r="V243" i="3" s="1"/>
  <c r="W243" i="3" s="1"/>
  <c r="R244" i="3"/>
  <c r="V244" i="3" s="1"/>
  <c r="W244" i="3" s="1"/>
  <c r="R245" i="3"/>
  <c r="V245" i="3" s="1"/>
  <c r="W245" i="3" s="1"/>
  <c r="R246" i="3"/>
  <c r="V246" i="3" s="1"/>
  <c r="W246" i="3" s="1"/>
  <c r="R247" i="3"/>
  <c r="V247" i="3" s="1"/>
  <c r="W247" i="3" s="1"/>
  <c r="R248" i="3"/>
  <c r="V248" i="3" s="1"/>
  <c r="W248" i="3" s="1"/>
  <c r="R249" i="3"/>
  <c r="V249" i="3" s="1"/>
  <c r="W249" i="3" s="1"/>
  <c r="R250" i="3"/>
  <c r="V250" i="3" s="1"/>
  <c r="W250" i="3" s="1"/>
  <c r="R251" i="3"/>
  <c r="V251" i="3" s="1"/>
  <c r="W251" i="3" s="1"/>
  <c r="R252" i="3"/>
  <c r="V252" i="3" s="1"/>
  <c r="W252" i="3" s="1"/>
  <c r="R253" i="3"/>
  <c r="V253" i="3" s="1"/>
  <c r="W253" i="3" s="1"/>
  <c r="R254" i="3"/>
  <c r="V254" i="3" s="1"/>
  <c r="W254" i="3" s="1"/>
  <c r="R255" i="3"/>
  <c r="V255" i="3" s="1"/>
  <c r="W255" i="3" s="1"/>
  <c r="R256" i="3"/>
  <c r="V256" i="3" s="1"/>
  <c r="W256" i="3" s="1"/>
  <c r="R257" i="3"/>
  <c r="V257" i="3" s="1"/>
  <c r="W257" i="3" s="1"/>
  <c r="R258" i="3"/>
  <c r="V258" i="3" s="1"/>
  <c r="W258" i="3" s="1"/>
  <c r="R259" i="3"/>
  <c r="V259" i="3" s="1"/>
  <c r="W259" i="3" s="1"/>
  <c r="R260" i="3"/>
  <c r="V260" i="3" s="1"/>
  <c r="W260" i="3" s="1"/>
  <c r="R261" i="3"/>
  <c r="V261" i="3" s="1"/>
  <c r="W261" i="3" s="1"/>
  <c r="R262" i="3"/>
  <c r="V262" i="3" s="1"/>
  <c r="W262" i="3" s="1"/>
  <c r="R263" i="3"/>
  <c r="V263" i="3" s="1"/>
  <c r="W263" i="3" s="1"/>
  <c r="R264" i="3"/>
  <c r="V264" i="3" s="1"/>
  <c r="W264" i="3" s="1"/>
  <c r="R265" i="3"/>
  <c r="V265" i="3" s="1"/>
  <c r="W265" i="3" s="1"/>
  <c r="R266" i="3"/>
  <c r="V266" i="3" s="1"/>
  <c r="W266" i="3" s="1"/>
  <c r="R267" i="3"/>
  <c r="V267" i="3" s="1"/>
  <c r="W267" i="3" s="1"/>
  <c r="R268" i="3"/>
  <c r="V268" i="3" s="1"/>
  <c r="W268" i="3" s="1"/>
  <c r="R269" i="3"/>
  <c r="V269" i="3" s="1"/>
  <c r="W269" i="3" s="1"/>
  <c r="R270" i="3"/>
  <c r="V270" i="3" s="1"/>
  <c r="W270" i="3" s="1"/>
  <c r="R271" i="3"/>
  <c r="V271" i="3" s="1"/>
  <c r="W271" i="3" s="1"/>
  <c r="R272" i="3"/>
  <c r="V272" i="3" s="1"/>
  <c r="W272" i="3" s="1"/>
  <c r="R273" i="3"/>
  <c r="V273" i="3" s="1"/>
  <c r="W273" i="3" s="1"/>
  <c r="R274" i="3"/>
  <c r="V274" i="3" s="1"/>
  <c r="W274" i="3" s="1"/>
  <c r="R275" i="3"/>
  <c r="V275" i="3" s="1"/>
  <c r="W275" i="3" s="1"/>
  <c r="R276" i="3"/>
  <c r="V276" i="3" s="1"/>
  <c r="W276" i="3" s="1"/>
  <c r="R277" i="3"/>
  <c r="V277" i="3" s="1"/>
  <c r="W277" i="3" s="1"/>
  <c r="R278" i="3"/>
  <c r="V278" i="3" s="1"/>
  <c r="W278" i="3" s="1"/>
  <c r="R279" i="3"/>
  <c r="V279" i="3" s="1"/>
  <c r="W279" i="3" s="1"/>
  <c r="R280" i="3"/>
  <c r="V280" i="3" s="1"/>
  <c r="W280" i="3" s="1"/>
  <c r="R281" i="3"/>
  <c r="V281" i="3" s="1"/>
  <c r="W281" i="3" s="1"/>
  <c r="R282" i="3"/>
  <c r="V282" i="3" s="1"/>
  <c r="W282" i="3" s="1"/>
  <c r="R283" i="3"/>
  <c r="V283" i="3" s="1"/>
  <c r="W283" i="3" s="1"/>
  <c r="R284" i="3"/>
  <c r="V284" i="3" s="1"/>
  <c r="W284" i="3" s="1"/>
  <c r="R285" i="3"/>
  <c r="V285" i="3" s="1"/>
  <c r="W285" i="3" s="1"/>
  <c r="R286" i="3"/>
  <c r="V286" i="3" s="1"/>
  <c r="W286" i="3" s="1"/>
  <c r="R287" i="3"/>
  <c r="V287" i="3" s="1"/>
  <c r="W287" i="3" s="1"/>
  <c r="R288" i="3"/>
  <c r="V288" i="3" s="1"/>
  <c r="W288" i="3" s="1"/>
  <c r="R289" i="3"/>
  <c r="V289" i="3" s="1"/>
  <c r="W289" i="3" s="1"/>
  <c r="R290" i="3"/>
  <c r="V290" i="3" s="1"/>
  <c r="W290" i="3" s="1"/>
  <c r="R291" i="3"/>
  <c r="V291" i="3" s="1"/>
  <c r="W291" i="3" s="1"/>
  <c r="R292" i="3"/>
  <c r="V292" i="3" s="1"/>
  <c r="W292" i="3" s="1"/>
  <c r="R293" i="3"/>
  <c r="V293" i="3" s="1"/>
  <c r="W293" i="3" s="1"/>
  <c r="R294" i="3"/>
  <c r="V294" i="3" s="1"/>
  <c r="W294" i="3" s="1"/>
  <c r="R295" i="3"/>
  <c r="V295" i="3" s="1"/>
  <c r="W295" i="3" s="1"/>
  <c r="R296" i="3"/>
  <c r="V296" i="3" s="1"/>
  <c r="W296" i="3" s="1"/>
  <c r="R297" i="3"/>
  <c r="V297" i="3" s="1"/>
  <c r="W297" i="3" s="1"/>
  <c r="R298" i="3"/>
  <c r="V298" i="3" s="1"/>
  <c r="W298" i="3" s="1"/>
  <c r="R299" i="3"/>
  <c r="V299" i="3" s="1"/>
  <c r="W299" i="3" s="1"/>
  <c r="R300" i="3"/>
  <c r="V300" i="3" s="1"/>
  <c r="W300" i="3" s="1"/>
  <c r="R301" i="3"/>
  <c r="V301" i="3" s="1"/>
  <c r="W301" i="3" s="1"/>
  <c r="R302" i="3"/>
  <c r="V302" i="3" s="1"/>
  <c r="W302" i="3" s="1"/>
  <c r="R303" i="3"/>
  <c r="V303" i="3" s="1"/>
  <c r="W303" i="3" s="1"/>
  <c r="R304" i="3"/>
  <c r="V304" i="3" s="1"/>
  <c r="W304" i="3" s="1"/>
  <c r="R305" i="3"/>
  <c r="V305" i="3" s="1"/>
  <c r="W305" i="3" s="1"/>
  <c r="R306" i="3"/>
  <c r="V306" i="3" s="1"/>
  <c r="W306" i="3" s="1"/>
  <c r="R307" i="3"/>
  <c r="V307" i="3" s="1"/>
  <c r="W307" i="3" s="1"/>
  <c r="R308" i="3"/>
  <c r="V308" i="3" s="1"/>
  <c r="W308" i="3" s="1"/>
  <c r="R309" i="3"/>
  <c r="V309" i="3" s="1"/>
  <c r="W309" i="3" s="1"/>
  <c r="R310" i="3"/>
  <c r="V310" i="3" s="1"/>
  <c r="W310" i="3" s="1"/>
  <c r="R311" i="3"/>
  <c r="V311" i="3" s="1"/>
  <c r="W311" i="3" s="1"/>
  <c r="R312" i="3"/>
  <c r="V312" i="3" s="1"/>
  <c r="W312" i="3" s="1"/>
  <c r="R313" i="3"/>
  <c r="V313" i="3" s="1"/>
  <c r="W313" i="3" s="1"/>
  <c r="R314" i="3"/>
  <c r="V314" i="3" s="1"/>
  <c r="W314" i="3" s="1"/>
  <c r="R315" i="3"/>
  <c r="V315" i="3" s="1"/>
  <c r="W315" i="3" s="1"/>
  <c r="R316" i="3"/>
  <c r="V316" i="3" s="1"/>
  <c r="W316" i="3" s="1"/>
  <c r="R317" i="3"/>
  <c r="V317" i="3" s="1"/>
  <c r="W317" i="3" s="1"/>
  <c r="R318" i="3"/>
  <c r="V318" i="3" s="1"/>
  <c r="W318" i="3" s="1"/>
  <c r="R319" i="3"/>
  <c r="V319" i="3" s="1"/>
  <c r="W319" i="3" s="1"/>
  <c r="R320" i="3"/>
  <c r="V320" i="3" s="1"/>
  <c r="W320" i="3" s="1"/>
  <c r="R321" i="3"/>
  <c r="V321" i="3" s="1"/>
  <c r="W321" i="3" s="1"/>
  <c r="R322" i="3"/>
  <c r="V322" i="3" s="1"/>
  <c r="W322" i="3" s="1"/>
  <c r="R323" i="3"/>
  <c r="V323" i="3" s="1"/>
  <c r="W323" i="3" s="1"/>
  <c r="R324" i="3"/>
  <c r="V324" i="3" s="1"/>
  <c r="W324" i="3" s="1"/>
  <c r="R325" i="3"/>
  <c r="V325" i="3" s="1"/>
  <c r="W325" i="3" s="1"/>
  <c r="R326" i="3"/>
  <c r="V326" i="3" s="1"/>
  <c r="W326" i="3" s="1"/>
  <c r="R327" i="3"/>
  <c r="V327" i="3" s="1"/>
  <c r="W327" i="3" s="1"/>
  <c r="R328" i="3"/>
  <c r="V328" i="3" s="1"/>
  <c r="W328" i="3" s="1"/>
  <c r="R329" i="3"/>
  <c r="V329" i="3" s="1"/>
  <c r="W329" i="3" s="1"/>
  <c r="R330" i="3"/>
  <c r="V330" i="3" s="1"/>
  <c r="W330" i="3" s="1"/>
  <c r="R331" i="3"/>
  <c r="V331" i="3" s="1"/>
  <c r="W331" i="3" s="1"/>
  <c r="R332" i="3"/>
  <c r="V332" i="3" s="1"/>
  <c r="W332" i="3" s="1"/>
  <c r="R333" i="3"/>
  <c r="V333" i="3" s="1"/>
  <c r="W333" i="3" s="1"/>
  <c r="R334" i="3"/>
  <c r="V334" i="3" s="1"/>
  <c r="W334" i="3" s="1"/>
  <c r="R335" i="3"/>
  <c r="V335" i="3" s="1"/>
  <c r="W335" i="3" s="1"/>
  <c r="R336" i="3"/>
  <c r="V336" i="3" s="1"/>
  <c r="W336" i="3" s="1"/>
  <c r="R337" i="3"/>
  <c r="V337" i="3" s="1"/>
  <c r="W337" i="3" s="1"/>
  <c r="R338" i="3"/>
  <c r="V338" i="3" s="1"/>
  <c r="W338" i="3" s="1"/>
  <c r="R2" i="3"/>
  <c r="W2" i="3" s="1"/>
  <c r="K3" i="3"/>
  <c r="K4" i="3"/>
  <c r="K5" i="3"/>
  <c r="K6" i="3"/>
  <c r="O6" i="3" s="1"/>
  <c r="P6" i="3" s="1"/>
  <c r="K7" i="3"/>
  <c r="K8" i="3"/>
  <c r="K9" i="3"/>
  <c r="K10" i="3"/>
  <c r="K11" i="3"/>
  <c r="K12" i="3"/>
  <c r="K13" i="3"/>
  <c r="O13" i="3" s="1"/>
  <c r="P13" i="3" s="1"/>
  <c r="K14" i="3"/>
  <c r="O14" i="3" s="1"/>
  <c r="P14" i="3" s="1"/>
  <c r="K15" i="3"/>
  <c r="K16" i="3"/>
  <c r="O16" i="3" s="1"/>
  <c r="P16" i="3" s="1"/>
  <c r="K17" i="3"/>
  <c r="O17" i="3" s="1"/>
  <c r="P17" i="3" s="1"/>
  <c r="K18" i="3"/>
  <c r="K19" i="3"/>
  <c r="K20" i="3"/>
  <c r="K21" i="3"/>
  <c r="K22" i="3"/>
  <c r="K23" i="3"/>
  <c r="O23" i="3" s="1"/>
  <c r="P23" i="3" s="1"/>
  <c r="K24" i="3"/>
  <c r="O24" i="3" s="1"/>
  <c r="P24" i="3" s="1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O37" i="3" s="1"/>
  <c r="P37" i="3" s="1"/>
  <c r="K38" i="3"/>
  <c r="K39" i="3"/>
  <c r="K40" i="3"/>
  <c r="K41" i="3"/>
  <c r="K42" i="3"/>
  <c r="K43" i="3"/>
  <c r="K44" i="3"/>
  <c r="K45" i="3"/>
  <c r="O45" i="3" s="1"/>
  <c r="P45" i="3" s="1"/>
  <c r="K46" i="3"/>
  <c r="O46" i="3" s="1"/>
  <c r="P46" i="3" s="1"/>
  <c r="K47" i="3"/>
  <c r="O47" i="3" s="1"/>
  <c r="P47" i="3" s="1"/>
  <c r="K48" i="3"/>
  <c r="O48" i="3" s="1"/>
  <c r="P48" i="3" s="1"/>
  <c r="K49" i="3"/>
  <c r="O49" i="3" s="1"/>
  <c r="P49" i="3" s="1"/>
  <c r="K50" i="3"/>
  <c r="K51" i="3"/>
  <c r="K52" i="3"/>
  <c r="K53" i="3"/>
  <c r="K54" i="3"/>
  <c r="K55" i="3"/>
  <c r="K56" i="3"/>
  <c r="O56" i="3" s="1"/>
  <c r="P56" i="3" s="1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O80" i="3" s="1"/>
  <c r="P80" i="3" s="1"/>
  <c r="K81" i="3"/>
  <c r="O81" i="3" s="1"/>
  <c r="P81" i="3" s="1"/>
  <c r="K82" i="3"/>
  <c r="K83" i="3"/>
  <c r="K84" i="3"/>
  <c r="K85" i="3"/>
  <c r="K86" i="3"/>
  <c r="K87" i="3"/>
  <c r="K88" i="3"/>
  <c r="O88" i="3" s="1"/>
  <c r="P88" i="3" s="1"/>
  <c r="K89" i="3"/>
  <c r="O89" i="3" s="1"/>
  <c r="P89" i="3" s="1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O109" i="3" s="1"/>
  <c r="P109" i="3" s="1"/>
  <c r="K110" i="3"/>
  <c r="O110" i="3" s="1"/>
  <c r="P110" i="3" s="1"/>
  <c r="K111" i="3"/>
  <c r="K112" i="3"/>
  <c r="O112" i="3" s="1"/>
  <c r="P112" i="3" s="1"/>
  <c r="K113" i="3"/>
  <c r="O113" i="3" s="1"/>
  <c r="P113" i="3" s="1"/>
  <c r="K114" i="3"/>
  <c r="K115" i="3"/>
  <c r="K116" i="3"/>
  <c r="K117" i="3"/>
  <c r="K118" i="3"/>
  <c r="K119" i="3"/>
  <c r="K120" i="3"/>
  <c r="O120" i="3" s="1"/>
  <c r="P120" i="3" s="1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O141" i="3" s="1"/>
  <c r="P141" i="3" s="1"/>
  <c r="K142" i="3"/>
  <c r="O142" i="3" s="1"/>
  <c r="P142" i="3" s="1"/>
  <c r="K143" i="3"/>
  <c r="K144" i="3"/>
  <c r="O144" i="3" s="1"/>
  <c r="P144" i="3" s="1"/>
  <c r="K145" i="3"/>
  <c r="O145" i="3" s="1"/>
  <c r="P145" i="3" s="1"/>
  <c r="K146" i="3"/>
  <c r="K147" i="3"/>
  <c r="K148" i="3"/>
  <c r="K149" i="3"/>
  <c r="K150" i="3"/>
  <c r="O150" i="3" s="1"/>
  <c r="P150" i="3" s="1"/>
  <c r="K151" i="3"/>
  <c r="O151" i="3" s="1"/>
  <c r="P151" i="3" s="1"/>
  <c r="K152" i="3"/>
  <c r="O152" i="3" s="1"/>
  <c r="P152" i="3" s="1"/>
  <c r="K153" i="3"/>
  <c r="K154" i="3"/>
  <c r="K155" i="3"/>
  <c r="K156" i="3"/>
  <c r="K157" i="3"/>
  <c r="K158" i="3"/>
  <c r="K159" i="3"/>
  <c r="O159" i="3" s="1"/>
  <c r="P159" i="3" s="1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O174" i="3" s="1"/>
  <c r="P174" i="3" s="1"/>
  <c r="K175" i="3"/>
  <c r="K176" i="3"/>
  <c r="O176" i="3" s="1"/>
  <c r="P176" i="3" s="1"/>
  <c r="K177" i="3"/>
  <c r="O177" i="3" s="1"/>
  <c r="P177" i="3" s="1"/>
  <c r="K178" i="3"/>
  <c r="K179" i="3"/>
  <c r="K180" i="3"/>
  <c r="K181" i="3"/>
  <c r="K182" i="3"/>
  <c r="K183" i="3"/>
  <c r="K184" i="3"/>
  <c r="O184" i="3" s="1"/>
  <c r="P184" i="3" s="1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O199" i="3" s="1"/>
  <c r="P199" i="3" s="1"/>
  <c r="K200" i="3"/>
  <c r="K201" i="3"/>
  <c r="K202" i="3"/>
  <c r="K203" i="3"/>
  <c r="K204" i="3"/>
  <c r="K205" i="3"/>
  <c r="K206" i="3"/>
  <c r="O206" i="3" s="1"/>
  <c r="P206" i="3" s="1"/>
  <c r="K207" i="3"/>
  <c r="K208" i="3"/>
  <c r="O208" i="3" s="1"/>
  <c r="P208" i="3" s="1"/>
  <c r="K209" i="3"/>
  <c r="O209" i="3" s="1"/>
  <c r="P209" i="3" s="1"/>
  <c r="K210" i="3"/>
  <c r="K211" i="3"/>
  <c r="K212" i="3"/>
  <c r="K213" i="3"/>
  <c r="K214" i="3"/>
  <c r="K215" i="3"/>
  <c r="K216" i="3"/>
  <c r="O216" i="3" s="1"/>
  <c r="P216" i="3" s="1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O238" i="3" s="1"/>
  <c r="P238" i="3" s="1"/>
  <c r="K239" i="3"/>
  <c r="K240" i="3"/>
  <c r="O240" i="3" s="1"/>
  <c r="P240" i="3" s="1"/>
  <c r="K241" i="3"/>
  <c r="O241" i="3" s="1"/>
  <c r="P241" i="3" s="1"/>
  <c r="K242" i="3"/>
  <c r="K243" i="3"/>
  <c r="K244" i="3"/>
  <c r="K245" i="3"/>
  <c r="K246" i="3"/>
  <c r="K247" i="3"/>
  <c r="K248" i="3"/>
  <c r="O248" i="3" s="1"/>
  <c r="P248" i="3" s="1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O263" i="3" s="1"/>
  <c r="P263" i="3" s="1"/>
  <c r="K264" i="3"/>
  <c r="K265" i="3"/>
  <c r="K266" i="3"/>
  <c r="K267" i="3"/>
  <c r="K268" i="3"/>
  <c r="K269" i="3"/>
  <c r="K270" i="3"/>
  <c r="O270" i="3" s="1"/>
  <c r="P270" i="3" s="1"/>
  <c r="K271" i="3"/>
  <c r="K272" i="3"/>
  <c r="O272" i="3" s="1"/>
  <c r="P272" i="3" s="1"/>
  <c r="K273" i="3"/>
  <c r="O273" i="3" s="1"/>
  <c r="P273" i="3" s="1"/>
  <c r="K274" i="3"/>
  <c r="K275" i="3"/>
  <c r="K276" i="3"/>
  <c r="K277" i="3"/>
  <c r="K278" i="3"/>
  <c r="K279" i="3"/>
  <c r="K280" i="3"/>
  <c r="O280" i="3" s="1"/>
  <c r="P280" i="3" s="1"/>
  <c r="K281" i="3"/>
  <c r="K282" i="3"/>
  <c r="K283" i="3"/>
  <c r="K284" i="3"/>
  <c r="K285" i="3"/>
  <c r="K286" i="3"/>
  <c r="K287" i="3"/>
  <c r="O287" i="3" s="1"/>
  <c r="P287" i="3" s="1"/>
  <c r="K288" i="3"/>
  <c r="O288" i="3" s="1"/>
  <c r="P288" i="3" s="1"/>
  <c r="K289" i="3"/>
  <c r="K290" i="3"/>
  <c r="K291" i="3"/>
  <c r="K292" i="3"/>
  <c r="K293" i="3"/>
  <c r="K294" i="3"/>
  <c r="O294" i="3" s="1"/>
  <c r="P294" i="3" s="1"/>
  <c r="K295" i="3"/>
  <c r="O295" i="3" s="1"/>
  <c r="P295" i="3" s="1"/>
  <c r="K296" i="3"/>
  <c r="K297" i="3"/>
  <c r="K298" i="3"/>
  <c r="O298" i="3" s="1"/>
  <c r="P298" i="3" s="1"/>
  <c r="K299" i="3"/>
  <c r="K300" i="3"/>
  <c r="K301" i="3"/>
  <c r="K302" i="3"/>
  <c r="O302" i="3" s="1"/>
  <c r="P302" i="3" s="1"/>
  <c r="K303" i="3"/>
  <c r="K304" i="3"/>
  <c r="O304" i="3" s="1"/>
  <c r="P304" i="3" s="1"/>
  <c r="K305" i="3"/>
  <c r="O305" i="3" s="1"/>
  <c r="P305" i="3" s="1"/>
  <c r="K306" i="3"/>
  <c r="K307" i="3"/>
  <c r="K308" i="3"/>
  <c r="K309" i="3"/>
  <c r="K310" i="3"/>
  <c r="K311" i="3"/>
  <c r="K312" i="3"/>
  <c r="O312" i="3" s="1"/>
  <c r="P312" i="3" s="1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O334" i="3" s="1"/>
  <c r="P334" i="3" s="1"/>
  <c r="K335" i="3"/>
  <c r="K336" i="3"/>
  <c r="O336" i="3" s="1"/>
  <c r="P336" i="3" s="1"/>
  <c r="K337" i="3"/>
  <c r="O337" i="3" s="1"/>
  <c r="P337" i="3" s="1"/>
  <c r="K338" i="3"/>
  <c r="K2" i="3"/>
  <c r="J2" i="3"/>
  <c r="M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O19" i="3"/>
  <c r="P19" i="3" s="1"/>
  <c r="O83" i="3"/>
  <c r="P83" i="3" s="1"/>
  <c r="O147" i="3"/>
  <c r="P147" i="3" s="1"/>
  <c r="O275" i="3"/>
  <c r="P275" i="3" s="1"/>
  <c r="M3" i="3"/>
  <c r="O3" i="3" s="1"/>
  <c r="P3" i="3" s="1"/>
  <c r="M4" i="3"/>
  <c r="M5" i="3"/>
  <c r="M6" i="3"/>
  <c r="M7" i="3"/>
  <c r="M8" i="3"/>
  <c r="M9" i="3"/>
  <c r="M10" i="3"/>
  <c r="O10" i="3" s="1"/>
  <c r="P10" i="3" s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O66" i="3" s="1"/>
  <c r="P66" i="3" s="1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O98" i="3" s="1"/>
  <c r="P98" i="3" s="1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O118" i="3" s="1"/>
  <c r="P118" i="3" s="1"/>
  <c r="M119" i="3"/>
  <c r="M120" i="3"/>
  <c r="M121" i="3"/>
  <c r="M122" i="3"/>
  <c r="M123" i="3"/>
  <c r="M124" i="3"/>
  <c r="M125" i="3"/>
  <c r="M126" i="3"/>
  <c r="O126" i="3" s="1"/>
  <c r="P126" i="3" s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O170" i="3" s="1"/>
  <c r="P170" i="3" s="1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O190" i="3" s="1"/>
  <c r="P190" i="3" s="1"/>
  <c r="M191" i="3"/>
  <c r="O191" i="3" s="1"/>
  <c r="P191" i="3" s="1"/>
  <c r="M192" i="3"/>
  <c r="M193" i="3"/>
  <c r="M194" i="3"/>
  <c r="M195" i="3"/>
  <c r="M196" i="3"/>
  <c r="M197" i="3"/>
  <c r="M198" i="3"/>
  <c r="M199" i="3"/>
  <c r="M200" i="3"/>
  <c r="M201" i="3"/>
  <c r="M202" i="3"/>
  <c r="O202" i="3" s="1"/>
  <c r="P202" i="3" s="1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O246" i="3" s="1"/>
  <c r="P246" i="3" s="1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O266" i="3" s="1"/>
  <c r="P266" i="3" s="1"/>
  <c r="M267" i="3"/>
  <c r="M268" i="3"/>
  <c r="M269" i="3"/>
  <c r="M270" i="3"/>
  <c r="M271" i="3"/>
  <c r="M272" i="3"/>
  <c r="M273" i="3"/>
  <c r="M274" i="3"/>
  <c r="M275" i="3"/>
  <c r="M276" i="3"/>
  <c r="M277" i="3"/>
  <c r="M278" i="3"/>
  <c r="O278" i="3" s="1"/>
  <c r="P278" i="3" s="1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O318" i="3" s="1"/>
  <c r="P318" i="3" s="1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O22" i="3"/>
  <c r="P22" i="3" s="1"/>
  <c r="O54" i="3"/>
  <c r="P54" i="3" s="1"/>
  <c r="O55" i="3"/>
  <c r="P55" i="3" s="1"/>
  <c r="O57" i="3"/>
  <c r="P57" i="3" s="1"/>
  <c r="O63" i="3"/>
  <c r="P63" i="3" s="1"/>
  <c r="O77" i="3"/>
  <c r="P77" i="3" s="1"/>
  <c r="O78" i="3"/>
  <c r="P78" i="3" s="1"/>
  <c r="O79" i="3"/>
  <c r="P79" i="3" s="1"/>
  <c r="O86" i="3"/>
  <c r="P86" i="3" s="1"/>
  <c r="O87" i="3"/>
  <c r="P87" i="3" s="1"/>
  <c r="O119" i="3"/>
  <c r="P119" i="3" s="1"/>
  <c r="O181" i="3"/>
  <c r="P181" i="3" s="1"/>
  <c r="O182" i="3"/>
  <c r="P182" i="3" s="1"/>
  <c r="O183" i="3"/>
  <c r="P183" i="3" s="1"/>
  <c r="O213" i="3"/>
  <c r="P213" i="3" s="1"/>
  <c r="O214" i="3"/>
  <c r="P214" i="3" s="1"/>
  <c r="O215" i="3"/>
  <c r="P215" i="3" s="1"/>
  <c r="O222" i="3"/>
  <c r="P222" i="3" s="1"/>
  <c r="O223" i="3"/>
  <c r="P223" i="3" s="1"/>
  <c r="O225" i="3"/>
  <c r="P225" i="3" s="1"/>
  <c r="O231" i="3"/>
  <c r="P231" i="3" s="1"/>
  <c r="O245" i="3"/>
  <c r="P245" i="3" s="1"/>
  <c r="O277" i="3"/>
  <c r="P277" i="3" s="1"/>
  <c r="O279" i="3"/>
  <c r="P279" i="3" s="1"/>
  <c r="O309" i="3"/>
  <c r="P309" i="3" s="1"/>
  <c r="O310" i="3"/>
  <c r="P310" i="3" s="1"/>
  <c r="O330" i="3"/>
  <c r="P330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s="1"/>
  <c r="P18" i="3" s="1"/>
  <c r="L19" i="3"/>
  <c r="L20" i="3"/>
  <c r="O20" i="3" s="1"/>
  <c r="P20" i="3" s="1"/>
  <c r="L21" i="3"/>
  <c r="L22" i="3"/>
  <c r="L23" i="3"/>
  <c r="L24" i="3"/>
  <c r="L25" i="3"/>
  <c r="L26" i="3"/>
  <c r="O26" i="3" s="1"/>
  <c r="P26" i="3" s="1"/>
  <c r="L27" i="3"/>
  <c r="L28" i="3"/>
  <c r="O28" i="3" s="1"/>
  <c r="P28" i="3" s="1"/>
  <c r="L29" i="3"/>
  <c r="O29" i="3" s="1"/>
  <c r="P29" i="3" s="1"/>
  <c r="L30" i="3"/>
  <c r="O30" i="3" s="1"/>
  <c r="P30" i="3" s="1"/>
  <c r="L31" i="3"/>
  <c r="L32" i="3"/>
  <c r="L33" i="3"/>
  <c r="L34" i="3"/>
  <c r="L35" i="3"/>
  <c r="L36" i="3"/>
  <c r="L37" i="3"/>
  <c r="L38" i="3"/>
  <c r="O38" i="3" s="1"/>
  <c r="P38" i="3" s="1"/>
  <c r="L39" i="3"/>
  <c r="L40" i="3"/>
  <c r="L41" i="3"/>
  <c r="L42" i="3"/>
  <c r="L43" i="3"/>
  <c r="L44" i="3"/>
  <c r="L45" i="3"/>
  <c r="L46" i="3"/>
  <c r="L47" i="3"/>
  <c r="L48" i="3"/>
  <c r="L49" i="3"/>
  <c r="L50" i="3"/>
  <c r="O50" i="3" s="1"/>
  <c r="P50" i="3" s="1"/>
  <c r="L51" i="3"/>
  <c r="O51" i="3" s="1"/>
  <c r="P51" i="3" s="1"/>
  <c r="L52" i="3"/>
  <c r="O52" i="3" s="1"/>
  <c r="P52" i="3" s="1"/>
  <c r="L53" i="3"/>
  <c r="L54" i="3"/>
  <c r="L55" i="3"/>
  <c r="L56" i="3"/>
  <c r="L57" i="3"/>
  <c r="L58" i="3"/>
  <c r="L59" i="3"/>
  <c r="L60" i="3"/>
  <c r="O60" i="3" s="1"/>
  <c r="P60" i="3" s="1"/>
  <c r="L61" i="3"/>
  <c r="O61" i="3" s="1"/>
  <c r="P61" i="3" s="1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O82" i="3" s="1"/>
  <c r="P82" i="3" s="1"/>
  <c r="L83" i="3"/>
  <c r="L84" i="3"/>
  <c r="O84" i="3" s="1"/>
  <c r="P84" i="3" s="1"/>
  <c r="L85" i="3"/>
  <c r="L86" i="3"/>
  <c r="L87" i="3"/>
  <c r="L88" i="3"/>
  <c r="L89" i="3"/>
  <c r="L90" i="3"/>
  <c r="L91" i="3"/>
  <c r="L92" i="3"/>
  <c r="O92" i="3" s="1"/>
  <c r="P92" i="3" s="1"/>
  <c r="L93" i="3"/>
  <c r="O93" i="3" s="1"/>
  <c r="P93" i="3" s="1"/>
  <c r="L94" i="3"/>
  <c r="L95" i="3"/>
  <c r="O95" i="3" s="1"/>
  <c r="P95" i="3" s="1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O114" i="3" s="1"/>
  <c r="P114" i="3" s="1"/>
  <c r="L115" i="3"/>
  <c r="O115" i="3" s="1"/>
  <c r="P115" i="3" s="1"/>
  <c r="L116" i="3"/>
  <c r="O116" i="3" s="1"/>
  <c r="P116" i="3" s="1"/>
  <c r="L117" i="3"/>
  <c r="L118" i="3"/>
  <c r="L119" i="3"/>
  <c r="L120" i="3"/>
  <c r="L121" i="3"/>
  <c r="L122" i="3"/>
  <c r="L123" i="3"/>
  <c r="L124" i="3"/>
  <c r="O124" i="3" s="1"/>
  <c r="P124" i="3" s="1"/>
  <c r="L125" i="3"/>
  <c r="O125" i="3" s="1"/>
  <c r="P125" i="3" s="1"/>
  <c r="L126" i="3"/>
  <c r="L127" i="3"/>
  <c r="O127" i="3" s="1"/>
  <c r="P127" i="3" s="1"/>
  <c r="L128" i="3"/>
  <c r="L129" i="3"/>
  <c r="L130" i="3"/>
  <c r="O130" i="3" s="1"/>
  <c r="P130" i="3" s="1"/>
  <c r="L131" i="3"/>
  <c r="L132" i="3"/>
  <c r="L133" i="3"/>
  <c r="L134" i="3"/>
  <c r="O134" i="3" s="1"/>
  <c r="P134" i="3" s="1"/>
  <c r="L135" i="3"/>
  <c r="L136" i="3"/>
  <c r="L137" i="3"/>
  <c r="L138" i="3"/>
  <c r="L139" i="3"/>
  <c r="L140" i="3"/>
  <c r="L141" i="3"/>
  <c r="L142" i="3"/>
  <c r="L143" i="3"/>
  <c r="L144" i="3"/>
  <c r="L145" i="3"/>
  <c r="L146" i="3"/>
  <c r="O146" i="3" s="1"/>
  <c r="P146" i="3" s="1"/>
  <c r="L147" i="3"/>
  <c r="L148" i="3"/>
  <c r="O148" i="3" s="1"/>
  <c r="P148" i="3" s="1"/>
  <c r="L149" i="3"/>
  <c r="L150" i="3"/>
  <c r="L151" i="3"/>
  <c r="L152" i="3"/>
  <c r="L153" i="3"/>
  <c r="L154" i="3"/>
  <c r="L155" i="3"/>
  <c r="L156" i="3"/>
  <c r="O156" i="3" s="1"/>
  <c r="P156" i="3" s="1"/>
  <c r="L157" i="3"/>
  <c r="O157" i="3" s="1"/>
  <c r="P157" i="3" s="1"/>
  <c r="L158" i="3"/>
  <c r="O158" i="3" s="1"/>
  <c r="P158" i="3" s="1"/>
  <c r="L159" i="3"/>
  <c r="L160" i="3"/>
  <c r="L161" i="3"/>
  <c r="L162" i="3"/>
  <c r="O162" i="3" s="1"/>
  <c r="P162" i="3" s="1"/>
  <c r="L163" i="3"/>
  <c r="L164" i="3"/>
  <c r="L165" i="3"/>
  <c r="L166" i="3"/>
  <c r="O166" i="3" s="1"/>
  <c r="P166" i="3" s="1"/>
  <c r="L167" i="3"/>
  <c r="L168" i="3"/>
  <c r="L169" i="3"/>
  <c r="L170" i="3"/>
  <c r="L171" i="3"/>
  <c r="L172" i="3"/>
  <c r="L173" i="3"/>
  <c r="L174" i="3"/>
  <c r="L175" i="3"/>
  <c r="L176" i="3"/>
  <c r="L177" i="3"/>
  <c r="L178" i="3"/>
  <c r="O178" i="3" s="1"/>
  <c r="P178" i="3" s="1"/>
  <c r="L179" i="3"/>
  <c r="O179" i="3" s="1"/>
  <c r="P179" i="3" s="1"/>
  <c r="L180" i="3"/>
  <c r="O180" i="3" s="1"/>
  <c r="P180" i="3" s="1"/>
  <c r="L181" i="3"/>
  <c r="L182" i="3"/>
  <c r="L183" i="3"/>
  <c r="L184" i="3"/>
  <c r="L185" i="3"/>
  <c r="L186" i="3"/>
  <c r="L187" i="3"/>
  <c r="L188" i="3"/>
  <c r="O188" i="3" s="1"/>
  <c r="P188" i="3" s="1"/>
  <c r="L189" i="3"/>
  <c r="O189" i="3" s="1"/>
  <c r="P189" i="3" s="1"/>
  <c r="L190" i="3"/>
  <c r="L191" i="3"/>
  <c r="L192" i="3"/>
  <c r="L193" i="3"/>
  <c r="O193" i="3" s="1"/>
  <c r="P193" i="3" s="1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O210" i="3" s="1"/>
  <c r="P210" i="3" s="1"/>
  <c r="L211" i="3"/>
  <c r="O211" i="3" s="1"/>
  <c r="P211" i="3" s="1"/>
  <c r="L212" i="3"/>
  <c r="O212" i="3" s="1"/>
  <c r="P212" i="3" s="1"/>
  <c r="L213" i="3"/>
  <c r="L214" i="3"/>
  <c r="L215" i="3"/>
  <c r="L216" i="3"/>
  <c r="L217" i="3"/>
  <c r="L218" i="3"/>
  <c r="L219" i="3"/>
  <c r="L220" i="3"/>
  <c r="O220" i="3" s="1"/>
  <c r="P220" i="3" s="1"/>
  <c r="L221" i="3"/>
  <c r="O221" i="3" s="1"/>
  <c r="P221" i="3" s="1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O234" i="3" s="1"/>
  <c r="P234" i="3" s="1"/>
  <c r="L235" i="3"/>
  <c r="L236" i="3"/>
  <c r="L237" i="3"/>
  <c r="L238" i="3"/>
  <c r="L239" i="3"/>
  <c r="L240" i="3"/>
  <c r="L241" i="3"/>
  <c r="L242" i="3"/>
  <c r="O242" i="3" s="1"/>
  <c r="P242" i="3" s="1"/>
  <c r="L243" i="3"/>
  <c r="O243" i="3" s="1"/>
  <c r="P243" i="3" s="1"/>
  <c r="L244" i="3"/>
  <c r="O244" i="3" s="1"/>
  <c r="P244" i="3" s="1"/>
  <c r="L245" i="3"/>
  <c r="L246" i="3"/>
  <c r="L247" i="3"/>
  <c r="L248" i="3"/>
  <c r="L249" i="3"/>
  <c r="L250" i="3"/>
  <c r="L251" i="3"/>
  <c r="L252" i="3"/>
  <c r="O252" i="3" s="1"/>
  <c r="P252" i="3" s="1"/>
  <c r="L253" i="3"/>
  <c r="O253" i="3" s="1"/>
  <c r="P253" i="3" s="1"/>
  <c r="L254" i="3"/>
  <c r="O254" i="3" s="1"/>
  <c r="P254" i="3" s="1"/>
  <c r="L255" i="3"/>
  <c r="O255" i="3" s="1"/>
  <c r="P255" i="3" s="1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O274" i="3" s="1"/>
  <c r="P274" i="3" s="1"/>
  <c r="L275" i="3"/>
  <c r="L276" i="3"/>
  <c r="O276" i="3" s="1"/>
  <c r="P276" i="3" s="1"/>
  <c r="L277" i="3"/>
  <c r="L278" i="3"/>
  <c r="L279" i="3"/>
  <c r="L280" i="3"/>
  <c r="L281" i="3"/>
  <c r="L282" i="3"/>
  <c r="L283" i="3"/>
  <c r="L284" i="3"/>
  <c r="O284" i="3" s="1"/>
  <c r="P284" i="3" s="1"/>
  <c r="L285" i="3"/>
  <c r="O285" i="3" s="1"/>
  <c r="P285" i="3" s="1"/>
  <c r="L286" i="3"/>
  <c r="O286" i="3" s="1"/>
  <c r="P286" i="3" s="1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O306" i="3" s="1"/>
  <c r="P306" i="3" s="1"/>
  <c r="L307" i="3"/>
  <c r="O307" i="3" s="1"/>
  <c r="P307" i="3" s="1"/>
  <c r="L308" i="3"/>
  <c r="O308" i="3" s="1"/>
  <c r="P308" i="3" s="1"/>
  <c r="L309" i="3"/>
  <c r="L310" i="3"/>
  <c r="L311" i="3"/>
  <c r="L312" i="3"/>
  <c r="L313" i="3"/>
  <c r="L314" i="3"/>
  <c r="L315" i="3"/>
  <c r="L316" i="3"/>
  <c r="O316" i="3" s="1"/>
  <c r="P316" i="3" s="1"/>
  <c r="L317" i="3"/>
  <c r="O317" i="3" s="1"/>
  <c r="P317" i="3" s="1"/>
  <c r="L318" i="3"/>
  <c r="L319" i="3"/>
  <c r="O319" i="3" s="1"/>
  <c r="P319" i="3" s="1"/>
  <c r="L320" i="3"/>
  <c r="L321" i="3"/>
  <c r="L322" i="3"/>
  <c r="L323" i="3"/>
  <c r="L324" i="3"/>
  <c r="L325" i="3"/>
  <c r="L326" i="3"/>
  <c r="O326" i="3" s="1"/>
  <c r="P326" i="3" s="1"/>
  <c r="L327" i="3"/>
  <c r="O327" i="3" s="1"/>
  <c r="P327" i="3" s="1"/>
  <c r="L328" i="3"/>
  <c r="L329" i="3"/>
  <c r="L330" i="3"/>
  <c r="L331" i="3"/>
  <c r="L332" i="3"/>
  <c r="L333" i="3"/>
  <c r="L334" i="3"/>
  <c r="L335" i="3"/>
  <c r="L336" i="3"/>
  <c r="L337" i="3"/>
  <c r="L338" i="3"/>
  <c r="O338" i="3" s="1"/>
  <c r="P338" i="3" s="1"/>
  <c r="O229" i="3" l="1"/>
  <c r="P229" i="3" s="1"/>
  <c r="O4" i="3"/>
  <c r="P4" i="3" s="1"/>
  <c r="O323" i="3"/>
  <c r="P323" i="3" s="1"/>
  <c r="O291" i="3"/>
  <c r="P291" i="3" s="1"/>
  <c r="O259" i="3"/>
  <c r="P259" i="3" s="1"/>
  <c r="O227" i="3"/>
  <c r="P227" i="3" s="1"/>
  <c r="O195" i="3"/>
  <c r="P195" i="3" s="1"/>
  <c r="O163" i="3"/>
  <c r="P163" i="3" s="1"/>
  <c r="O131" i="3"/>
  <c r="P131" i="3" s="1"/>
  <c r="O99" i="3"/>
  <c r="P99" i="3" s="1"/>
  <c r="O67" i="3"/>
  <c r="P67" i="3" s="1"/>
  <c r="O35" i="3"/>
  <c r="P35" i="3" s="1"/>
  <c r="O226" i="3"/>
  <c r="P226" i="3" s="1"/>
  <c r="O194" i="3"/>
  <c r="P194" i="3" s="1"/>
  <c r="O34" i="3"/>
  <c r="P34" i="3" s="1"/>
  <c r="O167" i="3"/>
  <c r="P167" i="3" s="1"/>
  <c r="O262" i="3"/>
  <c r="P262" i="3" s="1"/>
  <c r="O5" i="3"/>
  <c r="P5" i="3" s="1"/>
  <c r="O196" i="3"/>
  <c r="P196" i="3" s="1"/>
  <c r="O265" i="3"/>
  <c r="P265" i="3" s="1"/>
  <c r="O31" i="3"/>
  <c r="P31" i="3" s="1"/>
  <c r="O94" i="3"/>
  <c r="P94" i="3" s="1"/>
  <c r="O62" i="3"/>
  <c r="P62" i="3" s="1"/>
  <c r="O102" i="3"/>
  <c r="P102" i="3" s="1"/>
  <c r="O324" i="3"/>
  <c r="P324" i="3" s="1"/>
  <c r="O68" i="3"/>
  <c r="P68" i="3" s="1"/>
  <c r="O297" i="3"/>
  <c r="P297" i="3" s="1"/>
  <c r="O233" i="3"/>
  <c r="P233" i="3" s="1"/>
  <c r="O169" i="3"/>
  <c r="P169" i="3" s="1"/>
  <c r="O283" i="3"/>
  <c r="P283" i="3" s="1"/>
  <c r="O187" i="3"/>
  <c r="P187" i="3" s="1"/>
  <c r="O91" i="3"/>
  <c r="P91" i="3" s="1"/>
  <c r="O59" i="3"/>
  <c r="P59" i="3" s="1"/>
  <c r="O314" i="3"/>
  <c r="P314" i="3" s="1"/>
  <c r="O282" i="3"/>
  <c r="P282" i="3" s="1"/>
  <c r="O250" i="3"/>
  <c r="P250" i="3" s="1"/>
  <c r="O218" i="3"/>
  <c r="P218" i="3" s="1"/>
  <c r="O186" i="3"/>
  <c r="P186" i="3" s="1"/>
  <c r="O90" i="3"/>
  <c r="P90" i="3" s="1"/>
  <c r="O58" i="3"/>
  <c r="P58" i="3" s="1"/>
  <c r="O322" i="3"/>
  <c r="P322" i="3" s="1"/>
  <c r="O290" i="3"/>
  <c r="P290" i="3" s="1"/>
  <c r="O258" i="3"/>
  <c r="P258" i="3" s="1"/>
  <c r="O321" i="3"/>
  <c r="P321" i="3" s="1"/>
  <c r="O289" i="3"/>
  <c r="P289" i="3" s="1"/>
  <c r="O257" i="3"/>
  <c r="P257" i="3" s="1"/>
  <c r="O161" i="3"/>
  <c r="P161" i="3" s="1"/>
  <c r="O129" i="3"/>
  <c r="P129" i="3" s="1"/>
  <c r="O97" i="3"/>
  <c r="P97" i="3" s="1"/>
  <c r="O65" i="3"/>
  <c r="P65" i="3" s="1"/>
  <c r="O33" i="3"/>
  <c r="P33" i="3" s="1"/>
  <c r="O71" i="3"/>
  <c r="P71" i="3" s="1"/>
  <c r="O133" i="3"/>
  <c r="P133" i="3" s="1"/>
  <c r="O73" i="3"/>
  <c r="P73" i="3" s="1"/>
  <c r="O315" i="3"/>
  <c r="P315" i="3" s="1"/>
  <c r="O219" i="3"/>
  <c r="P219" i="3" s="1"/>
  <c r="O230" i="3"/>
  <c r="P230" i="3" s="1"/>
  <c r="O251" i="3"/>
  <c r="P251" i="3" s="1"/>
  <c r="O155" i="3"/>
  <c r="P155" i="3" s="1"/>
  <c r="O27" i="3"/>
  <c r="P27" i="3" s="1"/>
  <c r="O320" i="3"/>
  <c r="P320" i="3" s="1"/>
  <c r="O256" i="3"/>
  <c r="P256" i="3" s="1"/>
  <c r="O224" i="3"/>
  <c r="P224" i="3" s="1"/>
  <c r="O192" i="3"/>
  <c r="P192" i="3" s="1"/>
  <c r="O160" i="3"/>
  <c r="P160" i="3" s="1"/>
  <c r="O128" i="3"/>
  <c r="P128" i="3" s="1"/>
  <c r="O96" i="3"/>
  <c r="P96" i="3" s="1"/>
  <c r="O64" i="3"/>
  <c r="P64" i="3" s="1"/>
  <c r="O32" i="3"/>
  <c r="P32" i="3" s="1"/>
  <c r="O311" i="3"/>
  <c r="P311" i="3" s="1"/>
  <c r="O247" i="3"/>
  <c r="P247" i="3" s="1"/>
  <c r="O149" i="3"/>
  <c r="P149" i="3" s="1"/>
  <c r="O117" i="3"/>
  <c r="P117" i="3" s="1"/>
  <c r="O85" i="3"/>
  <c r="P85" i="3" s="1"/>
  <c r="O53" i="3"/>
  <c r="P53" i="3" s="1"/>
  <c r="O21" i="3"/>
  <c r="P21" i="3" s="1"/>
  <c r="O101" i="3"/>
  <c r="P101" i="3" s="1"/>
  <c r="O41" i="3"/>
  <c r="P41" i="3" s="1"/>
  <c r="O123" i="3"/>
  <c r="P123" i="3" s="1"/>
  <c r="O7" i="3"/>
  <c r="P7" i="3" s="1"/>
  <c r="O72" i="3"/>
  <c r="P72" i="3" s="1"/>
  <c r="O165" i="3"/>
  <c r="P165" i="3" s="1"/>
  <c r="O154" i="3"/>
  <c r="P154" i="3" s="1"/>
  <c r="O122" i="3"/>
  <c r="P122" i="3" s="1"/>
  <c r="O198" i="3"/>
  <c r="P198" i="3" s="1"/>
  <c r="O69" i="3"/>
  <c r="P69" i="3" s="1"/>
  <c r="O292" i="3"/>
  <c r="P292" i="3" s="1"/>
  <c r="O9" i="3"/>
  <c r="P9" i="3" s="1"/>
  <c r="O313" i="3"/>
  <c r="P313" i="3" s="1"/>
  <c r="O281" i="3"/>
  <c r="P281" i="3" s="1"/>
  <c r="O249" i="3"/>
  <c r="P249" i="3" s="1"/>
  <c r="O217" i="3"/>
  <c r="P217" i="3" s="1"/>
  <c r="O185" i="3"/>
  <c r="P185" i="3" s="1"/>
  <c r="O153" i="3"/>
  <c r="P153" i="3" s="1"/>
  <c r="O121" i="3"/>
  <c r="P121" i="3" s="1"/>
  <c r="O25" i="3"/>
  <c r="P25" i="3" s="1"/>
  <c r="O137" i="3"/>
  <c r="P137" i="3" s="1"/>
  <c r="O36" i="3"/>
  <c r="P36" i="3" s="1"/>
  <c r="O329" i="3"/>
  <c r="P329" i="3" s="1"/>
  <c r="O201" i="3"/>
  <c r="P201" i="3" s="1"/>
  <c r="O105" i="3"/>
  <c r="P105" i="3" s="1"/>
  <c r="O15" i="3"/>
  <c r="P15" i="3" s="1"/>
  <c r="O135" i="3"/>
  <c r="P135" i="3" s="1"/>
  <c r="O70" i="3"/>
  <c r="P70" i="3" s="1"/>
  <c r="O293" i="3"/>
  <c r="P293" i="3" s="1"/>
  <c r="O260" i="3"/>
  <c r="P260" i="3" s="1"/>
  <c r="O164" i="3"/>
  <c r="P164" i="3" s="1"/>
  <c r="O328" i="3"/>
  <c r="P328" i="3" s="1"/>
  <c r="O200" i="3"/>
  <c r="P200" i="3" s="1"/>
  <c r="O136" i="3"/>
  <c r="P136" i="3" s="1"/>
  <c r="O8" i="3"/>
  <c r="P8" i="3" s="1"/>
  <c r="O303" i="3"/>
  <c r="P303" i="3" s="1"/>
  <c r="O239" i="3"/>
  <c r="P239" i="3" s="1"/>
  <c r="O197" i="3"/>
  <c r="P197" i="3" s="1"/>
  <c r="O228" i="3"/>
  <c r="P228" i="3" s="1"/>
  <c r="O264" i="3"/>
  <c r="P264" i="3" s="1"/>
  <c r="O168" i="3"/>
  <c r="P168" i="3" s="1"/>
  <c r="O40" i="3"/>
  <c r="P40" i="3" s="1"/>
  <c r="O335" i="3"/>
  <c r="P335" i="3" s="1"/>
  <c r="O271" i="3"/>
  <c r="P271" i="3" s="1"/>
  <c r="O207" i="3"/>
  <c r="P207" i="3" s="1"/>
  <c r="O175" i="3"/>
  <c r="P175" i="3" s="1"/>
  <c r="O143" i="3"/>
  <c r="P143" i="3" s="1"/>
  <c r="O111" i="3"/>
  <c r="P111" i="3" s="1"/>
  <c r="O333" i="3"/>
  <c r="P333" i="3" s="1"/>
  <c r="O301" i="3"/>
  <c r="P301" i="3" s="1"/>
  <c r="O269" i="3"/>
  <c r="P269" i="3" s="1"/>
  <c r="O237" i="3"/>
  <c r="P237" i="3" s="1"/>
  <c r="O205" i="3"/>
  <c r="P205" i="3" s="1"/>
  <c r="O173" i="3"/>
  <c r="P173" i="3" s="1"/>
  <c r="O104" i="3"/>
  <c r="P104" i="3" s="1"/>
  <c r="O103" i="3"/>
  <c r="P103" i="3" s="1"/>
  <c r="O325" i="3"/>
  <c r="P325" i="3" s="1"/>
  <c r="O132" i="3"/>
  <c r="P132" i="3" s="1"/>
  <c r="O232" i="3"/>
  <c r="P232" i="3" s="1"/>
  <c r="O300" i="3"/>
  <c r="P300" i="3" s="1"/>
  <c r="O236" i="3"/>
  <c r="P236" i="3" s="1"/>
  <c r="O172" i="3"/>
  <c r="P172" i="3" s="1"/>
  <c r="O108" i="3"/>
  <c r="P108" i="3" s="1"/>
  <c r="O12" i="3"/>
  <c r="P12" i="3" s="1"/>
  <c r="O299" i="3"/>
  <c r="P299" i="3" s="1"/>
  <c r="O235" i="3"/>
  <c r="P235" i="3" s="1"/>
  <c r="O203" i="3"/>
  <c r="P203" i="3" s="1"/>
  <c r="O171" i="3"/>
  <c r="P171" i="3" s="1"/>
  <c r="O139" i="3"/>
  <c r="P139" i="3" s="1"/>
  <c r="O107" i="3"/>
  <c r="P107" i="3" s="1"/>
  <c r="O75" i="3"/>
  <c r="P75" i="3" s="1"/>
  <c r="O43" i="3"/>
  <c r="P43" i="3" s="1"/>
  <c r="O11" i="3"/>
  <c r="P11" i="3" s="1"/>
  <c r="O39" i="3"/>
  <c r="P39" i="3" s="1"/>
  <c r="O261" i="3"/>
  <c r="P261" i="3" s="1"/>
  <c r="O100" i="3"/>
  <c r="P100" i="3" s="1"/>
  <c r="O296" i="3"/>
  <c r="P296" i="3" s="1"/>
  <c r="O332" i="3"/>
  <c r="P332" i="3" s="1"/>
  <c r="O268" i="3"/>
  <c r="P268" i="3" s="1"/>
  <c r="O204" i="3"/>
  <c r="P204" i="3" s="1"/>
  <c r="O140" i="3"/>
  <c r="P140" i="3" s="1"/>
  <c r="O76" i="3"/>
  <c r="P76" i="3" s="1"/>
  <c r="O44" i="3"/>
  <c r="P44" i="3" s="1"/>
  <c r="O331" i="3"/>
  <c r="P331" i="3" s="1"/>
  <c r="O267" i="3"/>
  <c r="P267" i="3" s="1"/>
  <c r="O138" i="3"/>
  <c r="P138" i="3" s="1"/>
  <c r="O106" i="3"/>
  <c r="P106" i="3" s="1"/>
  <c r="O74" i="3"/>
  <c r="P74" i="3" s="1"/>
  <c r="O42" i="3"/>
  <c r="P42" i="3" s="1"/>
  <c r="O2" i="3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3" i="1"/>
  <c r="S233" i="1"/>
  <c r="T231" i="1"/>
  <c r="S231" i="1"/>
  <c r="T229" i="1"/>
  <c r="S229" i="1"/>
  <c r="T227" i="1"/>
  <c r="S227" i="1"/>
  <c r="T225" i="1"/>
  <c r="S225" i="1"/>
  <c r="T223" i="1"/>
  <c r="S223" i="1"/>
  <c r="T221" i="1"/>
  <c r="S221" i="1"/>
  <c r="T219" i="1"/>
  <c r="S219" i="1"/>
  <c r="T217" i="1"/>
  <c r="S217" i="1"/>
  <c r="T215" i="1"/>
  <c r="S215" i="1"/>
  <c r="T213" i="1"/>
  <c r="S213" i="1"/>
  <c r="T211" i="1"/>
  <c r="S211" i="1"/>
  <c r="T209" i="1"/>
  <c r="S209" i="1"/>
  <c r="T205" i="1"/>
  <c r="S205" i="1"/>
  <c r="T203" i="1"/>
  <c r="S203" i="1"/>
  <c r="T201" i="1"/>
  <c r="S201" i="1"/>
  <c r="T199" i="1"/>
  <c r="S199" i="1"/>
  <c r="T197" i="1"/>
  <c r="S197" i="1"/>
  <c r="T195" i="1"/>
  <c r="S195" i="1"/>
  <c r="T193" i="1"/>
  <c r="S193" i="1"/>
  <c r="T191" i="1"/>
  <c r="S191" i="1"/>
  <c r="T189" i="1"/>
  <c r="S189" i="1"/>
  <c r="T187" i="1"/>
  <c r="S187" i="1"/>
  <c r="T185" i="1"/>
  <c r="S185" i="1"/>
  <c r="T183" i="1"/>
  <c r="S183" i="1"/>
  <c r="T181" i="1"/>
  <c r="S181" i="1"/>
  <c r="T179" i="1"/>
  <c r="S179" i="1"/>
  <c r="T177" i="1"/>
  <c r="S177" i="1"/>
  <c r="T175" i="1"/>
  <c r="S175" i="1"/>
  <c r="T173" i="1"/>
  <c r="S173" i="1"/>
  <c r="T171" i="1"/>
  <c r="S171" i="1"/>
  <c r="T169" i="1"/>
  <c r="S169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W220" i="1"/>
  <c r="W219" i="1"/>
  <c r="W218" i="1"/>
  <c r="W216" i="1"/>
  <c r="W215" i="1"/>
  <c r="W212" i="1"/>
  <c r="W211" i="1"/>
  <c r="W210" i="1"/>
  <c r="W206" i="1"/>
  <c r="W205" i="1"/>
  <c r="W203" i="1"/>
  <c r="W202" i="1"/>
  <c r="W201" i="1"/>
  <c r="W195" i="1"/>
  <c r="W160" i="1"/>
  <c r="W335" i="1"/>
  <c r="W329" i="1"/>
  <c r="W319" i="1"/>
  <c r="W311" i="1"/>
  <c r="W287" i="1"/>
  <c r="W274" i="1"/>
  <c r="W232" i="1"/>
  <c r="W222" i="1"/>
  <c r="W221" i="1"/>
  <c r="W167" i="1"/>
  <c r="W151" i="1"/>
  <c r="W150" i="1"/>
  <c r="V305" i="1"/>
  <c r="V288" i="1"/>
  <c r="V286" i="1"/>
  <c r="V285" i="1"/>
  <c r="V273" i="1"/>
  <c r="V262" i="1"/>
  <c r="V259" i="1"/>
  <c r="V257" i="1"/>
  <c r="V256" i="1"/>
  <c r="V253" i="1"/>
  <c r="V250" i="1"/>
  <c r="V248" i="1"/>
  <c r="V246" i="1"/>
  <c r="V245" i="1"/>
  <c r="V243" i="1"/>
  <c r="V242" i="1"/>
  <c r="V241" i="1"/>
  <c r="V239" i="1"/>
  <c r="V238" i="1"/>
  <c r="V237" i="1"/>
  <c r="V236" i="1"/>
  <c r="V231" i="1"/>
  <c r="V229" i="1"/>
  <c r="V227" i="1"/>
  <c r="V214" i="1"/>
  <c r="V213" i="1"/>
  <c r="V208" i="1"/>
  <c r="V207" i="1"/>
  <c r="V204" i="1"/>
  <c r="V170" i="1"/>
  <c r="V169" i="1"/>
  <c r="V166" i="1"/>
  <c r="V165" i="1"/>
  <c r="V158" i="1"/>
  <c r="V149" i="1"/>
  <c r="V147" i="1"/>
  <c r="W305" i="1"/>
  <c r="W288" i="1"/>
  <c r="W286" i="1"/>
  <c r="W285" i="1"/>
  <c r="W273" i="1"/>
  <c r="W262" i="1"/>
  <c r="W259" i="1"/>
  <c r="W257" i="1"/>
  <c r="W256" i="1"/>
  <c r="W253" i="1"/>
  <c r="W250" i="1"/>
  <c r="W248" i="1"/>
  <c r="W246" i="1"/>
  <c r="W245" i="1"/>
  <c r="W243" i="1"/>
  <c r="W242" i="1"/>
  <c r="W241" i="1"/>
  <c r="W239" i="1"/>
  <c r="W238" i="1"/>
  <c r="W237" i="1"/>
  <c r="W236" i="1"/>
  <c r="W231" i="1"/>
  <c r="W229" i="1"/>
  <c r="W227" i="1"/>
  <c r="W214" i="1"/>
  <c r="W213" i="1"/>
  <c r="W208" i="1"/>
  <c r="W207" i="1"/>
  <c r="W204" i="1"/>
  <c r="W170" i="1"/>
  <c r="W169" i="1"/>
  <c r="W166" i="1"/>
  <c r="W165" i="1"/>
  <c r="W158" i="1"/>
  <c r="W149" i="1"/>
  <c r="W147" i="1"/>
  <c r="V306" i="1"/>
  <c r="V304" i="1"/>
  <c r="V303" i="1"/>
  <c r="V299" i="1"/>
  <c r="V298" i="1"/>
  <c r="V297" i="1"/>
  <c r="V295" i="1"/>
  <c r="V294" i="1"/>
  <c r="V293" i="1"/>
  <c r="V292" i="1"/>
  <c r="V291" i="1"/>
  <c r="V289" i="1"/>
  <c r="V284" i="1"/>
  <c r="V283" i="1"/>
  <c r="V280" i="1"/>
  <c r="V275" i="1"/>
  <c r="V272" i="1"/>
  <c r="V271" i="1"/>
  <c r="V270" i="1"/>
  <c r="V269" i="1"/>
  <c r="V268" i="1"/>
  <c r="V267" i="1"/>
  <c r="V266" i="1"/>
  <c r="V265" i="1"/>
  <c r="V264" i="1"/>
  <c r="V263" i="1"/>
  <c r="V261" i="1"/>
  <c r="V260" i="1"/>
  <c r="V258" i="1"/>
  <c r="V255" i="1"/>
  <c r="V254" i="1"/>
  <c r="V252" i="1"/>
  <c r="V251" i="1"/>
  <c r="V240" i="1"/>
  <c r="V235" i="1"/>
  <c r="V234" i="1"/>
  <c r="V233" i="1"/>
  <c r="V230" i="1"/>
  <c r="V228" i="1"/>
  <c r="V217" i="1"/>
  <c r="V194" i="1"/>
  <c r="V172" i="1"/>
  <c r="V171" i="1"/>
  <c r="V168" i="1"/>
  <c r="V154" i="1"/>
  <c r="V153" i="1"/>
  <c r="V152" i="1"/>
  <c r="V145" i="1"/>
  <c r="V143" i="1"/>
  <c r="W306" i="1"/>
  <c r="W304" i="1"/>
  <c r="W303" i="1"/>
  <c r="W299" i="1"/>
  <c r="W298" i="1"/>
  <c r="W297" i="1"/>
  <c r="W295" i="1"/>
  <c r="W294" i="1"/>
  <c r="W293" i="1"/>
  <c r="W292" i="1"/>
  <c r="W291" i="1"/>
  <c r="W289" i="1"/>
  <c r="W284" i="1"/>
  <c r="W283" i="1"/>
  <c r="W280" i="1"/>
  <c r="W275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8" i="1"/>
  <c r="W255" i="1"/>
  <c r="W254" i="1"/>
  <c r="W252" i="1"/>
  <c r="W251" i="1"/>
  <c r="W240" i="1"/>
  <c r="W235" i="1"/>
  <c r="W234" i="1"/>
  <c r="W233" i="1"/>
  <c r="W230" i="1"/>
  <c r="W228" i="1"/>
  <c r="W217" i="1"/>
  <c r="W194" i="1"/>
  <c r="W172" i="1"/>
  <c r="W171" i="1"/>
  <c r="W168" i="1"/>
  <c r="W154" i="1"/>
  <c r="W153" i="1"/>
  <c r="W152" i="1"/>
  <c r="W145" i="1"/>
  <c r="W143" i="1"/>
  <c r="V338" i="1"/>
  <c r="V337" i="1"/>
  <c r="V336" i="1"/>
  <c r="V334" i="1"/>
  <c r="V333" i="1"/>
  <c r="V332" i="1"/>
  <c r="V331" i="1"/>
  <c r="V330" i="1"/>
  <c r="V328" i="1"/>
  <c r="V326" i="1"/>
  <c r="V324" i="1"/>
  <c r="V322" i="1"/>
  <c r="V320" i="1"/>
  <c r="V318" i="1"/>
  <c r="V316" i="1"/>
  <c r="V314" i="1"/>
  <c r="V313" i="1"/>
  <c r="V312" i="1"/>
  <c r="V310" i="1"/>
  <c r="V308" i="1"/>
  <c r="V301" i="1"/>
  <c r="V300" i="1"/>
  <c r="V226" i="1"/>
  <c r="V225" i="1"/>
  <c r="V224" i="1"/>
  <c r="V223" i="1"/>
  <c r="V200" i="1"/>
  <c r="V199" i="1"/>
  <c r="V198" i="1"/>
  <c r="V197" i="1"/>
  <c r="V196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63" i="1"/>
  <c r="V162" i="1"/>
  <c r="V161" i="1"/>
  <c r="V157" i="1"/>
  <c r="V156" i="1"/>
  <c r="V155" i="1"/>
  <c r="W338" i="1"/>
  <c r="W337" i="1"/>
  <c r="W336" i="1"/>
  <c r="W334" i="1"/>
  <c r="W333" i="1"/>
  <c r="W332" i="1"/>
  <c r="W331" i="1"/>
  <c r="W330" i="1"/>
  <c r="W328" i="1"/>
  <c r="W326" i="1"/>
  <c r="W324" i="1"/>
  <c r="W322" i="1"/>
  <c r="W320" i="1"/>
  <c r="W318" i="1"/>
  <c r="W316" i="1"/>
  <c r="W314" i="1"/>
  <c r="W313" i="1"/>
  <c r="W312" i="1"/>
  <c r="W310" i="1"/>
  <c r="W308" i="1"/>
  <c r="W301" i="1"/>
  <c r="W300" i="1"/>
  <c r="W226" i="1"/>
  <c r="W225" i="1"/>
  <c r="W224" i="1"/>
  <c r="W223" i="1"/>
  <c r="W200" i="1"/>
  <c r="W199" i="1"/>
  <c r="W198" i="1"/>
  <c r="W197" i="1"/>
  <c r="W196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63" i="1"/>
  <c r="W162" i="1"/>
  <c r="W161" i="1"/>
  <c r="W157" i="1"/>
  <c r="W156" i="1"/>
  <c r="W155" i="1"/>
  <c r="W144" i="1"/>
  <c r="W159" i="1"/>
  <c r="V327" i="1"/>
  <c r="V325" i="1"/>
  <c r="V323" i="1"/>
  <c r="V321" i="1"/>
  <c r="V317" i="1"/>
  <c r="V315" i="1"/>
  <c r="V307" i="1"/>
  <c r="V302" i="1"/>
  <c r="V296" i="1"/>
  <c r="V290" i="1"/>
  <c r="V282" i="1"/>
  <c r="V281" i="1"/>
  <c r="V279" i="1"/>
  <c r="V278" i="1"/>
  <c r="V277" i="1"/>
  <c r="V276" i="1"/>
  <c r="V249" i="1"/>
  <c r="V247" i="1"/>
  <c r="V244" i="1"/>
  <c r="V335" i="1"/>
  <c r="V329" i="1"/>
  <c r="V319" i="1"/>
  <c r="V311" i="1"/>
  <c r="W327" i="1"/>
  <c r="W325" i="1"/>
  <c r="W323" i="1"/>
  <c r="W321" i="1"/>
  <c r="W317" i="1"/>
  <c r="W315" i="1"/>
  <c r="W307" i="1"/>
  <c r="W302" i="1"/>
  <c r="W296" i="1"/>
  <c r="W290" i="1"/>
  <c r="W282" i="1"/>
  <c r="W281" i="1"/>
  <c r="W279" i="1"/>
  <c r="W278" i="1"/>
  <c r="W277" i="1"/>
  <c r="W276" i="1"/>
  <c r="W249" i="1"/>
  <c r="W247" i="1"/>
  <c r="W244" i="1"/>
  <c r="W164" i="1"/>
  <c r="W148" i="1"/>
  <c r="W146" i="1"/>
  <c r="W142" i="1"/>
  <c r="V144" i="1"/>
  <c r="V146" i="1"/>
  <c r="V164" i="1"/>
  <c r="V219" i="1"/>
  <c r="V215" i="1"/>
  <c r="V211" i="1"/>
  <c r="V205" i="1"/>
  <c r="V203" i="1"/>
  <c r="V201" i="1"/>
  <c r="V195" i="1"/>
  <c r="V160" i="1"/>
  <c r="V159" i="1"/>
  <c r="V142" i="1"/>
  <c r="V287" i="1"/>
  <c r="V274" i="1"/>
  <c r="V221" i="1"/>
  <c r="V209" i="1"/>
  <c r="V167" i="1"/>
  <c r="V151" i="1"/>
  <c r="V150" i="1"/>
  <c r="V148" i="1"/>
  <c r="U327" i="1"/>
  <c r="U325" i="1"/>
  <c r="U323" i="1"/>
  <c r="U321" i="1"/>
  <c r="U317" i="1"/>
  <c r="U315" i="1"/>
  <c r="U307" i="1"/>
  <c r="U302" i="1"/>
  <c r="U296" i="1"/>
  <c r="U290" i="1"/>
  <c r="U282" i="1"/>
  <c r="U281" i="1"/>
  <c r="U279" i="1"/>
  <c r="U278" i="1"/>
  <c r="U277" i="1"/>
  <c r="U276" i="1"/>
  <c r="U249" i="1"/>
  <c r="U247" i="1"/>
  <c r="U244" i="1"/>
  <c r="U335" i="1"/>
  <c r="U329" i="1"/>
  <c r="U319" i="1"/>
  <c r="U311" i="1"/>
  <c r="U287" i="1"/>
  <c r="U274" i="1"/>
  <c r="U305" i="1"/>
  <c r="U288" i="1"/>
  <c r="U286" i="1"/>
  <c r="U285" i="1"/>
  <c r="U273" i="1"/>
  <c r="U262" i="1"/>
  <c r="U259" i="1"/>
  <c r="U257" i="1"/>
  <c r="U256" i="1"/>
  <c r="U253" i="1"/>
  <c r="U250" i="1"/>
  <c r="U248" i="1"/>
  <c r="U246" i="1"/>
  <c r="U245" i="1"/>
  <c r="U243" i="1"/>
  <c r="U242" i="1"/>
  <c r="U241" i="1"/>
  <c r="U239" i="1"/>
  <c r="U238" i="1"/>
  <c r="U237" i="1"/>
  <c r="U236" i="1"/>
  <c r="U272" i="1"/>
  <c r="U306" i="1"/>
  <c r="U304" i="1"/>
  <c r="U303" i="1"/>
  <c r="U299" i="1"/>
  <c r="U298" i="1"/>
  <c r="U297" i="1"/>
  <c r="U295" i="1"/>
  <c r="U294" i="1"/>
  <c r="U293" i="1"/>
  <c r="U292" i="1"/>
  <c r="U291" i="1"/>
  <c r="U289" i="1"/>
  <c r="U284" i="1"/>
  <c r="U283" i="1"/>
  <c r="U280" i="1"/>
  <c r="U275" i="1"/>
  <c r="U271" i="1"/>
  <c r="U270" i="1"/>
  <c r="U269" i="1"/>
  <c r="U268" i="1"/>
  <c r="U267" i="1"/>
  <c r="U266" i="1"/>
  <c r="U265" i="1"/>
  <c r="U264" i="1"/>
  <c r="U263" i="1"/>
  <c r="U261" i="1"/>
  <c r="U260" i="1"/>
  <c r="U258" i="1"/>
  <c r="U255" i="1"/>
  <c r="U254" i="1"/>
  <c r="U252" i="1"/>
  <c r="U251" i="1"/>
  <c r="U240" i="1"/>
  <c r="U235" i="1"/>
  <c r="U338" i="1"/>
  <c r="U337" i="1"/>
  <c r="U336" i="1"/>
  <c r="U334" i="1"/>
  <c r="U333" i="1"/>
  <c r="U332" i="1"/>
  <c r="U331" i="1"/>
  <c r="U330" i="1"/>
  <c r="U328" i="1"/>
  <c r="U326" i="1"/>
  <c r="U324" i="1"/>
  <c r="U322" i="1"/>
  <c r="U320" i="1"/>
  <c r="U318" i="1"/>
  <c r="U316" i="1"/>
  <c r="U314" i="1"/>
  <c r="U313" i="1"/>
  <c r="U312" i="1"/>
  <c r="U310" i="1"/>
  <c r="U308" i="1"/>
  <c r="U301" i="1"/>
  <c r="U300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235" i="1"/>
  <c r="U160" i="1"/>
  <c r="U1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41" i="1"/>
  <c r="U40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63" i="1"/>
  <c r="U62" i="1"/>
  <c r="U61" i="1"/>
  <c r="U65" i="1"/>
  <c r="U67" i="1"/>
  <c r="U81" i="1"/>
  <c r="U80" i="1"/>
  <c r="U79" i="1"/>
  <c r="U78" i="1"/>
  <c r="U77" i="1"/>
  <c r="U94" i="1"/>
  <c r="U135" i="1"/>
  <c r="U134" i="1"/>
  <c r="U133" i="1"/>
  <c r="U132" i="1"/>
  <c r="U140" i="1"/>
  <c r="U139" i="1"/>
  <c r="U138" i="1"/>
  <c r="U148" i="1"/>
  <c r="U151" i="1"/>
  <c r="U150" i="1"/>
  <c r="U164" i="1"/>
  <c r="U167" i="1"/>
  <c r="U232" i="1"/>
  <c r="U222" i="1"/>
  <c r="U221" i="1"/>
  <c r="U209" i="1"/>
  <c r="U15" i="1"/>
  <c r="U14" i="1"/>
  <c r="U93" i="1"/>
  <c r="U220" i="1"/>
  <c r="U219" i="1"/>
  <c r="U218" i="1"/>
  <c r="U216" i="1"/>
  <c r="U215" i="1"/>
  <c r="U212" i="1"/>
  <c r="U211" i="1"/>
  <c r="U210" i="1"/>
  <c r="U206" i="1"/>
  <c r="U205" i="1"/>
  <c r="U203" i="1"/>
  <c r="U202" i="1"/>
  <c r="U201" i="1"/>
  <c r="U195" i="1"/>
  <c r="U159" i="1"/>
  <c r="U136" i="1"/>
  <c r="U97" i="1"/>
  <c r="U96" i="1"/>
  <c r="U95" i="1"/>
  <c r="U92" i="1"/>
  <c r="U90" i="1"/>
  <c r="U89" i="1"/>
  <c r="U88" i="1"/>
  <c r="U87" i="1"/>
  <c r="U86" i="1"/>
  <c r="U85" i="1"/>
  <c r="U84" i="1"/>
  <c r="U83" i="1"/>
  <c r="U82" i="1"/>
  <c r="U18" i="1"/>
  <c r="U10" i="1"/>
  <c r="U231" i="1"/>
  <c r="U229" i="1"/>
  <c r="U227" i="1"/>
  <c r="U214" i="1"/>
  <c r="U213" i="1"/>
  <c r="U208" i="1"/>
  <c r="U207" i="1"/>
  <c r="U204" i="1"/>
  <c r="U170" i="1"/>
  <c r="U169" i="1"/>
  <c r="U166" i="1"/>
  <c r="U165" i="1"/>
  <c r="U158" i="1"/>
  <c r="U149" i="1"/>
  <c r="U147" i="1"/>
  <c r="U146" i="1"/>
  <c r="U137" i="1"/>
  <c r="U131" i="1"/>
  <c r="U130" i="1"/>
  <c r="U129" i="1"/>
  <c r="U128" i="1"/>
  <c r="U127" i="1"/>
  <c r="U124" i="1"/>
  <c r="U123" i="1"/>
  <c r="U121" i="1"/>
  <c r="U115" i="1"/>
  <c r="U91" i="1"/>
  <c r="U75" i="1"/>
  <c r="U71" i="1"/>
  <c r="U68" i="1"/>
  <c r="U66" i="1"/>
  <c r="U64" i="1"/>
  <c r="U60" i="1"/>
  <c r="U59" i="1"/>
  <c r="U58" i="1"/>
  <c r="U44" i="1"/>
  <c r="U39" i="1"/>
  <c r="U13" i="1"/>
  <c r="U7" i="1"/>
  <c r="U234" i="1"/>
  <c r="U233" i="1"/>
  <c r="U230" i="1"/>
  <c r="U228" i="1"/>
  <c r="U217" i="1"/>
  <c r="U194" i="1"/>
  <c r="U172" i="1"/>
  <c r="U171" i="1"/>
  <c r="U168" i="1"/>
  <c r="U154" i="1"/>
  <c r="U153" i="1"/>
  <c r="U152" i="1"/>
  <c r="U145" i="1"/>
  <c r="U143" i="1"/>
  <c r="U142" i="1"/>
  <c r="U141" i="1"/>
  <c r="U126" i="1"/>
  <c r="U125" i="1"/>
  <c r="U122" i="1"/>
  <c r="U120" i="1"/>
  <c r="U119" i="1"/>
  <c r="U118" i="1"/>
  <c r="U117" i="1"/>
  <c r="U116" i="1"/>
  <c r="U76" i="1"/>
  <c r="U74" i="1"/>
  <c r="U73" i="1"/>
  <c r="U72" i="1"/>
  <c r="U70" i="1"/>
  <c r="U69" i="1"/>
  <c r="U43" i="1"/>
  <c r="U42" i="1"/>
  <c r="U17" i="1"/>
  <c r="U12" i="1"/>
  <c r="U8" i="1"/>
  <c r="U6" i="1"/>
  <c r="U5" i="1"/>
  <c r="U4" i="1"/>
  <c r="U3" i="1"/>
  <c r="U2" i="1"/>
  <c r="U224" i="1"/>
  <c r="U225" i="1"/>
  <c r="U226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98" i="1"/>
  <c r="U11" i="1"/>
  <c r="U9" i="1"/>
  <c r="U144" i="1"/>
  <c r="U223" i="1"/>
  <c r="U173" i="1"/>
  <c r="U163" i="1"/>
  <c r="U162" i="1"/>
  <c r="U161" i="1"/>
  <c r="U157" i="1"/>
  <c r="U156" i="1"/>
  <c r="U155" i="1"/>
</calcChain>
</file>

<file path=xl/sharedStrings.xml><?xml version="1.0" encoding="utf-8"?>
<sst xmlns="http://schemas.openxmlformats.org/spreadsheetml/2006/main" count="5045" uniqueCount="1245">
  <si>
    <t>NOM</t>
  </si>
  <si>
    <t>PRENOM</t>
  </si>
  <si>
    <t>Latitude</t>
  </si>
  <si>
    <t>Longitude</t>
  </si>
  <si>
    <t>zetouti</t>
  </si>
  <si>
    <t>abdelali</t>
  </si>
  <si>
    <t>32.072955</t>
  </si>
  <si>
    <t xml:space="preserve"> -7.714114</t>
  </si>
  <si>
    <t>32.072901</t>
  </si>
  <si>
    <t xml:space="preserve"> -7.714428</t>
  </si>
  <si>
    <t>32.073544</t>
  </si>
  <si>
    <t xml:space="preserve"> -7.714549</t>
  </si>
  <si>
    <t>32.073876</t>
  </si>
  <si>
    <t xml:space="preserve"> -7.715518</t>
  </si>
  <si>
    <t>Sol nu non travaille sahb</t>
  </si>
  <si>
    <t>Inconnu</t>
  </si>
  <si>
    <t>32.076087</t>
  </si>
  <si>
    <t xml:space="preserve"> -7.71572</t>
  </si>
  <si>
    <t>Zone lac sahb</t>
  </si>
  <si>
    <t>32.08806</t>
  </si>
  <si>
    <t xml:space="preserve"> -7.716195</t>
  </si>
  <si>
    <t>32.110959</t>
  </si>
  <si>
    <t xml:space="preserve"> -7.742145</t>
  </si>
  <si>
    <t>32.110992</t>
  </si>
  <si>
    <t xml:space="preserve"> -7.742172</t>
  </si>
  <si>
    <t>32.111793</t>
  </si>
  <si>
    <t xml:space="preserve"> -7.726554</t>
  </si>
  <si>
    <t>32.11183</t>
  </si>
  <si>
    <t xml:space="preserve"> -7.726574</t>
  </si>
  <si>
    <t>Aziz</t>
  </si>
  <si>
    <t>Chakli</t>
  </si>
  <si>
    <t>Hatim</t>
  </si>
  <si>
    <t>Charad</t>
  </si>
  <si>
    <t>mhyr</t>
  </si>
  <si>
    <t>aziz</t>
  </si>
  <si>
    <t>32.055944</t>
  </si>
  <si>
    <t>32.055751</t>
  </si>
  <si>
    <t>32.055031</t>
  </si>
  <si>
    <t>32.055188</t>
  </si>
  <si>
    <t>el alami</t>
  </si>
  <si>
    <t>abdelmjid</t>
  </si>
  <si>
    <t>32.159359</t>
  </si>
  <si>
    <t>32.159615</t>
  </si>
  <si>
    <t>32.159503</t>
  </si>
  <si>
    <t>32.160783</t>
  </si>
  <si>
    <t xml:space="preserve">Nbiki </t>
  </si>
  <si>
    <t>Abdelali</t>
  </si>
  <si>
    <t>32.074545</t>
  </si>
  <si>
    <t>32.073942</t>
  </si>
  <si>
    <t>32.074198</t>
  </si>
  <si>
    <t>INC</t>
  </si>
  <si>
    <t>32.090925</t>
  </si>
  <si>
    <t>32.091954</t>
  </si>
  <si>
    <t xml:space="preserve">Date réception </t>
  </si>
  <si>
    <t>Code labo</t>
  </si>
  <si>
    <t>Nature d'ech</t>
  </si>
  <si>
    <t>Réf d'éch</t>
  </si>
  <si>
    <t>Historique de 3 ans</t>
  </si>
  <si>
    <t xml:space="preserve"> demander</t>
  </si>
  <si>
    <t xml:space="preserve">Date d'édition </t>
  </si>
  <si>
    <t xml:space="preserve"> PH-eau</t>
  </si>
  <si>
    <t>Argile %</t>
  </si>
  <si>
    <t>Limon %</t>
  </si>
  <si>
    <t>Sable %</t>
  </si>
  <si>
    <t>MO %</t>
  </si>
  <si>
    <t>Nt %</t>
  </si>
  <si>
    <t>P2O5 mg/kg</t>
  </si>
  <si>
    <t>K2O mg/kg</t>
  </si>
  <si>
    <t>Na2O mg/kg</t>
  </si>
  <si>
    <t>CaO mg/kg</t>
  </si>
  <si>
    <t>MgO  mg/kg</t>
  </si>
  <si>
    <t>Cu  mg/kg</t>
  </si>
  <si>
    <t>Mn mg/kg</t>
  </si>
  <si>
    <t>Fe  mg/kg</t>
  </si>
  <si>
    <t>Zn  mg/kg</t>
  </si>
  <si>
    <t>[NNH4 mg/kg]</t>
  </si>
  <si>
    <t>[NO3 mg/kg]</t>
  </si>
  <si>
    <t>[Cl mg/kg]</t>
  </si>
  <si>
    <t>BORE mg/kg</t>
  </si>
  <si>
    <t>CaCO3 en%</t>
  </si>
  <si>
    <t>S51495</t>
  </si>
  <si>
    <t>SOL</t>
  </si>
  <si>
    <t>P1</t>
  </si>
  <si>
    <t>Olivier</t>
  </si>
  <si>
    <t xml:space="preserve">OCP ALMOUTMIR </t>
  </si>
  <si>
    <t>S51496</t>
  </si>
  <si>
    <t>P2</t>
  </si>
  <si>
    <t>S51497</t>
  </si>
  <si>
    <t>P3</t>
  </si>
  <si>
    <t>Jachère</t>
  </si>
  <si>
    <t>S51498</t>
  </si>
  <si>
    <t>P4</t>
  </si>
  <si>
    <t>S51499</t>
  </si>
  <si>
    <t>P5</t>
  </si>
  <si>
    <t>S51500</t>
  </si>
  <si>
    <t>P6</t>
  </si>
  <si>
    <t>S51501</t>
  </si>
  <si>
    <t>P7</t>
  </si>
  <si>
    <t>S51502</t>
  </si>
  <si>
    <t>P7'(zone racinaire)</t>
  </si>
  <si>
    <t>S51503</t>
  </si>
  <si>
    <t>P8</t>
  </si>
  <si>
    <t>S51504</t>
  </si>
  <si>
    <t>p8'</t>
  </si>
  <si>
    <t>S51505</t>
  </si>
  <si>
    <t>p9</t>
  </si>
  <si>
    <t>S53805</t>
  </si>
  <si>
    <t xml:space="preserve">A1 surface </t>
  </si>
  <si>
    <t>Luzerne</t>
  </si>
  <si>
    <t>-</t>
  </si>
  <si>
    <t>S53806</t>
  </si>
  <si>
    <t>A1 profondeur</t>
  </si>
  <si>
    <t>S53807</t>
  </si>
  <si>
    <t xml:space="preserve">A2 surface </t>
  </si>
  <si>
    <t>S53808</t>
  </si>
  <si>
    <t>A2 profondeur</t>
  </si>
  <si>
    <t>S53809</t>
  </si>
  <si>
    <t xml:space="preserve">A3 surface </t>
  </si>
  <si>
    <t>S53810</t>
  </si>
  <si>
    <t>A3 profondeur</t>
  </si>
  <si>
    <t>S53811</t>
  </si>
  <si>
    <t xml:space="preserve">A4 surface </t>
  </si>
  <si>
    <t>céréale</t>
  </si>
  <si>
    <t>S53812</t>
  </si>
  <si>
    <t>A4 profondeur</t>
  </si>
  <si>
    <t>S53813</t>
  </si>
  <si>
    <t xml:space="preserve">A5 surface </t>
  </si>
  <si>
    <t>S53814</t>
  </si>
  <si>
    <t>A5 profondeur</t>
  </si>
  <si>
    <t>S53815</t>
  </si>
  <si>
    <t xml:space="preserve">A6 surface </t>
  </si>
  <si>
    <t>S53816</t>
  </si>
  <si>
    <t>A6 profondeur</t>
  </si>
  <si>
    <t>S53817</t>
  </si>
  <si>
    <t xml:space="preserve">A7 surface </t>
  </si>
  <si>
    <t>S53818</t>
  </si>
  <si>
    <t>A7 profondeur</t>
  </si>
  <si>
    <t>S54264</t>
  </si>
  <si>
    <t>jachère</t>
  </si>
  <si>
    <t>S54265</t>
  </si>
  <si>
    <t>S54266</t>
  </si>
  <si>
    <t>S54267</t>
  </si>
  <si>
    <t>S54268</t>
  </si>
  <si>
    <t>S54269</t>
  </si>
  <si>
    <t>S54270</t>
  </si>
  <si>
    <t>S54271</t>
  </si>
  <si>
    <t>S54272</t>
  </si>
  <si>
    <t>S54273</t>
  </si>
  <si>
    <t>S54274</t>
  </si>
  <si>
    <t>S54275</t>
  </si>
  <si>
    <t>S54276</t>
  </si>
  <si>
    <t>S52007</t>
  </si>
  <si>
    <t>B01-1</t>
  </si>
  <si>
    <t xml:space="preserve">Nbki </t>
  </si>
  <si>
    <t>32.075510</t>
  </si>
  <si>
    <t>-7.661371</t>
  </si>
  <si>
    <t>S52008</t>
  </si>
  <si>
    <t>B01-2</t>
  </si>
  <si>
    <t>S52009</t>
  </si>
  <si>
    <t>B01-3</t>
  </si>
  <si>
    <t>32.07455</t>
  </si>
  <si>
    <t>-7.662681</t>
  </si>
  <si>
    <t>S52010</t>
  </si>
  <si>
    <t>B01-4</t>
  </si>
  <si>
    <t>32.074221</t>
  </si>
  <si>
    <t>S52019</t>
  </si>
  <si>
    <t>B02-1</t>
  </si>
  <si>
    <t>Elmahyr</t>
  </si>
  <si>
    <t xml:space="preserve"> hamid</t>
  </si>
  <si>
    <t>32.073350</t>
  </si>
  <si>
    <t>-7.650342</t>
  </si>
  <si>
    <t>S52020</t>
  </si>
  <si>
    <t>B02-2</t>
  </si>
  <si>
    <t>32.074845</t>
  </si>
  <si>
    <t>S52021</t>
  </si>
  <si>
    <t>B02-3</t>
  </si>
  <si>
    <t>32.07300881</t>
  </si>
  <si>
    <t>S52022</t>
  </si>
  <si>
    <t>B02-4</t>
  </si>
  <si>
    <t>32.073371</t>
  </si>
  <si>
    <t>-7.670225</t>
  </si>
  <si>
    <t>S52043</t>
  </si>
  <si>
    <t>B03-1</t>
  </si>
  <si>
    <t>el mourtil</t>
  </si>
  <si>
    <t>youssef</t>
  </si>
  <si>
    <t>32.141494</t>
  </si>
  <si>
    <t>S52044</t>
  </si>
  <si>
    <t>B03-2</t>
  </si>
  <si>
    <t>32.141015</t>
  </si>
  <si>
    <t>S52045</t>
  </si>
  <si>
    <t>B03-3</t>
  </si>
  <si>
    <t>32.143708</t>
  </si>
  <si>
    <t>S52046</t>
  </si>
  <si>
    <t>B03-4</t>
  </si>
  <si>
    <t>32.143164</t>
  </si>
  <si>
    <t>S52047</t>
  </si>
  <si>
    <t>B05-1</t>
  </si>
  <si>
    <t>el maaroufi</t>
  </si>
  <si>
    <t>said</t>
  </si>
  <si>
    <t>32.144381</t>
  </si>
  <si>
    <t>S52048</t>
  </si>
  <si>
    <t>B05-2</t>
  </si>
  <si>
    <t>32.143483</t>
  </si>
  <si>
    <t>S52049</t>
  </si>
  <si>
    <t>B05-3</t>
  </si>
  <si>
    <t>32.143638</t>
  </si>
  <si>
    <t>S52050</t>
  </si>
  <si>
    <t>B05-4</t>
  </si>
  <si>
    <t>32.142283</t>
  </si>
  <si>
    <t>S52039</t>
  </si>
  <si>
    <t>B07-1</t>
  </si>
  <si>
    <t>stouti</t>
  </si>
  <si>
    <t>abdelkrim</t>
  </si>
  <si>
    <t>32.143223</t>
  </si>
  <si>
    <t>S52040</t>
  </si>
  <si>
    <t>B07-2</t>
  </si>
  <si>
    <t>32.143239</t>
  </si>
  <si>
    <t>S52041</t>
  </si>
  <si>
    <t>B07-3</t>
  </si>
  <si>
    <t>32.142889</t>
  </si>
  <si>
    <t>S52042</t>
  </si>
  <si>
    <t>B07-4</t>
  </si>
  <si>
    <t>32.141727</t>
  </si>
  <si>
    <t>S52056</t>
  </si>
  <si>
    <t>B08-1</t>
  </si>
  <si>
    <t>32.072850</t>
  </si>
  <si>
    <t>S52057</t>
  </si>
  <si>
    <t>B08-2</t>
  </si>
  <si>
    <t>32.072134</t>
  </si>
  <si>
    <t>S52058</t>
  </si>
  <si>
    <t>B08-3</t>
  </si>
  <si>
    <t>32.071564</t>
  </si>
  <si>
    <t>S52059</t>
  </si>
  <si>
    <t>B08-4</t>
  </si>
  <si>
    <t>32.072054</t>
  </si>
  <si>
    <t>S52060</t>
  </si>
  <si>
    <t>B08-5</t>
  </si>
  <si>
    <t>32.072463</t>
  </si>
  <si>
    <t>S52035</t>
  </si>
  <si>
    <t>B09-1</t>
  </si>
  <si>
    <t>chakili mohamed</t>
  </si>
  <si>
    <t>laarbi</t>
  </si>
  <si>
    <t>32.164170</t>
  </si>
  <si>
    <t>S52036</t>
  </si>
  <si>
    <t>B09-2</t>
  </si>
  <si>
    <t>32.165086</t>
  </si>
  <si>
    <t>S52037</t>
  </si>
  <si>
    <t>B09-3</t>
  </si>
  <si>
    <t>32.165142</t>
  </si>
  <si>
    <t>S52038</t>
  </si>
  <si>
    <t>B09-4</t>
  </si>
  <si>
    <t>32.164764</t>
  </si>
  <si>
    <t>S52031</t>
  </si>
  <si>
    <t>B12-1</t>
  </si>
  <si>
    <t>abderahim</t>
  </si>
  <si>
    <t>32.159728</t>
  </si>
  <si>
    <t>S52032</t>
  </si>
  <si>
    <t>B12-2</t>
  </si>
  <si>
    <t>32.159200</t>
  </si>
  <si>
    <t>S52033</t>
  </si>
  <si>
    <t>B12-3</t>
  </si>
  <si>
    <t>32.158860</t>
  </si>
  <si>
    <t>S52034</t>
  </si>
  <si>
    <t>B12-4</t>
  </si>
  <si>
    <t>32.159985</t>
  </si>
  <si>
    <t>S52015</t>
  </si>
  <si>
    <t>B13-1</t>
  </si>
  <si>
    <t xml:space="preserve">Berrami </t>
  </si>
  <si>
    <t>Jamal</t>
  </si>
  <si>
    <t>32.0387410</t>
  </si>
  <si>
    <t>-7.671056</t>
  </si>
  <si>
    <t>S52016</t>
  </si>
  <si>
    <t>B13-2</t>
  </si>
  <si>
    <t>32.037751</t>
  </si>
  <si>
    <t>-7.671360</t>
  </si>
  <si>
    <t>S52017</t>
  </si>
  <si>
    <t>B13-3</t>
  </si>
  <si>
    <t>32.039820</t>
  </si>
  <si>
    <t>S52018</t>
  </si>
  <si>
    <t>B13-4</t>
  </si>
  <si>
    <t>-7.671996</t>
  </si>
  <si>
    <t>S52011</t>
  </si>
  <si>
    <t>B17-1</t>
  </si>
  <si>
    <t xml:space="preserve">Charouni </t>
  </si>
  <si>
    <t>Mohamed</t>
  </si>
  <si>
    <t>32.069006</t>
  </si>
  <si>
    <t>-7.674381</t>
  </si>
  <si>
    <t>S52012</t>
  </si>
  <si>
    <t>B17-2</t>
  </si>
  <si>
    <t>-7.674707</t>
  </si>
  <si>
    <t>S52013</t>
  </si>
  <si>
    <t>B17-3</t>
  </si>
  <si>
    <t>32.069505</t>
  </si>
  <si>
    <t>S52014</t>
  </si>
  <si>
    <t>B17-4</t>
  </si>
  <si>
    <t>32.070301</t>
  </si>
  <si>
    <t>-7.674809</t>
  </si>
  <si>
    <t>S52061</t>
  </si>
  <si>
    <t>B18-1</t>
  </si>
  <si>
    <t xml:space="preserve">ouhdani </t>
  </si>
  <si>
    <t>abderahman</t>
  </si>
  <si>
    <t>32.065015</t>
  </si>
  <si>
    <t>S52062</t>
  </si>
  <si>
    <t>B18-2</t>
  </si>
  <si>
    <t>32.064826</t>
  </si>
  <si>
    <t>S52063</t>
  </si>
  <si>
    <t>B18-3</t>
  </si>
  <si>
    <t>32.065421</t>
  </si>
  <si>
    <t>S52064</t>
  </si>
  <si>
    <t>B18-4</t>
  </si>
  <si>
    <t>32.065032</t>
  </si>
  <si>
    <t>S52065</t>
  </si>
  <si>
    <t>B18-5</t>
  </si>
  <si>
    <t>32.065117</t>
  </si>
  <si>
    <t>S52027</t>
  </si>
  <si>
    <t>B20-1</t>
  </si>
  <si>
    <t>nourdinne</t>
  </si>
  <si>
    <t>32.159731</t>
  </si>
  <si>
    <t>PAM</t>
  </si>
  <si>
    <t>S52028</t>
  </si>
  <si>
    <t>B20-2</t>
  </si>
  <si>
    <t>32.160091</t>
  </si>
  <si>
    <t>S52029</t>
  </si>
  <si>
    <t>B20-3</t>
  </si>
  <si>
    <t>32.159963</t>
  </si>
  <si>
    <t>S52030</t>
  </si>
  <si>
    <t>B20-4</t>
  </si>
  <si>
    <t>32.160367</t>
  </si>
  <si>
    <t>S51999</t>
  </si>
  <si>
    <t>B21-1</t>
  </si>
  <si>
    <t xml:space="preserve">Thmeny </t>
  </si>
  <si>
    <t>lhocein</t>
  </si>
  <si>
    <t>32.074305</t>
  </si>
  <si>
    <t>-7.67841</t>
  </si>
  <si>
    <t>S52000</t>
  </si>
  <si>
    <t>B21-2</t>
  </si>
  <si>
    <t>-7.678857</t>
  </si>
  <si>
    <t>S52001</t>
  </si>
  <si>
    <t>B21-3</t>
  </si>
  <si>
    <t>32.074642</t>
  </si>
  <si>
    <t>-7.6779101</t>
  </si>
  <si>
    <t>S52002</t>
  </si>
  <si>
    <t>B21-4</t>
  </si>
  <si>
    <t>32.073731</t>
  </si>
  <si>
    <t>S52003</t>
  </si>
  <si>
    <t>B23-1</t>
  </si>
  <si>
    <t>Achraf</t>
  </si>
  <si>
    <t>32.060598</t>
  </si>
  <si>
    <t>-7.737180</t>
  </si>
  <si>
    <t>S52004</t>
  </si>
  <si>
    <t>B23-2</t>
  </si>
  <si>
    <t>32.060988</t>
  </si>
  <si>
    <t>-7.737268</t>
  </si>
  <si>
    <t>S52005</t>
  </si>
  <si>
    <t>B23-3</t>
  </si>
  <si>
    <t>32.061283</t>
  </si>
  <si>
    <t>-7.740888</t>
  </si>
  <si>
    <t>S52006</t>
  </si>
  <si>
    <t>B23-4</t>
  </si>
  <si>
    <t>32.060843</t>
  </si>
  <si>
    <t>-7.736256</t>
  </si>
  <si>
    <t>S52051</t>
  </si>
  <si>
    <t>B25-1</t>
  </si>
  <si>
    <t>belayan</t>
  </si>
  <si>
    <t>hassan</t>
  </si>
  <si>
    <t>32.071375</t>
  </si>
  <si>
    <t>S52052</t>
  </si>
  <si>
    <t>B25-2</t>
  </si>
  <si>
    <t>32.074861</t>
  </si>
  <si>
    <t>S52053</t>
  </si>
  <si>
    <t>B25-3</t>
  </si>
  <si>
    <t>32.071790</t>
  </si>
  <si>
    <t>S52054</t>
  </si>
  <si>
    <t>B25-4</t>
  </si>
  <si>
    <t>32.077695</t>
  </si>
  <si>
    <t>S52055</t>
  </si>
  <si>
    <t>B25-5</t>
  </si>
  <si>
    <t>32.074860</t>
  </si>
  <si>
    <t>S52023</t>
  </si>
  <si>
    <t>BB13-1</t>
  </si>
  <si>
    <t xml:space="preserve">Elmahyr </t>
  </si>
  <si>
    <t>zienabide</t>
  </si>
  <si>
    <t>32.076685</t>
  </si>
  <si>
    <t>-7.667898</t>
  </si>
  <si>
    <t>S52024</t>
  </si>
  <si>
    <t>BB13-2</t>
  </si>
  <si>
    <t>32.077421</t>
  </si>
  <si>
    <t>-7.667890</t>
  </si>
  <si>
    <t>S52025</t>
  </si>
  <si>
    <t>BB13-3</t>
  </si>
  <si>
    <t>-7.667892</t>
  </si>
  <si>
    <t>S52026</t>
  </si>
  <si>
    <t>BB13-4</t>
  </si>
  <si>
    <t>32.076715</t>
  </si>
  <si>
    <t>-7.668200</t>
  </si>
  <si>
    <t>S52066</t>
  </si>
  <si>
    <t>I01</t>
  </si>
  <si>
    <t>32.090838</t>
  </si>
  <si>
    <t>-7.728580</t>
  </si>
  <si>
    <t>S52067</t>
  </si>
  <si>
    <t>I02</t>
  </si>
  <si>
    <t>32.090509</t>
  </si>
  <si>
    <t>-7.726104</t>
  </si>
  <si>
    <t>S52068</t>
  </si>
  <si>
    <t>I03</t>
  </si>
  <si>
    <t>32.091443</t>
  </si>
  <si>
    <t>S52069</t>
  </si>
  <si>
    <t>I04</t>
  </si>
  <si>
    <t>32.091897</t>
  </si>
  <si>
    <t>S52070</t>
  </si>
  <si>
    <t>I05</t>
  </si>
  <si>
    <t>32.092288</t>
  </si>
  <si>
    <t>S52071</t>
  </si>
  <si>
    <t>I06</t>
  </si>
  <si>
    <t>32.092703</t>
  </si>
  <si>
    <t>S52072</t>
  </si>
  <si>
    <t>I07</t>
  </si>
  <si>
    <t>32.094368</t>
  </si>
  <si>
    <t>S52073</t>
  </si>
  <si>
    <t>I08</t>
  </si>
  <si>
    <t>32.092509</t>
  </si>
  <si>
    <t>-7.724587</t>
  </si>
  <si>
    <t>S52074</t>
  </si>
  <si>
    <t>I09</t>
  </si>
  <si>
    <t>32.092648</t>
  </si>
  <si>
    <t>S52075</t>
  </si>
  <si>
    <t>I10</t>
  </si>
  <si>
    <t>32.092936</t>
  </si>
  <si>
    <t>-7.721214</t>
  </si>
  <si>
    <t>S52076</t>
  </si>
  <si>
    <t>I11</t>
  </si>
  <si>
    <t>32.093119</t>
  </si>
  <si>
    <t>-7.719778</t>
  </si>
  <si>
    <t>S52077</t>
  </si>
  <si>
    <t>I12</t>
  </si>
  <si>
    <t>32.092408</t>
  </si>
  <si>
    <t>-7.717821</t>
  </si>
  <si>
    <t>S52078</t>
  </si>
  <si>
    <t>I13</t>
  </si>
  <si>
    <t>32.091933</t>
  </si>
  <si>
    <t>-7.718514</t>
  </si>
  <si>
    <t>S52079</t>
  </si>
  <si>
    <t>I14</t>
  </si>
  <si>
    <t>32.091439</t>
  </si>
  <si>
    <t>-7.719521</t>
  </si>
  <si>
    <t>S52080</t>
  </si>
  <si>
    <t>I15</t>
  </si>
  <si>
    <t>32.090993</t>
  </si>
  <si>
    <t>-7.721225</t>
  </si>
  <si>
    <t>S52081</t>
  </si>
  <si>
    <t>I16</t>
  </si>
  <si>
    <t>32.089851</t>
  </si>
  <si>
    <t>-7.723810</t>
  </si>
  <si>
    <t>S52082</t>
  </si>
  <si>
    <t>I17</t>
  </si>
  <si>
    <t>32.090569</t>
  </si>
  <si>
    <t>-7.724148</t>
  </si>
  <si>
    <t>S52083</t>
  </si>
  <si>
    <t>I18</t>
  </si>
  <si>
    <t>32.1054708</t>
  </si>
  <si>
    <t>S52084</t>
  </si>
  <si>
    <t>I19</t>
  </si>
  <si>
    <t>32.104762</t>
  </si>
  <si>
    <t>S52085</t>
  </si>
  <si>
    <t>I20</t>
  </si>
  <si>
    <t>32.105347</t>
  </si>
  <si>
    <t>S52086</t>
  </si>
  <si>
    <t>I21</t>
  </si>
  <si>
    <t>32.106154</t>
  </si>
  <si>
    <t>S52087</t>
  </si>
  <si>
    <t>I22</t>
  </si>
  <si>
    <t>32.106104</t>
  </si>
  <si>
    <t>S52088</t>
  </si>
  <si>
    <t>I23</t>
  </si>
  <si>
    <t>32.103660</t>
  </si>
  <si>
    <t>S52089</t>
  </si>
  <si>
    <t>I24</t>
  </si>
  <si>
    <t>32.104594</t>
  </si>
  <si>
    <t>S52090</t>
  </si>
  <si>
    <t>I25</t>
  </si>
  <si>
    <t>32.104701</t>
  </si>
  <si>
    <t>S52091</t>
  </si>
  <si>
    <t>I26</t>
  </si>
  <si>
    <t>32.103626</t>
  </si>
  <si>
    <t>S52092</t>
  </si>
  <si>
    <t>I27</t>
  </si>
  <si>
    <t>32.102569</t>
  </si>
  <si>
    <t>S52093</t>
  </si>
  <si>
    <t>I28</t>
  </si>
  <si>
    <t>32.105661</t>
  </si>
  <si>
    <t>S52094</t>
  </si>
  <si>
    <t>I29</t>
  </si>
  <si>
    <t>32.106042</t>
  </si>
  <si>
    <t>S52095</t>
  </si>
  <si>
    <t>I30</t>
  </si>
  <si>
    <t>32.107860</t>
  </si>
  <si>
    <t>S52096</t>
  </si>
  <si>
    <t>I31</t>
  </si>
  <si>
    <t>32.099722</t>
  </si>
  <si>
    <t>S52097</t>
  </si>
  <si>
    <t>I32</t>
  </si>
  <si>
    <t>32.090739</t>
  </si>
  <si>
    <t>S52098</t>
  </si>
  <si>
    <t>I34</t>
  </si>
  <si>
    <t>32.091936</t>
  </si>
  <si>
    <t>S52099</t>
  </si>
  <si>
    <t>I35</t>
  </si>
  <si>
    <t>32.092794</t>
  </si>
  <si>
    <t>S52100</t>
  </si>
  <si>
    <t>I37</t>
  </si>
  <si>
    <t>32.091924</t>
  </si>
  <si>
    <t>P1 surface</t>
  </si>
  <si>
    <t>P1 profondeur</t>
  </si>
  <si>
    <t>P2 surface</t>
  </si>
  <si>
    <t>P2 profondeur</t>
  </si>
  <si>
    <t>P3 surface</t>
  </si>
  <si>
    <t>P3 profondeur</t>
  </si>
  <si>
    <t>P4 surface</t>
  </si>
  <si>
    <t>P4 profondeur</t>
  </si>
  <si>
    <t>P5 surface -Sel-</t>
  </si>
  <si>
    <t>P5 profondeur -Sel-</t>
  </si>
  <si>
    <t>P6 surface</t>
  </si>
  <si>
    <t>P6 profondeur</t>
  </si>
  <si>
    <t>P7 surface</t>
  </si>
  <si>
    <t>P7 profondeur</t>
  </si>
  <si>
    <t>P8 surface</t>
  </si>
  <si>
    <t>P8 profondeur</t>
  </si>
  <si>
    <t>P9 surface</t>
  </si>
  <si>
    <t>P9 profondeur</t>
  </si>
  <si>
    <t>P11 surface</t>
  </si>
  <si>
    <t>P11 profondeur</t>
  </si>
  <si>
    <t>P12 surface</t>
  </si>
  <si>
    <t>P12 profondeur</t>
  </si>
  <si>
    <t>P13 surface</t>
  </si>
  <si>
    <t>P14 surface</t>
  </si>
  <si>
    <t>P14 profondeur</t>
  </si>
  <si>
    <t>S55239</t>
  </si>
  <si>
    <t>S55240</t>
  </si>
  <si>
    <t>S55241</t>
  </si>
  <si>
    <t>S55242</t>
  </si>
  <si>
    <t>S55243</t>
  </si>
  <si>
    <t>S55244</t>
  </si>
  <si>
    <t>S55245</t>
  </si>
  <si>
    <t>S55246</t>
  </si>
  <si>
    <t>S55247</t>
  </si>
  <si>
    <t>S55248</t>
  </si>
  <si>
    <t>S55249</t>
  </si>
  <si>
    <t>S55250</t>
  </si>
  <si>
    <t>S55251</t>
  </si>
  <si>
    <t>S55252</t>
  </si>
  <si>
    <t>S55253</t>
  </si>
  <si>
    <t>S55254</t>
  </si>
  <si>
    <t>S55255</t>
  </si>
  <si>
    <t>S55256</t>
  </si>
  <si>
    <t>S55257</t>
  </si>
  <si>
    <t>S55258</t>
  </si>
  <si>
    <t>S55259</t>
  </si>
  <si>
    <t>S55260</t>
  </si>
  <si>
    <t>S55261</t>
  </si>
  <si>
    <t>S55262</t>
  </si>
  <si>
    <t>S55263</t>
  </si>
  <si>
    <t>&lt;0,5</t>
  </si>
  <si>
    <t>&lt;1</t>
  </si>
  <si>
    <t>% CaCO3 ACTIF AXB</t>
  </si>
  <si>
    <t>S57083</t>
  </si>
  <si>
    <t xml:space="preserve">S1 surface </t>
  </si>
  <si>
    <t>S57084</t>
  </si>
  <si>
    <t xml:space="preserve">S1 profond </t>
  </si>
  <si>
    <t>S57085</t>
  </si>
  <si>
    <t xml:space="preserve">S2 surface </t>
  </si>
  <si>
    <t>S57086</t>
  </si>
  <si>
    <t xml:space="preserve">S2 profond </t>
  </si>
  <si>
    <t>S57087</t>
  </si>
  <si>
    <t xml:space="preserve">S3 surface </t>
  </si>
  <si>
    <t>S57088</t>
  </si>
  <si>
    <t xml:space="preserve">S3 profond </t>
  </si>
  <si>
    <t>S57089</t>
  </si>
  <si>
    <t xml:space="preserve">S4 surface </t>
  </si>
  <si>
    <t>S57090</t>
  </si>
  <si>
    <t xml:space="preserve">S4 profond </t>
  </si>
  <si>
    <t>S57091</t>
  </si>
  <si>
    <t xml:space="preserve">S5 surface </t>
  </si>
  <si>
    <t>S57092</t>
  </si>
  <si>
    <t xml:space="preserve">S5 profond </t>
  </si>
  <si>
    <t>S57093</t>
  </si>
  <si>
    <t xml:space="preserve">S6 surface </t>
  </si>
  <si>
    <t>S57094</t>
  </si>
  <si>
    <t xml:space="preserve">S6 profond </t>
  </si>
  <si>
    <t>S57095</t>
  </si>
  <si>
    <t xml:space="preserve">S7 surface </t>
  </si>
  <si>
    <t>S57096</t>
  </si>
  <si>
    <t xml:space="preserve">S7 profond </t>
  </si>
  <si>
    <t xml:space="preserve">OCP AL MOUTMIR </t>
  </si>
  <si>
    <t>Saadaoui</t>
  </si>
  <si>
    <t>Bensiid</t>
  </si>
  <si>
    <t>Hafid</t>
  </si>
  <si>
    <t>Mostafa</t>
  </si>
  <si>
    <t>Bouhou</t>
  </si>
  <si>
    <t xml:space="preserve">Houcine </t>
  </si>
  <si>
    <t>-7.808405</t>
  </si>
  <si>
    <t>32.1649</t>
  </si>
  <si>
    <t>-7.734</t>
  </si>
  <si>
    <t>32.1654</t>
  </si>
  <si>
    <t>-7.73418</t>
  </si>
  <si>
    <t>32.1737</t>
  </si>
  <si>
    <t>-7.72953</t>
  </si>
  <si>
    <t>32.1733</t>
  </si>
  <si>
    <t>-7.72962</t>
  </si>
  <si>
    <t>32.1724</t>
  </si>
  <si>
    <t>-7.72949</t>
  </si>
  <si>
    <t>32.1721</t>
  </si>
  <si>
    <t>-7.72507</t>
  </si>
  <si>
    <t>32.1516</t>
  </si>
  <si>
    <t>-7.71002</t>
  </si>
  <si>
    <t>32.1388</t>
  </si>
  <si>
    <t>-7.61132</t>
  </si>
  <si>
    <t>32.1387</t>
  </si>
  <si>
    <t>-7.61292</t>
  </si>
  <si>
    <t>32.1267</t>
  </si>
  <si>
    <t>-7.62541</t>
  </si>
  <si>
    <t>32.1274</t>
  </si>
  <si>
    <t>-7.62702</t>
  </si>
  <si>
    <t>32.1271</t>
  </si>
  <si>
    <t>-7.62669</t>
  </si>
  <si>
    <t>32.0771</t>
  </si>
  <si>
    <t>-7.68026</t>
  </si>
  <si>
    <t>32.0674</t>
  </si>
  <si>
    <t>-7.70281</t>
  </si>
  <si>
    <t>32.0671</t>
  </si>
  <si>
    <t>-7.7035</t>
  </si>
  <si>
    <t>32.0851</t>
  </si>
  <si>
    <t>-7.71718</t>
  </si>
  <si>
    <t>32.0993</t>
  </si>
  <si>
    <t>-7.72362</t>
  </si>
  <si>
    <t>32.1154</t>
  </si>
  <si>
    <t>-7.72701</t>
  </si>
  <si>
    <t>32.1205</t>
  </si>
  <si>
    <t>-7.72901</t>
  </si>
  <si>
    <t>32.1234</t>
  </si>
  <si>
    <t>-7.7288</t>
  </si>
  <si>
    <t>32.137149</t>
  </si>
  <si>
    <t>-7.718301</t>
  </si>
  <si>
    <t>32.129172</t>
  </si>
  <si>
    <t>-7.704981</t>
  </si>
  <si>
    <t>32.115411</t>
  </si>
  <si>
    <t>-7.726594</t>
  </si>
  <si>
    <t>32.038228</t>
  </si>
  <si>
    <t>-7.80802</t>
  </si>
  <si>
    <t>32.038057</t>
  </si>
  <si>
    <t>-7.795674</t>
  </si>
  <si>
    <t>32.034309</t>
  </si>
  <si>
    <t>-7.606156</t>
  </si>
  <si>
    <t>-7.605771</t>
  </si>
  <si>
    <t>-7.605756</t>
  </si>
  <si>
    <t>-7.607513</t>
  </si>
  <si>
    <t>-7.607779</t>
  </si>
  <si>
    <t>-7.608339</t>
  </si>
  <si>
    <t>-7.610090</t>
  </si>
  <si>
    <t>-7.610152</t>
  </si>
  <si>
    <t>-7.608139</t>
  </si>
  <si>
    <t>-7.610968</t>
  </si>
  <si>
    <t>-7.610286</t>
  </si>
  <si>
    <t>-7.612182</t>
  </si>
  <si>
    <t>-7.596568</t>
  </si>
  <si>
    <t>-7.598101</t>
  </si>
  <si>
    <t>-7.599593</t>
  </si>
  <si>
    <t>-7.598778</t>
  </si>
  <si>
    <t>-7.598064</t>
  </si>
  <si>
    <t>-7.607320</t>
  </si>
  <si>
    <t>-7.727200</t>
  </si>
  <si>
    <t>-7.725933</t>
  </si>
  <si>
    <t>-7.725460</t>
  </si>
  <si>
    <t>-7.725802</t>
  </si>
  <si>
    <t>-7.726342</t>
  </si>
  <si>
    <t>-7.722335</t>
  </si>
  <si>
    <t>-7.662378</t>
  </si>
  <si>
    <t>-7.660432</t>
  </si>
  <si>
    <t>-7.670328</t>
  </si>
  <si>
    <t>-7.740417</t>
  </si>
  <si>
    <t>-7.739493</t>
  </si>
  <si>
    <t>-7.741590</t>
  </si>
  <si>
    <t>-7.739500</t>
  </si>
  <si>
    <t>-7.739161</t>
  </si>
  <si>
    <t>-7.738758</t>
  </si>
  <si>
    <t>-7.737347</t>
  </si>
  <si>
    <t>-7.749701</t>
  </si>
  <si>
    <t>-7.748653</t>
  </si>
  <si>
    <t>-7.747894</t>
  </si>
  <si>
    <t>-7.749118</t>
  </si>
  <si>
    <t>-7.714201</t>
  </si>
  <si>
    <t>-7.714718</t>
  </si>
  <si>
    <t>-7.714015</t>
  </si>
  <si>
    <t>-7.713917</t>
  </si>
  <si>
    <t>-7.714612</t>
  </si>
  <si>
    <t>-7.736748</t>
  </si>
  <si>
    <t>-7.736346</t>
  </si>
  <si>
    <t>-7.737032</t>
  </si>
  <si>
    <t>-7.737682</t>
  </si>
  <si>
    <t>-7.731810</t>
  </si>
  <si>
    <t>-7.731826</t>
  </si>
  <si>
    <t>-7.730728</t>
  </si>
  <si>
    <t>-7.731538</t>
  </si>
  <si>
    <t>-7.671991</t>
  </si>
  <si>
    <t>-7.674713</t>
  </si>
  <si>
    <t>-7.668097</t>
  </si>
  <si>
    <t>-7.668641</t>
  </si>
  <si>
    <t>-7.667153</t>
  </si>
  <si>
    <t>-7.668509</t>
  </si>
  <si>
    <t>-7.668010</t>
  </si>
  <si>
    <t>-7.733485</t>
  </si>
  <si>
    <t>-7.733293</t>
  </si>
  <si>
    <t>-7.733129</t>
  </si>
  <si>
    <t>-7.732994</t>
  </si>
  <si>
    <t>-7.679320</t>
  </si>
  <si>
    <t>-7.670178</t>
  </si>
  <si>
    <t>-7.670781</t>
  </si>
  <si>
    <t>-7.671012</t>
  </si>
  <si>
    <t>-7.670087</t>
  </si>
  <si>
    <t>-7.670187</t>
  </si>
  <si>
    <t>Abdelhalim</t>
  </si>
  <si>
    <t>S56859</t>
  </si>
  <si>
    <t>sol</t>
  </si>
  <si>
    <t>P1-S</t>
  </si>
  <si>
    <t>S56860</t>
  </si>
  <si>
    <t>P1-P</t>
  </si>
  <si>
    <t>S56861</t>
  </si>
  <si>
    <t>P2-S</t>
  </si>
  <si>
    <t>S56862</t>
  </si>
  <si>
    <t>P2-P</t>
  </si>
  <si>
    <t>S56863</t>
  </si>
  <si>
    <t>P3-S</t>
  </si>
  <si>
    <t>S56864</t>
  </si>
  <si>
    <t>P3-P</t>
  </si>
  <si>
    <t>S56865</t>
  </si>
  <si>
    <t>P4-S</t>
  </si>
  <si>
    <t>S56866</t>
  </si>
  <si>
    <t>P4-P</t>
  </si>
  <si>
    <t>S56867</t>
  </si>
  <si>
    <t>P5-S</t>
  </si>
  <si>
    <t>S56868</t>
  </si>
  <si>
    <t>P5-P</t>
  </si>
  <si>
    <t>S56869</t>
  </si>
  <si>
    <t>P6-S</t>
  </si>
  <si>
    <t>S56870</t>
  </si>
  <si>
    <t>P6-P</t>
  </si>
  <si>
    <t>S56871</t>
  </si>
  <si>
    <t>P6-SET</t>
  </si>
  <si>
    <t>S56872</t>
  </si>
  <si>
    <t>P6-PET</t>
  </si>
  <si>
    <t>S56873</t>
  </si>
  <si>
    <t>P7-S</t>
  </si>
  <si>
    <t>S56874</t>
  </si>
  <si>
    <t>P7-P</t>
  </si>
  <si>
    <t>S56875</t>
  </si>
  <si>
    <t>P7-SET</t>
  </si>
  <si>
    <t>S56876</t>
  </si>
  <si>
    <t>P7-PET</t>
  </si>
  <si>
    <t>S56877</t>
  </si>
  <si>
    <t>P8-S</t>
  </si>
  <si>
    <t>S56878</t>
  </si>
  <si>
    <t>P8-P</t>
  </si>
  <si>
    <t>S56879</t>
  </si>
  <si>
    <t>P8-SET</t>
  </si>
  <si>
    <t>S56880</t>
  </si>
  <si>
    <t>P8-PET</t>
  </si>
  <si>
    <t>S56881</t>
  </si>
  <si>
    <t>P9-S</t>
  </si>
  <si>
    <t>S56882</t>
  </si>
  <si>
    <t>P9-P</t>
  </si>
  <si>
    <t>S56883</t>
  </si>
  <si>
    <t>P9-SET</t>
  </si>
  <si>
    <t>S56884</t>
  </si>
  <si>
    <t>P9-PET</t>
  </si>
  <si>
    <t>S56885</t>
  </si>
  <si>
    <t>P10-S</t>
  </si>
  <si>
    <t>S56886</t>
  </si>
  <si>
    <t>P10-P</t>
  </si>
  <si>
    <t>S56887</t>
  </si>
  <si>
    <t>P10-SET</t>
  </si>
  <si>
    <t>S56888</t>
  </si>
  <si>
    <t>P10-PET</t>
  </si>
  <si>
    <t>S56889</t>
  </si>
  <si>
    <t>P11-S</t>
  </si>
  <si>
    <t>S56890</t>
  </si>
  <si>
    <t>P11-P</t>
  </si>
  <si>
    <t>S56891</t>
  </si>
  <si>
    <t>P12-S</t>
  </si>
  <si>
    <t>S56892</t>
  </si>
  <si>
    <t>P12-P</t>
  </si>
  <si>
    <t>S56893</t>
  </si>
  <si>
    <t>P13-S</t>
  </si>
  <si>
    <t>S56894</t>
  </si>
  <si>
    <t>P13-P</t>
  </si>
  <si>
    <t>S56895</t>
  </si>
  <si>
    <t>P14-S</t>
  </si>
  <si>
    <t>S56896</t>
  </si>
  <si>
    <t>P14-P</t>
  </si>
  <si>
    <t>S56897</t>
  </si>
  <si>
    <t>P15-S</t>
  </si>
  <si>
    <t>S56898</t>
  </si>
  <si>
    <t>P15-P</t>
  </si>
  <si>
    <t>S56899</t>
  </si>
  <si>
    <t>P16-S</t>
  </si>
  <si>
    <t>S56900</t>
  </si>
  <si>
    <t>P16-P</t>
  </si>
  <si>
    <t>S56901</t>
  </si>
  <si>
    <t>P17-S</t>
  </si>
  <si>
    <t>S56902</t>
  </si>
  <si>
    <t>P17-P</t>
  </si>
  <si>
    <t>S56903</t>
  </si>
  <si>
    <t>P18-S</t>
  </si>
  <si>
    <t>S56904</t>
  </si>
  <si>
    <t>P18-P</t>
  </si>
  <si>
    <t>S56905</t>
  </si>
  <si>
    <t>P19-S</t>
  </si>
  <si>
    <t>S56906</t>
  </si>
  <si>
    <t>P19-P</t>
  </si>
  <si>
    <t>S56907</t>
  </si>
  <si>
    <t>P20-S</t>
  </si>
  <si>
    <t>S56908</t>
  </si>
  <si>
    <t>P20-P</t>
  </si>
  <si>
    <t>S56909</t>
  </si>
  <si>
    <t>P21-S</t>
  </si>
  <si>
    <t>S56910</t>
  </si>
  <si>
    <t>P21-P</t>
  </si>
  <si>
    <t>S56911</t>
  </si>
  <si>
    <t>P22-S</t>
  </si>
  <si>
    <t>S56912</t>
  </si>
  <si>
    <t>P22-P</t>
  </si>
  <si>
    <t>OCP AL MOUTMIR</t>
  </si>
  <si>
    <t>&lt;0.5</t>
  </si>
  <si>
    <t>32.074434</t>
  </si>
  <si>
    <t>32.147298</t>
  </si>
  <si>
    <t>32.123488</t>
  </si>
  <si>
    <t>32.1204</t>
  </si>
  <si>
    <t>32.117997</t>
  </si>
  <si>
    <t>32.115647</t>
  </si>
  <si>
    <t>32.112208</t>
  </si>
  <si>
    <t>32.108239</t>
  </si>
  <si>
    <t>32.106084</t>
  </si>
  <si>
    <t>32.101251</t>
  </si>
  <si>
    <t>32.095695</t>
  </si>
  <si>
    <t>32.091964</t>
  </si>
  <si>
    <t>32.091175</t>
  </si>
  <si>
    <t>32.089764</t>
  </si>
  <si>
    <t>32.087551</t>
  </si>
  <si>
    <t>32.085732</t>
  </si>
  <si>
    <t>32.084221</t>
  </si>
  <si>
    <t>32.080212</t>
  </si>
  <si>
    <t>32.082996</t>
  </si>
  <si>
    <t>32.082541</t>
  </si>
  <si>
    <t>32.083016</t>
  </si>
  <si>
    <t>32.081018</t>
  </si>
  <si>
    <t>32.10175</t>
  </si>
  <si>
    <t>-7.735507</t>
  </si>
  <si>
    <t>-7.728719</t>
  </si>
  <si>
    <t>-7.729018</t>
  </si>
  <si>
    <t>-7.727819</t>
  </si>
  <si>
    <t>-7.726867</t>
  </si>
  <si>
    <t>-7.727334</t>
  </si>
  <si>
    <t>-7.728397</t>
  </si>
  <si>
    <t>-7.722835</t>
  </si>
  <si>
    <t>-7.725238</t>
  </si>
  <si>
    <t>-7.721934</t>
  </si>
  <si>
    <t>-7.72245</t>
  </si>
  <si>
    <t>-7.720805</t>
  </si>
  <si>
    <t>-7.717539</t>
  </si>
  <si>
    <t>-7.715227</t>
  </si>
  <si>
    <t>-7.711813</t>
  </si>
  <si>
    <t>-7.715734</t>
  </si>
  <si>
    <t>-7.714944</t>
  </si>
  <si>
    <t>-7.713842</t>
  </si>
  <si>
    <t>-7.722136</t>
  </si>
  <si>
    <t>-7.723433</t>
  </si>
  <si>
    <t>-7.725456</t>
  </si>
  <si>
    <t>-7.746102</t>
  </si>
  <si>
    <t>Clay</t>
  </si>
  <si>
    <t>C</t>
  </si>
  <si>
    <t>CL</t>
  </si>
  <si>
    <t>ZL</t>
  </si>
  <si>
    <t>SCL</t>
  </si>
  <si>
    <t>SL</t>
  </si>
  <si>
    <t>Clay Loam</t>
  </si>
  <si>
    <t>Loam</t>
  </si>
  <si>
    <t>Silt Loam</t>
  </si>
  <si>
    <t>Sandy Clay Loam</t>
  </si>
  <si>
    <t>Sandy Loam</t>
  </si>
  <si>
    <t>Silty Clay</t>
  </si>
  <si>
    <t>L</t>
  </si>
  <si>
    <t>Soil_Tex_V4</t>
  </si>
  <si>
    <t>Soil_TexV4</t>
  </si>
  <si>
    <t>ZC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</si>
  <si>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</si>
  <si>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</si>
  <si>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</si>
  <si>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</si>
  <si>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</si>
  <si>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</si>
  <si>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</si>
  <si>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</si>
  <si>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</si>
  <si>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</si>
  <si>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</si>
  <si>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</si>
  <si>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</si>
  <si>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</si>
  <si>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</si>
  <si>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</si>
  <si>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</si>
  <si>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</si>
  <si>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</si>
  <si>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</si>
  <si>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</si>
  <si>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</si>
  <si>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</si>
  <si>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</si>
  <si>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</si>
  <si>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</si>
  <si>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</si>
  <si>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</si>
  <si>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S1-S</t>
  </si>
  <si>
    <t>S1-P</t>
  </si>
  <si>
    <t>S2-S</t>
  </si>
  <si>
    <t>S2-P</t>
  </si>
  <si>
    <t>S3-S</t>
  </si>
  <si>
    <t>S3-P</t>
  </si>
  <si>
    <t>S4-S</t>
  </si>
  <si>
    <t>S4-P</t>
  </si>
  <si>
    <t>S5-S</t>
  </si>
  <si>
    <t>S5-P</t>
  </si>
  <si>
    <t>S6-S</t>
  </si>
  <si>
    <t>S6-P</t>
  </si>
  <si>
    <t>S7-S</t>
  </si>
  <si>
    <t>S7-P</t>
  </si>
  <si>
    <t>S8-S</t>
  </si>
  <si>
    <t>S8-P</t>
  </si>
  <si>
    <t>S9-S</t>
  </si>
  <si>
    <t>S9-P</t>
  </si>
  <si>
    <t>S10-S</t>
  </si>
  <si>
    <t>S10-P</t>
  </si>
  <si>
    <t>S11-S</t>
  </si>
  <si>
    <t>S11-P</t>
  </si>
  <si>
    <t>S12-S</t>
  </si>
  <si>
    <t>S12-P</t>
  </si>
  <si>
    <t>S13-S</t>
  </si>
  <si>
    <t>S13-P</t>
  </si>
  <si>
    <t>S14-S</t>
  </si>
  <si>
    <t>S14-P</t>
  </si>
  <si>
    <t>S15-S</t>
  </si>
  <si>
    <t>S15-P</t>
  </si>
  <si>
    <t>S16-S</t>
  </si>
  <si>
    <t>S16-P</t>
  </si>
  <si>
    <t>Sol</t>
  </si>
  <si>
    <t>-7.62719004</t>
  </si>
  <si>
    <t>-7.62739253</t>
  </si>
  <si>
    <t>-7.62826118</t>
  </si>
  <si>
    <t>-7.62871608</t>
  </si>
  <si>
    <t>-7.62828164</t>
  </si>
  <si>
    <t>-7.62849982</t>
  </si>
  <si>
    <t>-7.62821271</t>
  </si>
  <si>
    <t>32.08087</t>
  </si>
  <si>
    <t>-7.762659</t>
  </si>
  <si>
    <t>32.083055</t>
  </si>
  <si>
    <t>-7.762595</t>
  </si>
  <si>
    <t>32.085335</t>
  </si>
  <si>
    <t>-7.76281292</t>
  </si>
  <si>
    <t>32.087610</t>
  </si>
  <si>
    <t>-7.762856</t>
  </si>
  <si>
    <t>32.087590</t>
  </si>
  <si>
    <t>-7.763855</t>
  </si>
  <si>
    <t>32.0852255</t>
  </si>
  <si>
    <t>-7.763896</t>
  </si>
  <si>
    <t>32.08310011</t>
  </si>
  <si>
    <t>-7.76371050</t>
  </si>
  <si>
    <t>32.080755</t>
  </si>
  <si>
    <t>-7.763684</t>
  </si>
  <si>
    <t>-7.76480930</t>
  </si>
  <si>
    <t>32.082990</t>
  </si>
  <si>
    <t>-7.764865</t>
  </si>
  <si>
    <t>32.085242</t>
  </si>
  <si>
    <t>-7.7649004</t>
  </si>
  <si>
    <t>32.08755236</t>
  </si>
  <si>
    <t>-7.765026</t>
  </si>
  <si>
    <t>32.087592</t>
  </si>
  <si>
    <t>-7.76600038</t>
  </si>
  <si>
    <t>32.085598</t>
  </si>
  <si>
    <t>-7.76601108</t>
  </si>
  <si>
    <t>32.082946</t>
  </si>
  <si>
    <t>-7.765950</t>
  </si>
  <si>
    <t>32.080942125</t>
  </si>
  <si>
    <t>-7.765892</t>
  </si>
  <si>
    <t>Date de collecte</t>
  </si>
  <si>
    <t>APRA-SELMAS</t>
  </si>
  <si>
    <t>Na+</t>
  </si>
  <si>
    <t>Ca+</t>
  </si>
  <si>
    <t>Mg+</t>
  </si>
  <si>
    <t>SAR</t>
  </si>
  <si>
    <t>Saline-Sodic</t>
  </si>
  <si>
    <t>Soil Type</t>
  </si>
  <si>
    <t>Sodic</t>
  </si>
  <si>
    <t>Optimal</t>
  </si>
  <si>
    <t>EC ms/cm (pate saturée) Calculée</t>
  </si>
  <si>
    <t>EC ms/cm (pate saturée) Mésurée</t>
  </si>
  <si>
    <t>S73824</t>
  </si>
  <si>
    <t>S73825</t>
  </si>
  <si>
    <t>S73826</t>
  </si>
  <si>
    <t>S73827</t>
  </si>
  <si>
    <t>S73828</t>
  </si>
  <si>
    <t>S73829</t>
  </si>
  <si>
    <t>S73830</t>
  </si>
  <si>
    <t>S73831</t>
  </si>
  <si>
    <t>S73832</t>
  </si>
  <si>
    <t>S73833</t>
  </si>
  <si>
    <t>S73834</t>
  </si>
  <si>
    <t>S73835</t>
  </si>
  <si>
    <t>S73836</t>
  </si>
  <si>
    <t>S73837</t>
  </si>
  <si>
    <t>S73838</t>
  </si>
  <si>
    <t>S73839</t>
  </si>
  <si>
    <t>S73840</t>
  </si>
  <si>
    <t>S73841</t>
  </si>
  <si>
    <t>S73842</t>
  </si>
  <si>
    <t>S73843</t>
  </si>
  <si>
    <t>S73844</t>
  </si>
  <si>
    <t>S73845</t>
  </si>
  <si>
    <t>S73846</t>
  </si>
  <si>
    <t>S73847</t>
  </si>
  <si>
    <t>S73848</t>
  </si>
  <si>
    <t>S73849</t>
  </si>
  <si>
    <t>S73850</t>
  </si>
  <si>
    <t>S73851</t>
  </si>
  <si>
    <t>EC 1:5 ms/cm</t>
  </si>
  <si>
    <t>EC 1:2 ms/cm</t>
  </si>
  <si>
    <t>EC 1:1 ms/cm</t>
  </si>
  <si>
    <t>S73852</t>
  </si>
  <si>
    <t>S73853</t>
  </si>
  <si>
    <t>S73854</t>
  </si>
  <si>
    <t>S73855</t>
  </si>
  <si>
    <t>S73856</t>
  </si>
  <si>
    <t>S73857</t>
  </si>
  <si>
    <t>S73858</t>
  </si>
  <si>
    <t>S73859</t>
  </si>
  <si>
    <t>S73860</t>
  </si>
  <si>
    <t>S73861</t>
  </si>
  <si>
    <t>S73862</t>
  </si>
  <si>
    <t>S73863</t>
  </si>
  <si>
    <t>S73864</t>
  </si>
  <si>
    <t>S73865</t>
  </si>
  <si>
    <t>S73866</t>
  </si>
  <si>
    <t>S73867</t>
  </si>
  <si>
    <t>S73868</t>
  </si>
  <si>
    <t>S73869</t>
  </si>
  <si>
    <t>S73870</t>
  </si>
  <si>
    <t>S73871</t>
  </si>
  <si>
    <t>S73872</t>
  </si>
  <si>
    <t>S73873</t>
  </si>
  <si>
    <t>S73874</t>
  </si>
  <si>
    <t>S73875</t>
  </si>
  <si>
    <t>S73876</t>
  </si>
  <si>
    <t>S73877</t>
  </si>
  <si>
    <t>S73878</t>
  </si>
  <si>
    <t>S73879</t>
  </si>
  <si>
    <t>S73880</t>
  </si>
  <si>
    <t>S73881</t>
  </si>
  <si>
    <t>S73882</t>
  </si>
  <si>
    <t>S73883</t>
  </si>
  <si>
    <t>S73884</t>
  </si>
  <si>
    <t>S73885</t>
  </si>
  <si>
    <t>S73886</t>
  </si>
  <si>
    <t>S73887</t>
  </si>
  <si>
    <t>S73888</t>
  </si>
  <si>
    <t>S73889</t>
  </si>
  <si>
    <t>S73890</t>
  </si>
  <si>
    <t>S73891</t>
  </si>
  <si>
    <t>S73892</t>
  </si>
  <si>
    <t>S73893</t>
  </si>
  <si>
    <t>S73894</t>
  </si>
  <si>
    <t>S73895</t>
  </si>
  <si>
    <t>S73896</t>
  </si>
  <si>
    <t>S73897</t>
  </si>
  <si>
    <t>S73898</t>
  </si>
  <si>
    <t>S73899</t>
  </si>
  <si>
    <t>S73900</t>
  </si>
  <si>
    <t>S73901</t>
  </si>
  <si>
    <t>S73902</t>
  </si>
  <si>
    <t>S73903</t>
  </si>
  <si>
    <t>S73904</t>
  </si>
  <si>
    <t>S73905</t>
  </si>
  <si>
    <t>S73906</t>
  </si>
  <si>
    <t>S73907</t>
  </si>
  <si>
    <t>S73908</t>
  </si>
  <si>
    <t>S73909</t>
  </si>
  <si>
    <t>S73910</t>
  </si>
  <si>
    <t>S73911</t>
  </si>
  <si>
    <t>S73912</t>
  </si>
  <si>
    <t>S73913</t>
  </si>
  <si>
    <t>S73914</t>
  </si>
  <si>
    <t>S73915</t>
  </si>
  <si>
    <t>S73916</t>
  </si>
  <si>
    <t>S73917</t>
  </si>
  <si>
    <t>S73918</t>
  </si>
  <si>
    <t>S73919</t>
  </si>
  <si>
    <t>S73920</t>
  </si>
  <si>
    <t>S73921</t>
  </si>
  <si>
    <t>S73922</t>
  </si>
  <si>
    <t>S73923</t>
  </si>
  <si>
    <t>S73924</t>
  </si>
  <si>
    <t>S73925</t>
  </si>
  <si>
    <t>S73926</t>
  </si>
  <si>
    <t>S73927</t>
  </si>
  <si>
    <t>Silty Clay Loam</t>
  </si>
  <si>
    <t>SC</t>
  </si>
  <si>
    <t>Calculée apres 2eme analyse</t>
  </si>
  <si>
    <t>Calculée apres 2eme analyse intercept=0</t>
  </si>
  <si>
    <t>Ca++ (méq/l)</t>
  </si>
  <si>
    <t>Mg++ (méq/l)</t>
  </si>
  <si>
    <t>Na+(méq/l)</t>
  </si>
  <si>
    <t>Na+(méq/100g)</t>
  </si>
  <si>
    <t>K+(meq/l)</t>
  </si>
  <si>
    <t>K+(méq/100g)</t>
  </si>
  <si>
    <t>Ca++ (méq/100g)</t>
  </si>
  <si>
    <t>Mg++ (méq/100g)</t>
  </si>
  <si>
    <t>ESP</t>
  </si>
  <si>
    <t>Intéprétation</t>
  </si>
  <si>
    <t>intéprétation</t>
  </si>
  <si>
    <t>Sol non sodique – Faible risque de dispersion, perméabilité normale</t>
  </si>
  <si>
    <t>None to slight</t>
  </si>
  <si>
    <t>Light to moderate</t>
  </si>
  <si>
    <t>Sol sodique – Risque élevé de dispersion, structure du sol détériorée</t>
  </si>
  <si>
    <t>High to very high</t>
  </si>
  <si>
    <t>Moderate to high</t>
  </si>
  <si>
    <t>Sol très sodique – Très haut risque de dispersion, dégradation sévère</t>
  </si>
  <si>
    <t>Extremely high</t>
  </si>
  <si>
    <t>Sol modérément sodique – Risque modéré de sodicité</t>
  </si>
  <si>
    <t>Intéprétation (Sodicity)</t>
  </si>
  <si>
    <t>non salin et non alcalin</t>
  </si>
  <si>
    <t>salin et non alcalin</t>
  </si>
  <si>
    <t>Intérprétation ESP and EC</t>
  </si>
  <si>
    <t>S77009</t>
  </si>
  <si>
    <t>S77010</t>
  </si>
  <si>
    <t>S77011</t>
  </si>
  <si>
    <t>S77012</t>
  </si>
  <si>
    <t>S77013</t>
  </si>
  <si>
    <t>S77014</t>
  </si>
  <si>
    <t>S77015</t>
  </si>
  <si>
    <t>S77016</t>
  </si>
  <si>
    <t>S77017</t>
  </si>
  <si>
    <t>S77018</t>
  </si>
  <si>
    <t>S77019</t>
  </si>
  <si>
    <t>S77020</t>
  </si>
  <si>
    <t>S77021</t>
  </si>
  <si>
    <t>S77022</t>
  </si>
  <si>
    <t>S77023</t>
  </si>
  <si>
    <t>S77024</t>
  </si>
  <si>
    <t>S77025</t>
  </si>
  <si>
    <t>S77026</t>
  </si>
  <si>
    <t>S77027</t>
  </si>
  <si>
    <t>S77028</t>
  </si>
  <si>
    <t>S77029</t>
  </si>
  <si>
    <t>S77030</t>
  </si>
  <si>
    <t>S77031</t>
  </si>
  <si>
    <t>S77032</t>
  </si>
  <si>
    <t>S77033</t>
  </si>
  <si>
    <t>S77034</t>
  </si>
  <si>
    <t>S77035</t>
  </si>
  <si>
    <t>S77036</t>
  </si>
  <si>
    <t>S77037</t>
  </si>
  <si>
    <t>S77038</t>
  </si>
  <si>
    <t>S77039</t>
  </si>
  <si>
    <t>S77040</t>
  </si>
  <si>
    <t>S77041</t>
  </si>
  <si>
    <t>S77042</t>
  </si>
  <si>
    <t>S77043</t>
  </si>
  <si>
    <t>S77044</t>
  </si>
  <si>
    <t>S77045</t>
  </si>
  <si>
    <t>S77046</t>
  </si>
  <si>
    <t>S77047</t>
  </si>
  <si>
    <t>S77048</t>
  </si>
  <si>
    <t>S77049</t>
  </si>
  <si>
    <t>S77050</t>
  </si>
  <si>
    <t>S77051</t>
  </si>
  <si>
    <t>S77052</t>
  </si>
  <si>
    <t>S77053</t>
  </si>
  <si>
    <t>S77054</t>
  </si>
  <si>
    <t>S77055</t>
  </si>
  <si>
    <t>S77056</t>
  </si>
  <si>
    <t>S77057</t>
  </si>
  <si>
    <t>S77058</t>
  </si>
  <si>
    <t>S77059</t>
  </si>
  <si>
    <t>S77060</t>
  </si>
  <si>
    <t>S77061</t>
  </si>
  <si>
    <t>S77062</t>
  </si>
  <si>
    <t>S77063</t>
  </si>
  <si>
    <t>S77064</t>
  </si>
  <si>
    <t>S77065</t>
  </si>
  <si>
    <t>S77066</t>
  </si>
  <si>
    <t>S77067</t>
  </si>
  <si>
    <t>S77068</t>
  </si>
  <si>
    <t>S77069</t>
  </si>
  <si>
    <t>S77070</t>
  </si>
  <si>
    <t>S77071</t>
  </si>
  <si>
    <t>S77072</t>
  </si>
  <si>
    <t>S77073</t>
  </si>
  <si>
    <t>S77074</t>
  </si>
  <si>
    <t>S77075</t>
  </si>
  <si>
    <t>S77076</t>
  </si>
  <si>
    <t>S77077</t>
  </si>
  <si>
    <t>S77078</t>
  </si>
  <si>
    <t>S77079</t>
  </si>
  <si>
    <t>S77080</t>
  </si>
  <si>
    <t>S77081</t>
  </si>
  <si>
    <t>S77082</t>
  </si>
  <si>
    <t>S77083</t>
  </si>
  <si>
    <t>S77084</t>
  </si>
  <si>
    <t>S77085</t>
  </si>
  <si>
    <t>S77086</t>
  </si>
  <si>
    <t>S77087</t>
  </si>
  <si>
    <t>S77088</t>
  </si>
  <si>
    <t>S77089</t>
  </si>
  <si>
    <t>S77090</t>
  </si>
  <si>
    <t>S77091</t>
  </si>
  <si>
    <t>S77092</t>
  </si>
  <si>
    <t>S77093</t>
  </si>
  <si>
    <t>S77094</t>
  </si>
  <si>
    <t>S77095</t>
  </si>
  <si>
    <t>S77096</t>
  </si>
  <si>
    <t>S77097</t>
  </si>
  <si>
    <t>S77098</t>
  </si>
  <si>
    <t>S77099</t>
  </si>
  <si>
    <t>S77100</t>
  </si>
  <si>
    <t>S77101</t>
  </si>
  <si>
    <t>S77102</t>
  </si>
  <si>
    <t>S77103</t>
  </si>
  <si>
    <t>S77104</t>
  </si>
  <si>
    <t>S77105</t>
  </si>
  <si>
    <t>S77106</t>
  </si>
  <si>
    <t>S77107</t>
  </si>
  <si>
    <t>S77108</t>
  </si>
  <si>
    <t>17/05/2024</t>
  </si>
  <si>
    <t>Prélèvement</t>
  </si>
  <si>
    <t>Surface</t>
  </si>
  <si>
    <t>Profondeur</t>
  </si>
  <si>
    <t>SAR2</t>
  </si>
  <si>
    <t>32.075380</t>
  </si>
  <si>
    <t>32.069594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</si>
</sst>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9C0006"/>
      <name val="Times New Roman"/>
      <family val="1"/>
    </font>
    <font>
      <sz val="12"/>
      <color rgb="FFFF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>
      <protection locked="0"/>
    </xf>
    <xf numFmtId="0" fontId="5" fillId="13" borderId="0" applyNumberFormat="0" applyBorder="0" applyAlignment="0" applyProtection="0"/>
    <xf numFmtId="9" fontId="12" fillId="0" borderId="0" applyFont="0" applyFill="0" applyBorder="0" applyAlignment="0" applyProtection="0"/>
  </cellStyleXfs>
  <cellXfs count="456">
    <xf numFmtId="0" fontId="0" fillId="0" borderId="0" xfId="0"/>
    <xf numFmtId="0" fontId="3" fillId="12" borderId="8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66" fontId="3" fillId="16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6" fontId="6" fillId="16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9" borderId="10" xfId="0" applyNumberFormat="1" applyFont="1" applyFill="1" applyBorder="1" applyAlignment="1">
      <alignment horizontal="center" vertical="center" wrapText="1"/>
    </xf>
    <xf numFmtId="49" fontId="8" fillId="13" borderId="10" xfId="3" applyNumberFormat="1" applyFont="1" applyBorder="1" applyAlignment="1">
      <alignment horizontal="center" vertical="center" wrapText="1"/>
    </xf>
    <xf numFmtId="49" fontId="8" fillId="13" borderId="16" xfId="3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14" fontId="3" fillId="4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 applyProtection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14" fontId="3" fillId="6" borderId="8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 applyProtection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 applyProtection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horizontal="center" vertical="center"/>
    </xf>
    <xf numFmtId="14" fontId="3" fillId="7" borderId="8" xfId="0" applyNumberFormat="1" applyFont="1" applyFill="1" applyBorder="1" applyAlignment="1">
      <alignment horizontal="center" vertical="center"/>
    </xf>
    <xf numFmtId="1" fontId="6" fillId="7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" fontId="3" fillId="7" borderId="2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quotePrefix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quotePrefix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 applyProtection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4" fontId="6" fillId="8" borderId="8" xfId="0" applyNumberFormat="1" applyFont="1" applyFill="1" applyBorder="1" applyAlignment="1">
      <alignment horizontal="center" vertical="center"/>
    </xf>
    <xf numFmtId="14" fontId="3" fillId="8" borderId="8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164" fontId="6" fillId="8" borderId="8" xfId="1" applyNumberFormat="1" applyFont="1" applyFill="1" applyBorder="1" applyAlignment="1" applyProtection="1">
      <alignment horizontal="center" vertical="center"/>
    </xf>
    <xf numFmtId="1" fontId="6" fillId="8" borderId="8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4" fontId="6" fillId="8" borderId="1" xfId="1" applyNumberFormat="1" applyFont="1" applyFill="1" applyBorder="1" applyAlignment="1" applyProtection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1" fontId="3" fillId="8" borderId="6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/>
    </xf>
    <xf numFmtId="1" fontId="3" fillId="9" borderId="8" xfId="0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/>
    </xf>
    <xf numFmtId="164" fontId="6" fillId="9" borderId="8" xfId="2" applyNumberFormat="1" applyFont="1" applyFill="1" applyBorder="1" applyAlignment="1" applyProtection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" xfId="2" applyNumberFormat="1" applyFont="1" applyFill="1" applyBorder="1" applyAlignment="1" applyProtection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165" fontId="3" fillId="9" borderId="18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4" fontId="3" fillId="9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1" fontId="6" fillId="9" borderId="6" xfId="0" applyNumberFormat="1" applyFont="1" applyFill="1" applyBorder="1" applyAlignment="1">
      <alignment horizontal="center" vertical="center"/>
    </xf>
    <xf numFmtId="1" fontId="3" fillId="9" borderId="6" xfId="0" applyNumberFormat="1" applyFont="1" applyFill="1" applyBorder="1" applyAlignment="1">
      <alignment horizontal="center" vertical="center"/>
    </xf>
    <xf numFmtId="165" fontId="3" fillId="9" borderId="20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14" fontId="3" fillId="11" borderId="8" xfId="0" applyNumberFormat="1" applyFont="1" applyFill="1" applyBorder="1" applyAlignment="1">
      <alignment horizontal="center" vertical="center"/>
    </xf>
    <xf numFmtId="1" fontId="6" fillId="11" borderId="8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2" fontId="3" fillId="11" borderId="8" xfId="0" applyNumberFormat="1" applyFont="1" applyFill="1" applyBorder="1" applyAlignment="1">
      <alignment horizontal="center" vertical="center"/>
    </xf>
    <xf numFmtId="1" fontId="3" fillId="11" borderId="8" xfId="0" applyNumberFormat="1" applyFont="1" applyFill="1" applyBorder="1" applyAlignment="1">
      <alignment horizontal="center" vertical="center"/>
    </xf>
    <xf numFmtId="164" fontId="6" fillId="11" borderId="8" xfId="1" applyNumberFormat="1" applyFont="1" applyFill="1" applyBorder="1" applyAlignment="1" applyProtection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 applyProtection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1" borderId="1" xfId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4" fontId="3" fillId="11" borderId="6" xfId="0" applyNumberFormat="1" applyFont="1" applyFill="1" applyBorder="1" applyAlignment="1">
      <alignment horizontal="center" vertical="center"/>
    </xf>
    <xf numFmtId="1" fontId="6" fillId="11" borderId="6" xfId="0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1" fontId="3" fillId="11" borderId="6" xfId="0" applyNumberFormat="1" applyFont="1" applyFill="1" applyBorder="1" applyAlignment="1">
      <alignment horizontal="center" vertical="center"/>
    </xf>
    <xf numFmtId="164" fontId="6" fillId="11" borderId="6" xfId="1" applyNumberFormat="1" applyFont="1" applyFill="1" applyBorder="1" applyAlignment="1" applyProtection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4" fontId="6" fillId="12" borderId="8" xfId="0" applyNumberFormat="1" applyFont="1" applyFill="1" applyBorder="1" applyAlignment="1">
      <alignment horizontal="center" vertical="center"/>
    </xf>
    <xf numFmtId="14" fontId="3" fillId="12" borderId="8" xfId="0" applyNumberFormat="1" applyFont="1" applyFill="1" applyBorder="1" applyAlignment="1">
      <alignment horizontal="center" vertical="center"/>
    </xf>
    <xf numFmtId="1" fontId="6" fillId="12" borderId="8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164" fontId="6" fillId="12" borderId="8" xfId="1" applyNumberFormat="1" applyFont="1" applyFill="1" applyBorder="1" applyAlignment="1" applyProtection="1">
      <alignment horizontal="center" vertical="center"/>
    </xf>
    <xf numFmtId="2" fontId="6" fillId="12" borderId="8" xfId="1" applyNumberFormat="1" applyFont="1" applyFill="1" applyBorder="1" applyAlignment="1" applyProtection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 applyProtection="1">
      <alignment horizontal="center" vertical="center"/>
    </xf>
    <xf numFmtId="2" fontId="6" fillId="12" borderId="1" xfId="1" applyNumberFormat="1" applyFont="1" applyFill="1" applyBorder="1" applyAlignment="1" applyProtection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14" fontId="3" fillId="12" borderId="2" xfId="0" applyNumberFormat="1" applyFont="1" applyFill="1" applyBorder="1" applyAlignment="1">
      <alignment horizontal="center" vertical="center"/>
    </xf>
    <xf numFmtId="1" fontId="6" fillId="12" borderId="2" xfId="0" applyNumberFormat="1" applyFont="1" applyFill="1" applyBorder="1" applyAlignment="1">
      <alignment horizontal="center" vertical="center"/>
    </xf>
    <xf numFmtId="1" fontId="3" fillId="12" borderId="2" xfId="0" applyNumberFormat="1" applyFont="1" applyFill="1" applyBorder="1" applyAlignment="1">
      <alignment horizontal="center" vertical="center"/>
    </xf>
    <xf numFmtId="164" fontId="6" fillId="12" borderId="2" xfId="1" applyNumberFormat="1" applyFont="1" applyFill="1" applyBorder="1" applyAlignment="1" applyProtection="1">
      <alignment horizontal="center" vertical="center"/>
    </xf>
    <xf numFmtId="2" fontId="6" fillId="12" borderId="2" xfId="1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1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 vertical="center"/>
    </xf>
    <xf numFmtId="166" fontId="3" fillId="15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166" fontId="3" fillId="17" borderId="1" xfId="0" applyNumberFormat="1" applyFont="1" applyFill="1" applyBorder="1" applyAlignment="1">
      <alignment horizontal="center" vertical="center"/>
    </xf>
    <xf numFmtId="164" fontId="6" fillId="9" borderId="1" xfId="1" applyNumberFormat="1" applyFont="1" applyFill="1" applyBorder="1" applyAlignment="1" applyProtection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/>
    </xf>
    <xf numFmtId="0" fontId="11" fillId="19" borderId="1" xfId="0" applyFont="1" applyFill="1" applyBorder="1"/>
    <xf numFmtId="0" fontId="11" fillId="19" borderId="2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19" borderId="13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right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49" fontId="7" fillId="20" borderId="10" xfId="0" applyNumberFormat="1" applyFont="1" applyFill="1" applyBorder="1" applyAlignment="1">
      <alignment horizontal="center" vertical="center" wrapText="1"/>
    </xf>
    <xf numFmtId="2" fontId="3" fillId="20" borderId="8" xfId="0" applyNumberFormat="1" applyFont="1" applyFill="1" applyBorder="1" applyAlignment="1">
      <alignment horizontal="center" vertical="center"/>
    </xf>
    <xf numFmtId="2" fontId="3" fillId="20" borderId="3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2" fontId="3" fillId="20" borderId="23" xfId="0" applyNumberFormat="1" applyFont="1" applyFill="1" applyBorder="1" applyAlignment="1">
      <alignment horizontal="center" vertical="center"/>
    </xf>
    <xf numFmtId="2" fontId="3" fillId="20" borderId="6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2" fontId="9" fillId="20" borderId="1" xfId="0" applyNumberFormat="1" applyFont="1" applyFill="1" applyBorder="1" applyAlignment="1">
      <alignment horizontal="center" vertical="center"/>
    </xf>
    <xf numFmtId="2" fontId="6" fillId="20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4" applyFont="1" applyBorder="1"/>
    <xf numFmtId="0" fontId="0" fillId="0" borderId="3" xfId="0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3" fillId="0" borderId="6" xfId="4" applyFont="1" applyBorder="1" applyAlignment="1">
      <alignment horizontal="center" vertical="center" wrapText="1"/>
    </xf>
    <xf numFmtId="9" fontId="3" fillId="4" borderId="8" xfId="4" applyFont="1" applyFill="1" applyBorder="1" applyAlignment="1">
      <alignment horizontal="center" vertical="center"/>
    </xf>
    <xf numFmtId="9" fontId="3" fillId="4" borderId="1" xfId="4" applyFont="1" applyFill="1" applyBorder="1" applyAlignment="1">
      <alignment horizontal="center" vertical="center"/>
    </xf>
    <xf numFmtId="9" fontId="3" fillId="4" borderId="2" xfId="4" applyFont="1" applyFill="1" applyBorder="1" applyAlignment="1">
      <alignment horizontal="center" vertical="center"/>
    </xf>
    <xf numFmtId="9" fontId="3" fillId="6" borderId="8" xfId="4" applyFont="1" applyFill="1" applyBorder="1" applyAlignment="1">
      <alignment horizontal="center" vertical="center"/>
    </xf>
    <xf numFmtId="9" fontId="3" fillId="6" borderId="1" xfId="4" applyFont="1" applyFill="1" applyBorder="1" applyAlignment="1">
      <alignment horizontal="center" vertical="center"/>
    </xf>
    <xf numFmtId="9" fontId="3" fillId="6" borderId="2" xfId="4" applyFont="1" applyFill="1" applyBorder="1" applyAlignment="1">
      <alignment horizontal="center" vertical="center"/>
    </xf>
    <xf numFmtId="9" fontId="3" fillId="7" borderId="8" xfId="4" applyFont="1" applyFill="1" applyBorder="1" applyAlignment="1">
      <alignment horizontal="center" vertical="center"/>
    </xf>
    <xf numFmtId="9" fontId="3" fillId="7" borderId="1" xfId="4" applyFont="1" applyFill="1" applyBorder="1" applyAlignment="1">
      <alignment horizontal="center" vertical="center"/>
    </xf>
    <xf numFmtId="9" fontId="3" fillId="7" borderId="2" xfId="4" applyFont="1" applyFill="1" applyBorder="1" applyAlignment="1">
      <alignment horizontal="center" vertical="center"/>
    </xf>
    <xf numFmtId="9" fontId="3" fillId="3" borderId="8" xfId="4" applyFont="1" applyFill="1" applyBorder="1" applyAlignment="1">
      <alignment horizontal="center" vertical="center"/>
    </xf>
    <xf numFmtId="9" fontId="3" fillId="3" borderId="1" xfId="4" applyFont="1" applyFill="1" applyBorder="1" applyAlignment="1">
      <alignment horizontal="center" vertical="center"/>
    </xf>
    <xf numFmtId="9" fontId="3" fillId="3" borderId="2" xfId="4" applyFont="1" applyFill="1" applyBorder="1" applyAlignment="1">
      <alignment horizontal="center" vertical="center"/>
    </xf>
    <xf numFmtId="9" fontId="3" fillId="5" borderId="8" xfId="4" applyFont="1" applyFill="1" applyBorder="1" applyAlignment="1">
      <alignment horizontal="center" vertical="center"/>
    </xf>
    <xf numFmtId="9" fontId="3" fillId="5" borderId="1" xfId="4" applyFont="1" applyFill="1" applyBorder="1" applyAlignment="1">
      <alignment horizontal="center" vertical="center"/>
    </xf>
    <xf numFmtId="9" fontId="3" fillId="5" borderId="2" xfId="4" applyFont="1" applyFill="1" applyBorder="1" applyAlignment="1">
      <alignment horizontal="center" vertical="center"/>
    </xf>
    <xf numFmtId="9" fontId="3" fillId="2" borderId="8" xfId="4" applyFont="1" applyFill="1" applyBorder="1" applyAlignment="1">
      <alignment horizontal="center" vertical="center"/>
    </xf>
    <xf numFmtId="9" fontId="3" fillId="2" borderId="1" xfId="4" applyFont="1" applyFill="1" applyBorder="1" applyAlignment="1">
      <alignment horizontal="center" vertical="center"/>
    </xf>
    <xf numFmtId="9" fontId="3" fillId="2" borderId="2" xfId="4" applyFont="1" applyFill="1" applyBorder="1" applyAlignment="1">
      <alignment horizontal="center" vertical="center"/>
    </xf>
    <xf numFmtId="9" fontId="3" fillId="8" borderId="8" xfId="4" applyFont="1" applyFill="1" applyBorder="1" applyAlignment="1">
      <alignment horizontal="center" vertical="center"/>
    </xf>
    <xf numFmtId="9" fontId="3" fillId="8" borderId="1" xfId="4" applyFont="1" applyFill="1" applyBorder="1" applyAlignment="1">
      <alignment horizontal="center" vertical="center"/>
    </xf>
    <xf numFmtId="9" fontId="3" fillId="8" borderId="6" xfId="4" applyFont="1" applyFill="1" applyBorder="1" applyAlignment="1">
      <alignment horizontal="center" vertical="center"/>
    </xf>
    <xf numFmtId="9" fontId="3" fillId="9" borderId="8" xfId="4" applyFont="1" applyFill="1" applyBorder="1" applyAlignment="1">
      <alignment horizontal="center" vertical="center"/>
    </xf>
    <xf numFmtId="9" fontId="3" fillId="9" borderId="1" xfId="4" applyFont="1" applyFill="1" applyBorder="1" applyAlignment="1">
      <alignment horizontal="center" vertical="center"/>
    </xf>
    <xf numFmtId="9" fontId="3" fillId="9" borderId="6" xfId="4" applyFont="1" applyFill="1" applyBorder="1" applyAlignment="1">
      <alignment horizontal="center" vertical="center"/>
    </xf>
    <xf numFmtId="9" fontId="3" fillId="10" borderId="8" xfId="4" applyFont="1" applyFill="1" applyBorder="1" applyAlignment="1">
      <alignment horizontal="center" vertical="center"/>
    </xf>
    <xf numFmtId="9" fontId="3" fillId="10" borderId="1" xfId="4" applyFont="1" applyFill="1" applyBorder="1" applyAlignment="1">
      <alignment horizontal="center" vertical="center"/>
    </xf>
    <xf numFmtId="9" fontId="3" fillId="11" borderId="1" xfId="4" applyFont="1" applyFill="1" applyBorder="1" applyAlignment="1">
      <alignment horizontal="center" vertical="center"/>
    </xf>
    <xf numFmtId="9" fontId="3" fillId="11" borderId="6" xfId="4" applyFont="1" applyFill="1" applyBorder="1" applyAlignment="1">
      <alignment horizontal="center" vertical="center"/>
    </xf>
    <xf numFmtId="9" fontId="3" fillId="12" borderId="8" xfId="4" applyFont="1" applyFill="1" applyBorder="1" applyAlignment="1">
      <alignment horizontal="center" vertical="center"/>
    </xf>
    <xf numFmtId="9" fontId="3" fillId="12" borderId="1" xfId="4" applyFont="1" applyFill="1" applyBorder="1" applyAlignment="1">
      <alignment horizontal="center" vertical="center"/>
    </xf>
    <xf numFmtId="9" fontId="3" fillId="12" borderId="2" xfId="4" applyFont="1" applyFill="1" applyBorder="1" applyAlignment="1">
      <alignment horizontal="center" vertical="center"/>
    </xf>
    <xf numFmtId="9" fontId="3" fillId="0" borderId="3" xfId="4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49" fontId="7" fillId="23" borderId="10" xfId="0" applyNumberFormat="1" applyFont="1" applyFill="1" applyBorder="1" applyAlignment="1">
      <alignment horizontal="center" vertical="center" wrapText="1"/>
    </xf>
    <xf numFmtId="164" fontId="6" fillId="23" borderId="1" xfId="1" applyNumberFormat="1" applyFont="1" applyFill="1" applyBorder="1" applyAlignment="1" applyProtection="1">
      <alignment horizontal="center" vertical="center"/>
    </xf>
    <xf numFmtId="1" fontId="3" fillId="23" borderId="8" xfId="0" applyNumberFormat="1" applyFont="1" applyFill="1" applyBorder="1" applyAlignment="1">
      <alignment horizontal="center" vertical="center"/>
    </xf>
    <xf numFmtId="1" fontId="3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1" fontId="3" fillId="23" borderId="2" xfId="0" applyNumberFormat="1" applyFont="1" applyFill="1" applyBorder="1" applyAlignment="1">
      <alignment horizontal="center" vertical="center"/>
    </xf>
    <xf numFmtId="0" fontId="3" fillId="23" borderId="6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1" fontId="6" fillId="23" borderId="1" xfId="0" applyNumberFormat="1" applyFont="1" applyFill="1" applyBorder="1" applyAlignment="1">
      <alignment horizontal="center" vertical="center"/>
    </xf>
    <xf numFmtId="49" fontId="8" fillId="23" borderId="10" xfId="3" applyNumberFormat="1" applyFont="1" applyFill="1" applyBorder="1" applyAlignment="1">
      <alignment horizontal="center" vertical="center" wrapText="1"/>
    </xf>
    <xf numFmtId="165" fontId="3" fillId="23" borderId="8" xfId="0" applyNumberFormat="1" applyFont="1" applyFill="1" applyBorder="1" applyAlignment="1">
      <alignment horizontal="center" vertical="center"/>
    </xf>
    <xf numFmtId="165" fontId="3" fillId="23" borderId="1" xfId="0" applyNumberFormat="1" applyFont="1" applyFill="1" applyBorder="1" applyAlignment="1">
      <alignment horizontal="center" vertical="center"/>
    </xf>
    <xf numFmtId="165" fontId="3" fillId="23" borderId="2" xfId="0" applyNumberFormat="1" applyFont="1" applyFill="1" applyBorder="1" applyAlignment="1">
      <alignment horizontal="center" vertical="center"/>
    </xf>
    <xf numFmtId="165" fontId="3" fillId="23" borderId="6" xfId="0" applyNumberFormat="1" applyFont="1" applyFill="1" applyBorder="1" applyAlignment="1">
      <alignment horizontal="center" vertical="center"/>
    </xf>
    <xf numFmtId="165" fontId="9" fillId="23" borderId="1" xfId="0" applyNumberFormat="1" applyFont="1" applyFill="1" applyBorder="1" applyAlignment="1">
      <alignment horizontal="center" vertical="center"/>
    </xf>
    <xf numFmtId="165" fontId="9" fillId="23" borderId="6" xfId="0" applyNumberFormat="1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5">
    <cellStyle name="Insatisfaisant" xfId="3" builtinId="27"/>
    <cellStyle name="Normal" xfId="0" builtinId="0"/>
    <cellStyle name="Normal 2" xfId="1" xr:uid="{00000000-0005-0000-0000-000002000000}"/>
    <cellStyle name="Normal 3" xfId="2" xr:uid="{00000000-0005-0000-0000-000003000000}"/>
    <cellStyle name="Pourcentage" xfId="4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'Coorelation EC &amp; ESP'!$B$1</c:f>
              <c:strCache>
                <c:ptCount val="1"/>
                <c:pt idx="0">
                  <c:v>ESP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0218722659668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'Coorelation EC &amp; ESP'!$A$2:$A$338</c:f>
              <c:numCache>
                <c:formatCode>General</c:formatCode>
                <c:ptCount val="337"/>
                <c:pt idx="0">
                  <c:v>0.43</c:v>
                </c:pt>
                <c:pt idx="1">
                  <c:v>4.5</c:v>
                </c:pt>
                <c:pt idx="2">
                  <c:v>0.18</c:v>
                </c:pt>
                <c:pt idx="3">
                  <c:v>0.1</c:v>
                </c:pt>
                <c:pt idx="4">
                  <c:v>0.24</c:v>
                </c:pt>
                <c:pt idx="5">
                  <c:v>2.2000000000000002</c:v>
                </c:pt>
                <c:pt idx="6">
                  <c:v>4.3</c:v>
                </c:pt>
                <c:pt idx="7">
                  <c:v>2.5</c:v>
                </c:pt>
                <c:pt idx="8">
                  <c:v>22.98</c:v>
                </c:pt>
                <c:pt idx="9">
                  <c:v>9.1999999999999993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0.11</c:v>
                </c:pt>
                <c:pt idx="13">
                  <c:v>0.1</c:v>
                </c:pt>
                <c:pt idx="14">
                  <c:v>0.08</c:v>
                </c:pt>
                <c:pt idx="15">
                  <c:v>46.27</c:v>
                </c:pt>
                <c:pt idx="16">
                  <c:v>43.63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0.12</c:v>
                </c:pt>
                <c:pt idx="20">
                  <c:v>0.12</c:v>
                </c:pt>
                <c:pt idx="21">
                  <c:v>3.5</c:v>
                </c:pt>
                <c:pt idx="22">
                  <c:v>0.16</c:v>
                </c:pt>
                <c:pt idx="23">
                  <c:v>0.8</c:v>
                </c:pt>
                <c:pt idx="24">
                  <c:v>1.3</c:v>
                </c:pt>
                <c:pt idx="25">
                  <c:v>2.1</c:v>
                </c:pt>
                <c:pt idx="26">
                  <c:v>2.9</c:v>
                </c:pt>
                <c:pt idx="27">
                  <c:v>2.2999999999999998</c:v>
                </c:pt>
                <c:pt idx="28">
                  <c:v>0.6</c:v>
                </c:pt>
                <c:pt idx="29">
                  <c:v>0.74</c:v>
                </c:pt>
                <c:pt idx="30">
                  <c:v>0.43</c:v>
                </c:pt>
                <c:pt idx="31">
                  <c:v>2.8</c:v>
                </c:pt>
                <c:pt idx="32">
                  <c:v>1</c:v>
                </c:pt>
                <c:pt idx="33">
                  <c:v>0.51</c:v>
                </c:pt>
                <c:pt idx="34">
                  <c:v>0.6</c:v>
                </c:pt>
                <c:pt idx="35">
                  <c:v>0.56000000000000005</c:v>
                </c:pt>
                <c:pt idx="36">
                  <c:v>0.48</c:v>
                </c:pt>
                <c:pt idx="37">
                  <c:v>0.37</c:v>
                </c:pt>
                <c:pt idx="38">
                  <c:v>0.36</c:v>
                </c:pt>
                <c:pt idx="39">
                  <c:v>0.31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0.92</c:v>
                </c:pt>
                <c:pt idx="44">
                  <c:v>0.63</c:v>
                </c:pt>
                <c:pt idx="45">
                  <c:v>0.57999999999999996</c:v>
                </c:pt>
                <c:pt idx="46">
                  <c:v>0.13</c:v>
                </c:pt>
                <c:pt idx="47">
                  <c:v>0.17</c:v>
                </c:pt>
                <c:pt idx="48">
                  <c:v>0.13</c:v>
                </c:pt>
                <c:pt idx="49">
                  <c:v>0.33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0.09</c:v>
                </c:pt>
                <c:pt idx="56">
                  <c:v>19.13</c:v>
                </c:pt>
                <c:pt idx="57">
                  <c:v>19.16</c:v>
                </c:pt>
                <c:pt idx="58">
                  <c:v>15.57</c:v>
                </c:pt>
                <c:pt idx="59">
                  <c:v>0.24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1.1000000000000001</c:v>
                </c:pt>
                <c:pt idx="64">
                  <c:v>10.49</c:v>
                </c:pt>
                <c:pt idx="65">
                  <c:v>3.7</c:v>
                </c:pt>
                <c:pt idx="66">
                  <c:v>12.66</c:v>
                </c:pt>
                <c:pt idx="67">
                  <c:v>1.3</c:v>
                </c:pt>
                <c:pt idx="68">
                  <c:v>0.82</c:v>
                </c:pt>
                <c:pt idx="69">
                  <c:v>0.2</c:v>
                </c:pt>
                <c:pt idx="70">
                  <c:v>0.27</c:v>
                </c:pt>
                <c:pt idx="71">
                  <c:v>6.7</c:v>
                </c:pt>
                <c:pt idx="72">
                  <c:v>7.8</c:v>
                </c:pt>
                <c:pt idx="73">
                  <c:v>15.4</c:v>
                </c:pt>
                <c:pt idx="74">
                  <c:v>4.8</c:v>
                </c:pt>
                <c:pt idx="75">
                  <c:v>6.3</c:v>
                </c:pt>
                <c:pt idx="76">
                  <c:v>0.34</c:v>
                </c:pt>
                <c:pt idx="77">
                  <c:v>0.74</c:v>
                </c:pt>
                <c:pt idx="78">
                  <c:v>0.28999999999999998</c:v>
                </c:pt>
                <c:pt idx="79">
                  <c:v>0.39</c:v>
                </c:pt>
                <c:pt idx="80">
                  <c:v>57.09</c:v>
                </c:pt>
                <c:pt idx="81">
                  <c:v>42.15</c:v>
                </c:pt>
                <c:pt idx="82">
                  <c:v>36.299999999999997</c:v>
                </c:pt>
                <c:pt idx="83">
                  <c:v>49.48</c:v>
                </c:pt>
                <c:pt idx="84">
                  <c:v>17.72</c:v>
                </c:pt>
                <c:pt idx="85">
                  <c:v>42.54</c:v>
                </c:pt>
                <c:pt idx="86">
                  <c:v>40.93</c:v>
                </c:pt>
                <c:pt idx="87">
                  <c:v>30.54</c:v>
                </c:pt>
                <c:pt idx="88">
                  <c:v>24.46</c:v>
                </c:pt>
                <c:pt idx="89">
                  <c:v>46.65</c:v>
                </c:pt>
                <c:pt idx="90">
                  <c:v>44.48</c:v>
                </c:pt>
                <c:pt idx="91">
                  <c:v>14.76</c:v>
                </c:pt>
                <c:pt idx="92">
                  <c:v>55.6</c:v>
                </c:pt>
                <c:pt idx="93">
                  <c:v>52.85</c:v>
                </c:pt>
                <c:pt idx="94">
                  <c:v>42.7</c:v>
                </c:pt>
                <c:pt idx="95">
                  <c:v>56.96</c:v>
                </c:pt>
                <c:pt idx="96">
                  <c:v>4.7</c:v>
                </c:pt>
                <c:pt idx="97">
                  <c:v>4.2</c:v>
                </c:pt>
                <c:pt idx="98">
                  <c:v>4.2</c:v>
                </c:pt>
                <c:pt idx="99">
                  <c:v>3.3</c:v>
                </c:pt>
                <c:pt idx="100">
                  <c:v>5.3</c:v>
                </c:pt>
                <c:pt idx="101">
                  <c:v>2.8</c:v>
                </c:pt>
                <c:pt idx="102">
                  <c:v>4.2</c:v>
                </c:pt>
                <c:pt idx="103">
                  <c:v>5.7</c:v>
                </c:pt>
                <c:pt idx="104">
                  <c:v>4.0999999999999996</c:v>
                </c:pt>
                <c:pt idx="105">
                  <c:v>2.9</c:v>
                </c:pt>
                <c:pt idx="106">
                  <c:v>4.3</c:v>
                </c:pt>
                <c:pt idx="107">
                  <c:v>3.9</c:v>
                </c:pt>
                <c:pt idx="108">
                  <c:v>4.9000000000000004</c:v>
                </c:pt>
                <c:pt idx="109">
                  <c:v>4.7</c:v>
                </c:pt>
                <c:pt idx="110">
                  <c:v>5.8</c:v>
                </c:pt>
                <c:pt idx="111">
                  <c:v>5.2</c:v>
                </c:pt>
                <c:pt idx="112">
                  <c:v>2.8</c:v>
                </c:pt>
                <c:pt idx="113">
                  <c:v>0.1</c:v>
                </c:pt>
                <c:pt idx="114">
                  <c:v>0.15</c:v>
                </c:pt>
                <c:pt idx="115">
                  <c:v>0.23</c:v>
                </c:pt>
                <c:pt idx="116">
                  <c:v>0.24</c:v>
                </c:pt>
                <c:pt idx="117">
                  <c:v>0.1</c:v>
                </c:pt>
                <c:pt idx="118">
                  <c:v>0.43</c:v>
                </c:pt>
                <c:pt idx="119">
                  <c:v>0.21</c:v>
                </c:pt>
                <c:pt idx="120">
                  <c:v>0.33</c:v>
                </c:pt>
                <c:pt idx="121">
                  <c:v>0.35</c:v>
                </c:pt>
                <c:pt idx="122">
                  <c:v>0.11</c:v>
                </c:pt>
                <c:pt idx="123">
                  <c:v>0.17</c:v>
                </c:pt>
                <c:pt idx="124">
                  <c:v>0.15</c:v>
                </c:pt>
                <c:pt idx="125">
                  <c:v>0.13</c:v>
                </c:pt>
                <c:pt idx="126">
                  <c:v>0.13</c:v>
                </c:pt>
                <c:pt idx="127">
                  <c:v>0.27</c:v>
                </c:pt>
                <c:pt idx="128">
                  <c:v>0.28999999999999998</c:v>
                </c:pt>
                <c:pt idx="129">
                  <c:v>0.13</c:v>
                </c:pt>
                <c:pt idx="130">
                  <c:v>0.11</c:v>
                </c:pt>
                <c:pt idx="131">
                  <c:v>0.09</c:v>
                </c:pt>
                <c:pt idx="132">
                  <c:v>0.11</c:v>
                </c:pt>
                <c:pt idx="133">
                  <c:v>1.89</c:v>
                </c:pt>
                <c:pt idx="134">
                  <c:v>22.54</c:v>
                </c:pt>
                <c:pt idx="135">
                  <c:v>0.59</c:v>
                </c:pt>
                <c:pt idx="136">
                  <c:v>0.1</c:v>
                </c:pt>
                <c:pt idx="137">
                  <c:v>0.33</c:v>
                </c:pt>
                <c:pt idx="138">
                  <c:v>0.26</c:v>
                </c:pt>
                <c:pt idx="139">
                  <c:v>0.56000000000000005</c:v>
                </c:pt>
                <c:pt idx="140">
                  <c:v>12.85</c:v>
                </c:pt>
                <c:pt idx="141">
                  <c:v>11.12</c:v>
                </c:pt>
                <c:pt idx="142">
                  <c:v>7.74</c:v>
                </c:pt>
                <c:pt idx="143">
                  <c:v>10.45</c:v>
                </c:pt>
                <c:pt idx="144">
                  <c:v>9.91</c:v>
                </c:pt>
                <c:pt idx="145">
                  <c:v>7.32</c:v>
                </c:pt>
                <c:pt idx="146">
                  <c:v>11</c:v>
                </c:pt>
                <c:pt idx="147">
                  <c:v>11.6</c:v>
                </c:pt>
                <c:pt idx="148">
                  <c:v>12.28</c:v>
                </c:pt>
                <c:pt idx="149">
                  <c:v>10.26</c:v>
                </c:pt>
                <c:pt idx="150">
                  <c:v>7.0000000000000007E-2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0.73</c:v>
                </c:pt>
                <c:pt idx="154">
                  <c:v>0.23</c:v>
                </c:pt>
                <c:pt idx="155">
                  <c:v>0.35</c:v>
                </c:pt>
                <c:pt idx="156">
                  <c:v>2.21</c:v>
                </c:pt>
                <c:pt idx="157">
                  <c:v>2.34</c:v>
                </c:pt>
                <c:pt idx="158">
                  <c:v>18.78</c:v>
                </c:pt>
                <c:pt idx="159">
                  <c:v>10.4</c:v>
                </c:pt>
                <c:pt idx="160">
                  <c:v>0.46</c:v>
                </c:pt>
                <c:pt idx="161">
                  <c:v>2.96</c:v>
                </c:pt>
                <c:pt idx="162">
                  <c:v>7.04</c:v>
                </c:pt>
                <c:pt idx="163">
                  <c:v>0.1</c:v>
                </c:pt>
                <c:pt idx="164">
                  <c:v>0.15</c:v>
                </c:pt>
                <c:pt idx="165">
                  <c:v>0.1</c:v>
                </c:pt>
                <c:pt idx="166">
                  <c:v>0.1</c:v>
                </c:pt>
                <c:pt idx="167">
                  <c:v>0.14000000000000001</c:v>
                </c:pt>
                <c:pt idx="168">
                  <c:v>0.16</c:v>
                </c:pt>
                <c:pt idx="169">
                  <c:v>8.67</c:v>
                </c:pt>
                <c:pt idx="170">
                  <c:v>6.81</c:v>
                </c:pt>
                <c:pt idx="171">
                  <c:v>2.52</c:v>
                </c:pt>
                <c:pt idx="172">
                  <c:v>1.49</c:v>
                </c:pt>
                <c:pt idx="173">
                  <c:v>6.91</c:v>
                </c:pt>
                <c:pt idx="174">
                  <c:v>7.39</c:v>
                </c:pt>
                <c:pt idx="175">
                  <c:v>1.2</c:v>
                </c:pt>
                <c:pt idx="176">
                  <c:v>8.4</c:v>
                </c:pt>
                <c:pt idx="177">
                  <c:v>1.78</c:v>
                </c:pt>
                <c:pt idx="178">
                  <c:v>4.67</c:v>
                </c:pt>
                <c:pt idx="179">
                  <c:v>6.23</c:v>
                </c:pt>
                <c:pt idx="180">
                  <c:v>9.57</c:v>
                </c:pt>
                <c:pt idx="181">
                  <c:v>19.64</c:v>
                </c:pt>
                <c:pt idx="182">
                  <c:v>12.68</c:v>
                </c:pt>
                <c:pt idx="183">
                  <c:v>11.84</c:v>
                </c:pt>
                <c:pt idx="184">
                  <c:v>11.26</c:v>
                </c:pt>
                <c:pt idx="185">
                  <c:v>4.8600000000000003</c:v>
                </c:pt>
                <c:pt idx="186">
                  <c:v>18.97</c:v>
                </c:pt>
                <c:pt idx="187">
                  <c:v>8.84</c:v>
                </c:pt>
                <c:pt idx="188">
                  <c:v>16.350000000000001</c:v>
                </c:pt>
                <c:pt idx="189">
                  <c:v>10.26</c:v>
                </c:pt>
                <c:pt idx="190">
                  <c:v>10.61</c:v>
                </c:pt>
                <c:pt idx="191">
                  <c:v>7.32</c:v>
                </c:pt>
                <c:pt idx="192">
                  <c:v>36</c:v>
                </c:pt>
                <c:pt idx="193">
                  <c:v>32.1</c:v>
                </c:pt>
                <c:pt idx="194">
                  <c:v>19.670000000000002</c:v>
                </c:pt>
                <c:pt idx="195">
                  <c:v>26.04</c:v>
                </c:pt>
                <c:pt idx="196">
                  <c:v>22.25</c:v>
                </c:pt>
                <c:pt idx="197">
                  <c:v>19.420000000000002</c:v>
                </c:pt>
                <c:pt idx="198">
                  <c:v>11.63</c:v>
                </c:pt>
                <c:pt idx="199">
                  <c:v>2.2599999999999998</c:v>
                </c:pt>
                <c:pt idx="200">
                  <c:v>4.29</c:v>
                </c:pt>
                <c:pt idx="201">
                  <c:v>2.2400000000000002</c:v>
                </c:pt>
                <c:pt idx="202">
                  <c:v>2.2799999999999998</c:v>
                </c:pt>
                <c:pt idx="203">
                  <c:v>6.32</c:v>
                </c:pt>
                <c:pt idx="204">
                  <c:v>16.63</c:v>
                </c:pt>
                <c:pt idx="205">
                  <c:v>25.37</c:v>
                </c:pt>
                <c:pt idx="206">
                  <c:v>8.83</c:v>
                </c:pt>
                <c:pt idx="207">
                  <c:v>2.5</c:v>
                </c:pt>
                <c:pt idx="208">
                  <c:v>8.42</c:v>
                </c:pt>
                <c:pt idx="209">
                  <c:v>8.15</c:v>
                </c:pt>
                <c:pt idx="210">
                  <c:v>14.87</c:v>
                </c:pt>
                <c:pt idx="211">
                  <c:v>2.3199999999999998</c:v>
                </c:pt>
                <c:pt idx="212">
                  <c:v>6.2</c:v>
                </c:pt>
                <c:pt idx="213">
                  <c:v>2.29</c:v>
                </c:pt>
                <c:pt idx="214">
                  <c:v>2.35</c:v>
                </c:pt>
                <c:pt idx="215">
                  <c:v>3.28</c:v>
                </c:pt>
                <c:pt idx="216">
                  <c:v>6.89</c:v>
                </c:pt>
                <c:pt idx="217">
                  <c:v>25.85</c:v>
                </c:pt>
                <c:pt idx="218">
                  <c:v>22.18</c:v>
                </c:pt>
                <c:pt idx="219">
                  <c:v>0.47</c:v>
                </c:pt>
                <c:pt idx="220">
                  <c:v>0.4</c:v>
                </c:pt>
                <c:pt idx="221">
                  <c:v>1.1599999999999999</c:v>
                </c:pt>
                <c:pt idx="222">
                  <c:v>2.5499999999999998</c:v>
                </c:pt>
                <c:pt idx="223">
                  <c:v>2.36</c:v>
                </c:pt>
                <c:pt idx="224">
                  <c:v>4.99</c:v>
                </c:pt>
                <c:pt idx="225">
                  <c:v>0.42</c:v>
                </c:pt>
                <c:pt idx="226">
                  <c:v>0.28000000000000003</c:v>
                </c:pt>
                <c:pt idx="227">
                  <c:v>0.16</c:v>
                </c:pt>
                <c:pt idx="228">
                  <c:v>1.38</c:v>
                </c:pt>
                <c:pt idx="229">
                  <c:v>0.1</c:v>
                </c:pt>
                <c:pt idx="230">
                  <c:v>0.11</c:v>
                </c:pt>
                <c:pt idx="231">
                  <c:v>0.22</c:v>
                </c:pt>
                <c:pt idx="232">
                  <c:v>0.72</c:v>
                </c:pt>
                <c:pt idx="233">
                  <c:v>0.17</c:v>
                </c:pt>
                <c:pt idx="234">
                  <c:v>0.27</c:v>
                </c:pt>
                <c:pt idx="235">
                  <c:v>0.18</c:v>
                </c:pt>
                <c:pt idx="236">
                  <c:v>0.09</c:v>
                </c:pt>
                <c:pt idx="237">
                  <c:v>0.11</c:v>
                </c:pt>
                <c:pt idx="238">
                  <c:v>4.3099999999999996</c:v>
                </c:pt>
                <c:pt idx="239">
                  <c:v>4.01</c:v>
                </c:pt>
                <c:pt idx="240">
                  <c:v>0.21</c:v>
                </c:pt>
                <c:pt idx="241">
                  <c:v>7.0000000000000007E-2</c:v>
                </c:pt>
                <c:pt idx="242">
                  <c:v>8.66</c:v>
                </c:pt>
                <c:pt idx="243">
                  <c:v>9.31</c:v>
                </c:pt>
                <c:pt idx="244">
                  <c:v>0.21</c:v>
                </c:pt>
                <c:pt idx="245">
                  <c:v>0.09</c:v>
                </c:pt>
                <c:pt idx="246">
                  <c:v>0.11</c:v>
                </c:pt>
                <c:pt idx="247">
                  <c:v>7.0000000000000007E-2</c:v>
                </c:pt>
                <c:pt idx="248">
                  <c:v>0.28999999999999998</c:v>
                </c:pt>
                <c:pt idx="249">
                  <c:v>0.11</c:v>
                </c:pt>
                <c:pt idx="250">
                  <c:v>0.22</c:v>
                </c:pt>
                <c:pt idx="251">
                  <c:v>0.47</c:v>
                </c:pt>
                <c:pt idx="252">
                  <c:v>1.19</c:v>
                </c:pt>
                <c:pt idx="253">
                  <c:v>0.3</c:v>
                </c:pt>
                <c:pt idx="254">
                  <c:v>0.2</c:v>
                </c:pt>
                <c:pt idx="255">
                  <c:v>0.56000000000000005</c:v>
                </c:pt>
                <c:pt idx="256">
                  <c:v>4.75</c:v>
                </c:pt>
                <c:pt idx="257">
                  <c:v>4.16</c:v>
                </c:pt>
                <c:pt idx="258">
                  <c:v>12.09</c:v>
                </c:pt>
                <c:pt idx="259">
                  <c:v>0.2</c:v>
                </c:pt>
                <c:pt idx="260">
                  <c:v>0.08</c:v>
                </c:pt>
                <c:pt idx="261">
                  <c:v>12.07</c:v>
                </c:pt>
                <c:pt idx="262">
                  <c:v>11.37</c:v>
                </c:pt>
                <c:pt idx="263">
                  <c:v>17.11</c:v>
                </c:pt>
                <c:pt idx="264">
                  <c:v>13.34</c:v>
                </c:pt>
                <c:pt idx="265">
                  <c:v>12.67</c:v>
                </c:pt>
                <c:pt idx="266">
                  <c:v>18.29</c:v>
                </c:pt>
                <c:pt idx="267">
                  <c:v>11.48</c:v>
                </c:pt>
                <c:pt idx="268">
                  <c:v>12.48</c:v>
                </c:pt>
                <c:pt idx="269">
                  <c:v>14.97</c:v>
                </c:pt>
                <c:pt idx="270">
                  <c:v>15.24</c:v>
                </c:pt>
                <c:pt idx="271">
                  <c:v>5.43</c:v>
                </c:pt>
                <c:pt idx="272">
                  <c:v>6.01</c:v>
                </c:pt>
                <c:pt idx="273">
                  <c:v>69.010000000000005</c:v>
                </c:pt>
                <c:pt idx="274">
                  <c:v>11.64</c:v>
                </c:pt>
                <c:pt idx="275">
                  <c:v>46.82</c:v>
                </c:pt>
                <c:pt idx="276">
                  <c:v>11.34</c:v>
                </c:pt>
                <c:pt idx="277">
                  <c:v>43.14</c:v>
                </c:pt>
                <c:pt idx="278">
                  <c:v>9.2899999999999991</c:v>
                </c:pt>
                <c:pt idx="279">
                  <c:v>3.88</c:v>
                </c:pt>
                <c:pt idx="280">
                  <c:v>4.34</c:v>
                </c:pt>
                <c:pt idx="281">
                  <c:v>7.04</c:v>
                </c:pt>
                <c:pt idx="282">
                  <c:v>2.21</c:v>
                </c:pt>
                <c:pt idx="283">
                  <c:v>20.02</c:v>
                </c:pt>
                <c:pt idx="284">
                  <c:v>16.38</c:v>
                </c:pt>
                <c:pt idx="285">
                  <c:v>5.57</c:v>
                </c:pt>
                <c:pt idx="286">
                  <c:v>14.18</c:v>
                </c:pt>
                <c:pt idx="287">
                  <c:v>6.78</c:v>
                </c:pt>
                <c:pt idx="288">
                  <c:v>11.82</c:v>
                </c:pt>
                <c:pt idx="289">
                  <c:v>11.38</c:v>
                </c:pt>
                <c:pt idx="290">
                  <c:v>15.03</c:v>
                </c:pt>
                <c:pt idx="291">
                  <c:v>8.66</c:v>
                </c:pt>
                <c:pt idx="292">
                  <c:v>14.7</c:v>
                </c:pt>
                <c:pt idx="293">
                  <c:v>6.41</c:v>
                </c:pt>
                <c:pt idx="294">
                  <c:v>15.66</c:v>
                </c:pt>
                <c:pt idx="295">
                  <c:v>8</c:v>
                </c:pt>
                <c:pt idx="296">
                  <c:v>19.690000000000001</c:v>
                </c:pt>
                <c:pt idx="297">
                  <c:v>9.83</c:v>
                </c:pt>
                <c:pt idx="298">
                  <c:v>10.89</c:v>
                </c:pt>
                <c:pt idx="299">
                  <c:v>10.36</c:v>
                </c:pt>
                <c:pt idx="300">
                  <c:v>14.22</c:v>
                </c:pt>
                <c:pt idx="301">
                  <c:v>10.17</c:v>
                </c:pt>
                <c:pt idx="302">
                  <c:v>12.07</c:v>
                </c:pt>
                <c:pt idx="303">
                  <c:v>0.56000000000000005</c:v>
                </c:pt>
                <c:pt idx="304">
                  <c:v>3.28</c:v>
                </c:pt>
                <c:pt idx="305">
                  <c:v>32.35</c:v>
                </c:pt>
                <c:pt idx="306">
                  <c:v>9.1</c:v>
                </c:pt>
                <c:pt idx="307">
                  <c:v>35</c:v>
                </c:pt>
                <c:pt idx="308">
                  <c:v>10.59</c:v>
                </c:pt>
                <c:pt idx="309">
                  <c:v>29.72</c:v>
                </c:pt>
                <c:pt idx="310">
                  <c:v>10.77</c:v>
                </c:pt>
                <c:pt idx="311">
                  <c:v>23.74</c:v>
                </c:pt>
                <c:pt idx="312">
                  <c:v>8.4499999999999993</c:v>
                </c:pt>
                <c:pt idx="313">
                  <c:v>35.1</c:v>
                </c:pt>
                <c:pt idx="314">
                  <c:v>7.45</c:v>
                </c:pt>
                <c:pt idx="315">
                  <c:v>40.28</c:v>
                </c:pt>
                <c:pt idx="316">
                  <c:v>12.57</c:v>
                </c:pt>
                <c:pt idx="317">
                  <c:v>33.49</c:v>
                </c:pt>
                <c:pt idx="318">
                  <c:v>7.96</c:v>
                </c:pt>
                <c:pt idx="319">
                  <c:v>43.66</c:v>
                </c:pt>
                <c:pt idx="320">
                  <c:v>8.36</c:v>
                </c:pt>
                <c:pt idx="321">
                  <c:v>43.17</c:v>
                </c:pt>
                <c:pt idx="322">
                  <c:v>11.26</c:v>
                </c:pt>
                <c:pt idx="323">
                  <c:v>33.229999999999997</c:v>
                </c:pt>
                <c:pt idx="324">
                  <c:v>10.41</c:v>
                </c:pt>
                <c:pt idx="325">
                  <c:v>45.15</c:v>
                </c:pt>
                <c:pt idx="326">
                  <c:v>9.75</c:v>
                </c:pt>
                <c:pt idx="327">
                  <c:v>33.96</c:v>
                </c:pt>
                <c:pt idx="328">
                  <c:v>10.78</c:v>
                </c:pt>
                <c:pt idx="329">
                  <c:v>34.33</c:v>
                </c:pt>
                <c:pt idx="330">
                  <c:v>9.3699999999999992</c:v>
                </c:pt>
                <c:pt idx="331">
                  <c:v>38.43</c:v>
                </c:pt>
                <c:pt idx="332">
                  <c:v>13.72</c:v>
                </c:pt>
                <c:pt idx="333">
                  <c:v>46.44</c:v>
                </c:pt>
                <c:pt idx="334">
                  <c:v>13.55</c:v>
                </c:pt>
                <c:pt idx="335">
                  <c:v>36.18</c:v>
                </c:pt>
                <c:pt idx="336">
                  <c:v>12.28</c:v>
                </c:pt>
              </c:numCache>
            </c:numRef>
          </c:xVal>
          <c:yVal>
            <c:numRef>
              <c:f>'Coorelation EC &amp; ESP'!$B$2:$B$338</c:f>
              <c:numCache>
                <c:formatCode>0%</c:formatCode>
                <c:ptCount val="337"/>
                <c:pt idx="0">
                  <c:v>3.0980275580481893E-2</c:v>
                </c:pt>
                <c:pt idx="1">
                  <c:v>0.19473370829526421</c:v>
                </c:pt>
                <c:pt idx="2">
                  <c:v>1.7332969336739765E-2</c:v>
                </c:pt>
                <c:pt idx="3">
                  <c:v>7.6608152190370512E-3</c:v>
                </c:pt>
                <c:pt idx="4">
                  <c:v>2.296208814842499E-2</c:v>
                </c:pt>
                <c:pt idx="5">
                  <c:v>5.4280408119752009E-4</c:v>
                </c:pt>
                <c:pt idx="6">
                  <c:v>0.19225943355170305</c:v>
                </c:pt>
                <c:pt idx="7">
                  <c:v>0.23974188338419786</c:v>
                </c:pt>
                <c:pt idx="8">
                  <c:v>0.62690301223157796</c:v>
                </c:pt>
                <c:pt idx="9">
                  <c:v>0.42657431604601415</c:v>
                </c:pt>
                <c:pt idx="10">
                  <c:v>1.6912657427944362E-2</c:v>
                </c:pt>
                <c:pt idx="11">
                  <c:v>1.1517372388039484E-2</c:v>
                </c:pt>
                <c:pt idx="12">
                  <c:v>1.5075360944155942E-2</c:v>
                </c:pt>
                <c:pt idx="13">
                  <c:v>1.5109916928444132E-2</c:v>
                </c:pt>
                <c:pt idx="14">
                  <c:v>1.376812498657496E-2</c:v>
                </c:pt>
                <c:pt idx="15">
                  <c:v>0.77176456675317606</c:v>
                </c:pt>
                <c:pt idx="16">
                  <c:v>0.84075242964732844</c:v>
                </c:pt>
                <c:pt idx="17">
                  <c:v>3.1951934991188834E-2</c:v>
                </c:pt>
                <c:pt idx="18">
                  <c:v>3.2061674091835905E-2</c:v>
                </c:pt>
                <c:pt idx="19">
                  <c:v>1.8839187511829034E-2</c:v>
                </c:pt>
                <c:pt idx="20">
                  <c:v>1.7134146709325258E-2</c:v>
                </c:pt>
                <c:pt idx="21">
                  <c:v>0.30444820438280645</c:v>
                </c:pt>
                <c:pt idx="22">
                  <c:v>0.11432471315965997</c:v>
                </c:pt>
                <c:pt idx="23">
                  <c:v>0.17285812395093442</c:v>
                </c:pt>
                <c:pt idx="24">
                  <c:v>0.23567507079312613</c:v>
                </c:pt>
                <c:pt idx="25">
                  <c:v>0.32403467218662985</c:v>
                </c:pt>
                <c:pt idx="26">
                  <c:v>0.33721196046227675</c:v>
                </c:pt>
                <c:pt idx="27">
                  <c:v>0.25863283995809455</c:v>
                </c:pt>
                <c:pt idx="28">
                  <c:v>0.13088504490684855</c:v>
                </c:pt>
                <c:pt idx="29">
                  <c:v>0.14331281409068075</c:v>
                </c:pt>
                <c:pt idx="30">
                  <c:v>0.11390173131707147</c:v>
                </c:pt>
                <c:pt idx="31">
                  <c:v>0.36375901202478372</c:v>
                </c:pt>
                <c:pt idx="32">
                  <c:v>0.13219184886675314</c:v>
                </c:pt>
                <c:pt idx="33">
                  <c:v>4.9312493532430772E-2</c:v>
                </c:pt>
                <c:pt idx="34">
                  <c:v>4.6060194144225984E-2</c:v>
                </c:pt>
                <c:pt idx="35">
                  <c:v>4.6930745822566421E-2</c:v>
                </c:pt>
                <c:pt idx="36">
                  <c:v>4.578330127001385E-2</c:v>
                </c:pt>
                <c:pt idx="37">
                  <c:v>3.8689898463022732E-2</c:v>
                </c:pt>
                <c:pt idx="38">
                  <c:v>4.9276048256438686E-2</c:v>
                </c:pt>
                <c:pt idx="39">
                  <c:v>2.6770903785208768E-2</c:v>
                </c:pt>
                <c:pt idx="40">
                  <c:v>0.13256831687295415</c:v>
                </c:pt>
                <c:pt idx="41">
                  <c:v>9.469220640162021E-2</c:v>
                </c:pt>
                <c:pt idx="42">
                  <c:v>7.256607094035733E-2</c:v>
                </c:pt>
                <c:pt idx="43">
                  <c:v>6.1893330395949506E-2</c:v>
                </c:pt>
                <c:pt idx="44">
                  <c:v>4.6403393273390922E-2</c:v>
                </c:pt>
                <c:pt idx="45">
                  <c:v>6.1035559279313423E-2</c:v>
                </c:pt>
                <c:pt idx="46">
                  <c:v>2.6860594571551714E-2</c:v>
                </c:pt>
                <c:pt idx="47">
                  <c:v>4.4386156820580273E-2</c:v>
                </c:pt>
                <c:pt idx="48">
                  <c:v>3.0424900250259544E-2</c:v>
                </c:pt>
                <c:pt idx="49">
                  <c:v>7.4906540760002985E-2</c:v>
                </c:pt>
                <c:pt idx="50">
                  <c:v>1.9859561928308615E-2</c:v>
                </c:pt>
                <c:pt idx="51">
                  <c:v>1.0613397426553851E-2</c:v>
                </c:pt>
                <c:pt idx="52">
                  <c:v>1.9579597114827797E-2</c:v>
                </c:pt>
                <c:pt idx="53">
                  <c:v>1.786620067347135E-2</c:v>
                </c:pt>
                <c:pt idx="54">
                  <c:v>1.0244696898022933E-2</c:v>
                </c:pt>
                <c:pt idx="55">
                  <c:v>9.3959751237546046E-3</c:v>
                </c:pt>
                <c:pt idx="56">
                  <c:v>0.50155382762401624</c:v>
                </c:pt>
                <c:pt idx="57">
                  <c:v>0.52262721240067922</c:v>
                </c:pt>
                <c:pt idx="58">
                  <c:v>0.45793638377421364</c:v>
                </c:pt>
                <c:pt idx="59">
                  <c:v>3.0867268042886073E-2</c:v>
                </c:pt>
                <c:pt idx="60">
                  <c:v>5.8215886833236107E-2</c:v>
                </c:pt>
                <c:pt idx="61">
                  <c:v>3.3536811712593713E-2</c:v>
                </c:pt>
                <c:pt idx="62">
                  <c:v>3.203215773118627E-2</c:v>
                </c:pt>
                <c:pt idx="63">
                  <c:v>6.8733782722195713E-2</c:v>
                </c:pt>
                <c:pt idx="64">
                  <c:v>0.25513307689282205</c:v>
                </c:pt>
                <c:pt idx="65">
                  <c:v>0.16946757685781622</c:v>
                </c:pt>
                <c:pt idx="66">
                  <c:v>0.27200067587789445</c:v>
                </c:pt>
                <c:pt idx="67">
                  <c:v>8.2314217386591476E-2</c:v>
                </c:pt>
                <c:pt idx="68">
                  <c:v>6.0233013162954388E-2</c:v>
                </c:pt>
                <c:pt idx="69">
                  <c:v>1.6499612214583969E-2</c:v>
                </c:pt>
                <c:pt idx="70">
                  <c:v>2.7455425872493222E-2</c:v>
                </c:pt>
                <c:pt idx="71">
                  <c:v>0.32709941447137392</c:v>
                </c:pt>
                <c:pt idx="72">
                  <c:v>0.34431970453097338</c:v>
                </c:pt>
                <c:pt idx="73">
                  <c:v>0.40589120034376985</c:v>
                </c:pt>
                <c:pt idx="74">
                  <c:v>0.27302657953646559</c:v>
                </c:pt>
                <c:pt idx="75">
                  <c:v>0.31507077626250424</c:v>
                </c:pt>
                <c:pt idx="76">
                  <c:v>5.3266586178570802E-2</c:v>
                </c:pt>
                <c:pt idx="77">
                  <c:v>7.525586391616107E-2</c:v>
                </c:pt>
                <c:pt idx="78">
                  <c:v>4.9172123602664486E-2</c:v>
                </c:pt>
                <c:pt idx="79">
                  <c:v>3.9224445573466625E-2</c:v>
                </c:pt>
                <c:pt idx="80">
                  <c:v>0.80911306467366029</c:v>
                </c:pt>
                <c:pt idx="81">
                  <c:v>0.72510404070127599</c:v>
                </c:pt>
                <c:pt idx="82">
                  <c:v>0.67875107686589409</c:v>
                </c:pt>
                <c:pt idx="83">
                  <c:v>0.84528036029545051</c:v>
                </c:pt>
                <c:pt idx="84">
                  <c:v>0.53206309898193738</c:v>
                </c:pt>
                <c:pt idx="85">
                  <c:v>0.82431997230729293</c:v>
                </c:pt>
                <c:pt idx="86">
                  <c:v>0.80650622362289626</c:v>
                </c:pt>
                <c:pt idx="87">
                  <c:v>0.72978697671622128</c:v>
                </c:pt>
                <c:pt idx="88">
                  <c:v>0.4803805569343062</c:v>
                </c:pt>
                <c:pt idx="89">
                  <c:v>0.77620031251477528</c:v>
                </c:pt>
                <c:pt idx="90">
                  <c:v>0.80827726893482421</c:v>
                </c:pt>
                <c:pt idx="91">
                  <c:v>0.60210426951943685</c:v>
                </c:pt>
                <c:pt idx="92">
                  <c:v>0.81106658794983044</c:v>
                </c:pt>
                <c:pt idx="93">
                  <c:v>0.80110279570960941</c:v>
                </c:pt>
                <c:pt idx="94">
                  <c:v>0.81506410721334643</c:v>
                </c:pt>
                <c:pt idx="95">
                  <c:v>0.83048609095957393</c:v>
                </c:pt>
                <c:pt idx="96">
                  <c:v>0.16605537893241115</c:v>
                </c:pt>
                <c:pt idx="97">
                  <c:v>0.15867269763465117</c:v>
                </c:pt>
                <c:pt idx="98">
                  <c:v>0.14545755885604902</c:v>
                </c:pt>
                <c:pt idx="99">
                  <c:v>0.13578068431502754</c:v>
                </c:pt>
                <c:pt idx="100">
                  <c:v>0.16295837977842623</c:v>
                </c:pt>
                <c:pt idx="101">
                  <c:v>0.11596937326242178</c:v>
                </c:pt>
                <c:pt idx="102">
                  <c:v>0.14572402657713446</c:v>
                </c:pt>
                <c:pt idx="103">
                  <c:v>0.1674155187095149</c:v>
                </c:pt>
                <c:pt idx="104">
                  <c:v>0.12502783563933856</c:v>
                </c:pt>
                <c:pt idx="105">
                  <c:v>0.12595273514462399</c:v>
                </c:pt>
                <c:pt idx="106">
                  <c:v>0.14716796502747048</c:v>
                </c:pt>
                <c:pt idx="107">
                  <c:v>0.13798555783906538</c:v>
                </c:pt>
                <c:pt idx="108">
                  <c:v>0.14333939874110502</c:v>
                </c:pt>
                <c:pt idx="109">
                  <c:v>0.13538626261251227</c:v>
                </c:pt>
                <c:pt idx="110">
                  <c:v>0.16641588323244957</c:v>
                </c:pt>
                <c:pt idx="111">
                  <c:v>0.14967631344532917</c:v>
                </c:pt>
                <c:pt idx="112">
                  <c:v>9.9602692252526145E-2</c:v>
                </c:pt>
                <c:pt idx="113">
                  <c:v>6.8573551009515413E-3</c:v>
                </c:pt>
                <c:pt idx="114">
                  <c:v>4.4320728194784179E-2</c:v>
                </c:pt>
                <c:pt idx="115">
                  <c:v>5.3519185252787045E-2</c:v>
                </c:pt>
                <c:pt idx="116">
                  <c:v>6.0043990496269947E-2</c:v>
                </c:pt>
                <c:pt idx="117">
                  <c:v>6.5038367335008382E-2</c:v>
                </c:pt>
                <c:pt idx="118">
                  <c:v>4.5890469102872367E-2</c:v>
                </c:pt>
                <c:pt idx="119">
                  <c:v>8.4707856446171285E-3</c:v>
                </c:pt>
                <c:pt idx="120">
                  <c:v>2.2662839120118138E-2</c:v>
                </c:pt>
                <c:pt idx="121">
                  <c:v>1.102360922578975E-2</c:v>
                </c:pt>
                <c:pt idx="122">
                  <c:v>3.6203588637181199E-2</c:v>
                </c:pt>
                <c:pt idx="123">
                  <c:v>2.564425959292366E-3</c:v>
                </c:pt>
                <c:pt idx="124">
                  <c:v>7.8354719785144464E-4</c:v>
                </c:pt>
                <c:pt idx="125">
                  <c:v>1.3622915922089604E-2</c:v>
                </c:pt>
                <c:pt idx="126">
                  <c:v>1.3279729485151317E-2</c:v>
                </c:pt>
                <c:pt idx="127">
                  <c:v>3.7284571141767954E-2</c:v>
                </c:pt>
                <c:pt idx="128">
                  <c:v>0.22376609455795582</c:v>
                </c:pt>
                <c:pt idx="129">
                  <c:v>2.211893684618094E-2</c:v>
                </c:pt>
                <c:pt idx="130">
                  <c:v>2.9188140811925542E-2</c:v>
                </c:pt>
                <c:pt idx="131">
                  <c:v>3.0776430812075987E-2</c:v>
                </c:pt>
                <c:pt idx="132">
                  <c:v>3.4706680570707145E-2</c:v>
                </c:pt>
                <c:pt idx="133">
                  <c:v>0.13622675332536843</c:v>
                </c:pt>
                <c:pt idx="134">
                  <c:v>0.4443888824744629</c:v>
                </c:pt>
                <c:pt idx="135">
                  <c:v>7.5106198689803685E-2</c:v>
                </c:pt>
                <c:pt idx="136">
                  <c:v>2.3183092321773058E-2</c:v>
                </c:pt>
                <c:pt idx="137">
                  <c:v>6.560749826241638E-2</c:v>
                </c:pt>
                <c:pt idx="138">
                  <c:v>3.3066549576670955E-2</c:v>
                </c:pt>
                <c:pt idx="139">
                  <c:v>9.6757585231875082E-2</c:v>
                </c:pt>
                <c:pt idx="140">
                  <c:v>0.68838916685964302</c:v>
                </c:pt>
                <c:pt idx="141">
                  <c:v>0.52815756028012428</c:v>
                </c:pt>
                <c:pt idx="142">
                  <c:v>0.52087488929892223</c:v>
                </c:pt>
                <c:pt idx="143">
                  <c:v>0.56762837812410583</c:v>
                </c:pt>
                <c:pt idx="144">
                  <c:v>0.57439630869881619</c:v>
                </c:pt>
                <c:pt idx="145">
                  <c:v>0.3602372719691242</c:v>
                </c:pt>
                <c:pt idx="146">
                  <c:v>0.53542444930729993</c:v>
                </c:pt>
                <c:pt idx="147">
                  <c:v>0.41809564814549904</c:v>
                </c:pt>
                <c:pt idx="148">
                  <c:v>0.69341723961707158</c:v>
                </c:pt>
                <c:pt idx="149">
                  <c:v>0.6214524492072373</c:v>
                </c:pt>
                <c:pt idx="150">
                  <c:v>1.3367588447704812E-2</c:v>
                </c:pt>
                <c:pt idx="151">
                  <c:v>1.4500304653359369E-2</c:v>
                </c:pt>
                <c:pt idx="152">
                  <c:v>2.6634582910768173E-2</c:v>
                </c:pt>
                <c:pt idx="153">
                  <c:v>8.0506833249192875E-2</c:v>
                </c:pt>
                <c:pt idx="154">
                  <c:v>8.9613177021196561E-2</c:v>
                </c:pt>
                <c:pt idx="155">
                  <c:v>6.7049564378096269E-2</c:v>
                </c:pt>
                <c:pt idx="156">
                  <c:v>2.109490530542441E-3</c:v>
                </c:pt>
                <c:pt idx="157">
                  <c:v>5.1592777489001453E-3</c:v>
                </c:pt>
                <c:pt idx="158">
                  <c:v>0.68418616814041344</c:v>
                </c:pt>
                <c:pt idx="159">
                  <c:v>0.44289007344820813</c:v>
                </c:pt>
                <c:pt idx="160">
                  <c:v>5.6369413205349113E-2</c:v>
                </c:pt>
                <c:pt idx="161">
                  <c:v>0.29304541629340136</c:v>
                </c:pt>
                <c:pt idx="162">
                  <c:v>0.49642705229190498</c:v>
                </c:pt>
                <c:pt idx="163">
                  <c:v>5.9948694123426642E-3</c:v>
                </c:pt>
                <c:pt idx="164">
                  <c:v>1.2358658639916819E-2</c:v>
                </c:pt>
                <c:pt idx="165">
                  <c:v>8.0554209126751358E-3</c:v>
                </c:pt>
                <c:pt idx="166">
                  <c:v>8.7302845286985741E-3</c:v>
                </c:pt>
                <c:pt idx="167">
                  <c:v>4.4847901789029625E-3</c:v>
                </c:pt>
                <c:pt idx="168">
                  <c:v>1.452579404616774E-2</c:v>
                </c:pt>
                <c:pt idx="169">
                  <c:v>0.66882659730070482</c:v>
                </c:pt>
                <c:pt idx="170">
                  <c:v>0.44543569050354487</c:v>
                </c:pt>
                <c:pt idx="171">
                  <c:v>0.30908734577082231</c:v>
                </c:pt>
                <c:pt idx="172">
                  <c:v>0.18451478074667316</c:v>
                </c:pt>
                <c:pt idx="173">
                  <c:v>0.33221580263252681</c:v>
                </c:pt>
                <c:pt idx="174">
                  <c:v>0.36193370069265807</c:v>
                </c:pt>
                <c:pt idx="175">
                  <c:v>0.13698499438011835</c:v>
                </c:pt>
                <c:pt idx="176">
                  <c:v>0.41710494965726208</c:v>
                </c:pt>
                <c:pt idx="177">
                  <c:v>0.1097195785924219</c:v>
                </c:pt>
                <c:pt idx="178">
                  <c:v>0.33981629792459844</c:v>
                </c:pt>
                <c:pt idx="179">
                  <c:v>0.3011946931623285</c:v>
                </c:pt>
                <c:pt idx="180">
                  <c:v>0.43623156208689412</c:v>
                </c:pt>
                <c:pt idx="181">
                  <c:v>0.68175350882016383</c:v>
                </c:pt>
                <c:pt idx="182">
                  <c:v>0.44515189452583687</c:v>
                </c:pt>
                <c:pt idx="183">
                  <c:v>0.54050224769221766</c:v>
                </c:pt>
                <c:pt idx="184">
                  <c:v>0.32430093167028623</c:v>
                </c:pt>
                <c:pt idx="185">
                  <c:v>0.22802743891004632</c:v>
                </c:pt>
                <c:pt idx="186">
                  <c:v>0.53248963757383994</c:v>
                </c:pt>
                <c:pt idx="187">
                  <c:v>0.35144221200101011</c:v>
                </c:pt>
                <c:pt idx="188">
                  <c:v>0.5034054827467852</c:v>
                </c:pt>
                <c:pt idx="189">
                  <c:v>0.38801104190446745</c:v>
                </c:pt>
                <c:pt idx="190">
                  <c:v>0.31224288668234246</c:v>
                </c:pt>
                <c:pt idx="191">
                  <c:v>0.3110708893935144</c:v>
                </c:pt>
                <c:pt idx="192">
                  <c:v>0.72941786063619174</c:v>
                </c:pt>
                <c:pt idx="193">
                  <c:v>0.71537096563186997</c:v>
                </c:pt>
                <c:pt idx="194">
                  <c:v>0.52925333428515386</c:v>
                </c:pt>
                <c:pt idx="195">
                  <c:v>0.81792051885444239</c:v>
                </c:pt>
                <c:pt idx="196">
                  <c:v>0.57898602821095424</c:v>
                </c:pt>
                <c:pt idx="197">
                  <c:v>0.54555446363688853</c:v>
                </c:pt>
                <c:pt idx="198">
                  <c:v>0.17945938951874099</c:v>
                </c:pt>
                <c:pt idx="199">
                  <c:v>1.4626425182085285E-3</c:v>
                </c:pt>
                <c:pt idx="200">
                  <c:v>3.7460274828205013E-2</c:v>
                </c:pt>
                <c:pt idx="201">
                  <c:v>7.1234844413500646E-4</c:v>
                </c:pt>
                <c:pt idx="202">
                  <c:v>1.1912207949076833E-3</c:v>
                </c:pt>
                <c:pt idx="203">
                  <c:v>8.0819483563672759E-2</c:v>
                </c:pt>
                <c:pt idx="204">
                  <c:v>0.26472734309808316</c:v>
                </c:pt>
                <c:pt idx="205">
                  <c:v>0.29534887766950924</c:v>
                </c:pt>
                <c:pt idx="206">
                  <c:v>0.10451529754064928</c:v>
                </c:pt>
                <c:pt idx="207">
                  <c:v>9.5654548381636617E-2</c:v>
                </c:pt>
                <c:pt idx="208">
                  <c:v>0.25659307980433316</c:v>
                </c:pt>
                <c:pt idx="209">
                  <c:v>0.26716718851153265</c:v>
                </c:pt>
                <c:pt idx="210">
                  <c:v>0.25431754012608077</c:v>
                </c:pt>
                <c:pt idx="211">
                  <c:v>2.0348653677325847E-3</c:v>
                </c:pt>
                <c:pt idx="212">
                  <c:v>5.9606683629058688E-2</c:v>
                </c:pt>
                <c:pt idx="213">
                  <c:v>7.302382649946854E-4</c:v>
                </c:pt>
                <c:pt idx="214">
                  <c:v>1.7770149697462171E-3</c:v>
                </c:pt>
                <c:pt idx="215">
                  <c:v>0.12285413263052042</c:v>
                </c:pt>
                <c:pt idx="216">
                  <c:v>0.17277532476650864</c:v>
                </c:pt>
                <c:pt idx="217">
                  <c:v>0.51373850356137374</c:v>
                </c:pt>
                <c:pt idx="218">
                  <c:v>0.39545304440006401</c:v>
                </c:pt>
                <c:pt idx="219">
                  <c:v>0.10568096765679909</c:v>
                </c:pt>
                <c:pt idx="220">
                  <c:v>0.1019566343394137</c:v>
                </c:pt>
                <c:pt idx="221">
                  <c:v>0.12070706083519506</c:v>
                </c:pt>
                <c:pt idx="222">
                  <c:v>0.18929695419636364</c:v>
                </c:pt>
                <c:pt idx="223">
                  <c:v>0.13323414550797291</c:v>
                </c:pt>
                <c:pt idx="224">
                  <c:v>0.34571617445802028</c:v>
                </c:pt>
                <c:pt idx="225">
                  <c:v>7.5046490561314669E-2</c:v>
                </c:pt>
                <c:pt idx="226">
                  <c:v>5.8500384454185025E-2</c:v>
                </c:pt>
                <c:pt idx="227">
                  <c:v>8.7582850668066047E-3</c:v>
                </c:pt>
                <c:pt idx="228">
                  <c:v>8.8547505407132798E-2</c:v>
                </c:pt>
                <c:pt idx="229">
                  <c:v>7.76282400979246E-3</c:v>
                </c:pt>
                <c:pt idx="230">
                  <c:v>1.516920960225317E-2</c:v>
                </c:pt>
                <c:pt idx="231">
                  <c:v>2.1897731816284429E-2</c:v>
                </c:pt>
                <c:pt idx="232">
                  <c:v>8.1484275866451961E-2</c:v>
                </c:pt>
                <c:pt idx="233">
                  <c:v>2.8806944004026721E-2</c:v>
                </c:pt>
                <c:pt idx="234">
                  <c:v>4.1955272736779216E-2</c:v>
                </c:pt>
                <c:pt idx="235">
                  <c:v>1.8182801718734841E-2</c:v>
                </c:pt>
                <c:pt idx="236">
                  <c:v>2.5471294492301472E-2</c:v>
                </c:pt>
                <c:pt idx="237">
                  <c:v>3.2487787426760803E-3</c:v>
                </c:pt>
                <c:pt idx="238">
                  <c:v>0.31283449833642579</c:v>
                </c:pt>
                <c:pt idx="239">
                  <c:v>0.3807529888227017</c:v>
                </c:pt>
                <c:pt idx="240">
                  <c:v>4.1804712039429349E-2</c:v>
                </c:pt>
                <c:pt idx="241">
                  <c:v>5.4957825813556375E-3</c:v>
                </c:pt>
                <c:pt idx="242">
                  <c:v>6.8061833183103881E-2</c:v>
                </c:pt>
                <c:pt idx="243">
                  <c:v>0.18670569272008095</c:v>
                </c:pt>
                <c:pt idx="244">
                  <c:v>1.6440588149820006E-2</c:v>
                </c:pt>
                <c:pt idx="245">
                  <c:v>4.5953650386504992E-3</c:v>
                </c:pt>
                <c:pt idx="246">
                  <c:v>4.1970260968184183E-3</c:v>
                </c:pt>
                <c:pt idx="247">
                  <c:v>6.0184408927095919E-3</c:v>
                </c:pt>
                <c:pt idx="248">
                  <c:v>2.3326274881769297E-2</c:v>
                </c:pt>
                <c:pt idx="249">
                  <c:v>4.0872342129895829E-2</c:v>
                </c:pt>
                <c:pt idx="250">
                  <c:v>6.5840412264327242E-2</c:v>
                </c:pt>
                <c:pt idx="251">
                  <c:v>3.4656048578916875E-3</c:v>
                </c:pt>
                <c:pt idx="252">
                  <c:v>0.12039242817697322</c:v>
                </c:pt>
                <c:pt idx="253">
                  <c:v>2.6231140228078084E-2</c:v>
                </c:pt>
                <c:pt idx="254">
                  <c:v>3.2627964265866012E-3</c:v>
                </c:pt>
                <c:pt idx="255">
                  <c:v>4.7780958695658689E-2</c:v>
                </c:pt>
                <c:pt idx="256">
                  <c:v>0.36282594019736003</c:v>
                </c:pt>
                <c:pt idx="257">
                  <c:v>0.38600695536254831</c:v>
                </c:pt>
                <c:pt idx="258">
                  <c:v>0.74645251276266167</c:v>
                </c:pt>
                <c:pt idx="259">
                  <c:v>1.0280975663726225E-2</c:v>
                </c:pt>
                <c:pt idx="260">
                  <c:v>2.3650660028795316E-3</c:v>
                </c:pt>
                <c:pt idx="261">
                  <c:v>0.36229746391858925</c:v>
                </c:pt>
                <c:pt idx="262">
                  <c:v>0.31108558600063879</c:v>
                </c:pt>
                <c:pt idx="263">
                  <c:v>0.57244199989276212</c:v>
                </c:pt>
                <c:pt idx="264">
                  <c:v>0.49199934223980518</c:v>
                </c:pt>
                <c:pt idx="265">
                  <c:v>0.49831420414680078</c:v>
                </c:pt>
                <c:pt idx="266">
                  <c:v>0.49221645449539786</c:v>
                </c:pt>
                <c:pt idx="267">
                  <c:v>0.48994261707181697</c:v>
                </c:pt>
                <c:pt idx="268">
                  <c:v>0.34601060901200836</c:v>
                </c:pt>
                <c:pt idx="269">
                  <c:v>0.57929708804187885</c:v>
                </c:pt>
                <c:pt idx="270">
                  <c:v>0.49528760954124856</c:v>
                </c:pt>
                <c:pt idx="271">
                  <c:v>0.30897823090897064</c:v>
                </c:pt>
                <c:pt idx="272">
                  <c:v>0.168654886431471</c:v>
                </c:pt>
                <c:pt idx="273">
                  <c:v>0.68781446936036816</c:v>
                </c:pt>
                <c:pt idx="274">
                  <c:v>0.24409090532806793</c:v>
                </c:pt>
                <c:pt idx="275">
                  <c:v>0.54169508930060239</c:v>
                </c:pt>
                <c:pt idx="276">
                  <c:v>0.20820162979071793</c:v>
                </c:pt>
                <c:pt idx="277">
                  <c:v>0.64633420648380746</c:v>
                </c:pt>
                <c:pt idx="278">
                  <c:v>0.43830258556922663</c:v>
                </c:pt>
                <c:pt idx="279">
                  <c:v>3.701188338872765E-2</c:v>
                </c:pt>
                <c:pt idx="280">
                  <c:v>5.1951600545229674E-2</c:v>
                </c:pt>
                <c:pt idx="281">
                  <c:v>0.23811504280093862</c:v>
                </c:pt>
                <c:pt idx="282">
                  <c:v>9.6789591237382872E-2</c:v>
                </c:pt>
                <c:pt idx="283">
                  <c:v>0.40002227707712301</c:v>
                </c:pt>
                <c:pt idx="284">
                  <c:v>0.28600873361544576</c:v>
                </c:pt>
                <c:pt idx="285">
                  <c:v>0.45158081345746337</c:v>
                </c:pt>
                <c:pt idx="286">
                  <c:v>0.55154463018272903</c:v>
                </c:pt>
                <c:pt idx="287">
                  <c:v>0.4825800539386278</c:v>
                </c:pt>
                <c:pt idx="288">
                  <c:v>0.44715364189316303</c:v>
                </c:pt>
                <c:pt idx="289">
                  <c:v>0.62565217376526472</c:v>
                </c:pt>
                <c:pt idx="290">
                  <c:v>0.56964822904654633</c:v>
                </c:pt>
                <c:pt idx="291">
                  <c:v>0.54180315479618812</c:v>
                </c:pt>
                <c:pt idx="292">
                  <c:v>0.54071616210209117</c:v>
                </c:pt>
                <c:pt idx="293">
                  <c:v>0.41316792922279055</c:v>
                </c:pt>
                <c:pt idx="294">
                  <c:v>0.46645439001573796</c:v>
                </c:pt>
                <c:pt idx="295">
                  <c:v>0.56957579981471684</c:v>
                </c:pt>
                <c:pt idx="296">
                  <c:v>0.50466603436285618</c:v>
                </c:pt>
                <c:pt idx="297">
                  <c:v>0.52990793840245842</c:v>
                </c:pt>
                <c:pt idx="298">
                  <c:v>0.42674253231063547</c:v>
                </c:pt>
                <c:pt idx="299">
                  <c:v>0.60103206909956297</c:v>
                </c:pt>
                <c:pt idx="300">
                  <c:v>0.50492414092766069</c:v>
                </c:pt>
                <c:pt idx="301">
                  <c:v>0.58712664051182473</c:v>
                </c:pt>
                <c:pt idx="302">
                  <c:v>0.47185393824874511</c:v>
                </c:pt>
                <c:pt idx="303">
                  <c:v>9.1399336902323255E-2</c:v>
                </c:pt>
                <c:pt idx="304">
                  <c:v>0.27789593499559634</c:v>
                </c:pt>
                <c:pt idx="305">
                  <c:v>0.73812785582118667</c:v>
                </c:pt>
                <c:pt idx="306">
                  <c:v>0.55940430315180567</c:v>
                </c:pt>
                <c:pt idx="307">
                  <c:v>0.78403597752219301</c:v>
                </c:pt>
                <c:pt idx="308">
                  <c:v>0.36499687524593566</c:v>
                </c:pt>
                <c:pt idx="309">
                  <c:v>0.76435264689974869</c:v>
                </c:pt>
                <c:pt idx="310">
                  <c:v>0.49819535208944549</c:v>
                </c:pt>
                <c:pt idx="311">
                  <c:v>0.67807218108542511</c:v>
                </c:pt>
                <c:pt idx="312">
                  <c:v>0.47374876176427477</c:v>
                </c:pt>
                <c:pt idx="313">
                  <c:v>0.77857361767373956</c:v>
                </c:pt>
                <c:pt idx="314">
                  <c:v>0.54396567024790232</c:v>
                </c:pt>
                <c:pt idx="315">
                  <c:v>0.79046360544080507</c:v>
                </c:pt>
                <c:pt idx="316">
                  <c:v>0.53157796458764495</c:v>
                </c:pt>
                <c:pt idx="317">
                  <c:v>0.78481728559216446</c:v>
                </c:pt>
                <c:pt idx="318">
                  <c:v>0.55353719806979451</c:v>
                </c:pt>
                <c:pt idx="319">
                  <c:v>0.77775847811908172</c:v>
                </c:pt>
                <c:pt idx="320">
                  <c:v>0.4410835685782703</c:v>
                </c:pt>
                <c:pt idx="321">
                  <c:v>0.79761842184435072</c:v>
                </c:pt>
                <c:pt idx="322">
                  <c:v>0.53424974146284465</c:v>
                </c:pt>
                <c:pt idx="323">
                  <c:v>0.74601187736669627</c:v>
                </c:pt>
                <c:pt idx="324">
                  <c:v>0.46830655362907714</c:v>
                </c:pt>
                <c:pt idx="325">
                  <c:v>0.78273578165182811</c:v>
                </c:pt>
                <c:pt idx="326">
                  <c:v>0.53140667097030292</c:v>
                </c:pt>
                <c:pt idx="327">
                  <c:v>0.74427509345323684</c:v>
                </c:pt>
                <c:pt idx="328">
                  <c:v>0.5100119670844766</c:v>
                </c:pt>
                <c:pt idx="329">
                  <c:v>0.73725295741636421</c:v>
                </c:pt>
                <c:pt idx="330">
                  <c:v>0.47608820475001107</c:v>
                </c:pt>
                <c:pt idx="331">
                  <c:v>0.81208178243886442</c:v>
                </c:pt>
                <c:pt idx="332">
                  <c:v>0.53297998022702464</c:v>
                </c:pt>
                <c:pt idx="333">
                  <c:v>0.77154716143230717</c:v>
                </c:pt>
                <c:pt idx="334">
                  <c:v>0.56555497946985211</c:v>
                </c:pt>
                <c:pt idx="335">
                  <c:v>0.79893709779505562</c:v>
                </c:pt>
                <c:pt idx="336">
                  <c:v>0.59215387505659944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F94-8D4D-9B50E737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25032"/>
        <c:axId val="461427984"/>
      </c:scatterChart>
      <c:valAx>
        <c:axId val="4614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</a:t>
                </a:r>
                <a:r>
                  <a:rPr lang="fr-FR" baseline="0"/>
                  <a:t> (1/5)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427984"/>
        <c:crosses val="autoZero"/>
        <c:crossBetween val="midCat"/>
      </c:valAx>
      <c:valAx>
        <c:axId val="4614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4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261056</xdr:colOff>
      <xdr:row>9</xdr:row>
      <xdr:rowOff>164395</xdr:rowOff>
    </xdr:from>
    <xdr:to>
      <xdr:col>9</xdr:col>
      <xdr:colOff>261056</xdr:colOff>
      <xdr:row>23</xdr:row>
      <xdr:rowOff>138995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2279650</xdr:colOff>
      <xdr:row>0</xdr:row>
      <xdr:rowOff>0</xdr:rowOff>
    </xdr:from>
    <xdr:to>
      <xdr:col>6</xdr:col>
      <xdr:colOff>728205</xdr:colOff>
      <xdr:row>9</xdr:row>
      <xdr:rowOff>166890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350" y="0"/>
          <a:ext cx="3020555" cy="194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8"/>
  <sheetViews>
    <sheetView tabSelected="1" zoomScale="73" zoomScaleNormal="85" workbookViewId="0">
      <pane ySplit="1" topLeftCell="A2" activePane="bottomLeft" state="frozen"/>
      <selection activeCell="K1" sqref="K1"/>
      <selection pane="bottomLeft" activeCell="M10" sqref="M10"/>
    </sheetView>
  </sheetViews>
  <sheetFormatPr baseColWidth="10" defaultColWidth="9.21875" defaultRowHeight="20.25" customHeight="1" x14ac:dyDescent="0.3"/>
  <cols>
    <col min="1" max="1" width="18.5546875" style="333" bestFit="1" customWidth="1"/>
    <col min="2" max="2" width="17.6640625" style="333" bestFit="1" customWidth="1"/>
    <col min="3" max="3" width="17.5546875" style="333" bestFit="1" customWidth="1"/>
    <col min="4" max="4" width="20.21875" style="333" customWidth="1"/>
    <col min="5" max="5" width="21.5546875" style="333" bestFit="1" customWidth="1"/>
    <col min="6" max="6" width="11.5546875" style="333" customWidth="1"/>
    <col min="7" max="7" width="15.21875" style="333" customWidth="1"/>
    <col min="8" max="8" width="17.33203125" style="333" customWidth="1"/>
    <col min="9" max="9" width="10.77734375" style="333" customWidth="1"/>
    <col min="10" max="10" width="11.88671875" style="333" customWidth="1"/>
    <col min="11" max="11" width="15.6640625" style="333" customWidth="1"/>
    <col min="12" max="12" width="13.44140625" style="333" customWidth="1"/>
    <col min="13" max="13" width="13.21875" style="333" customWidth="1"/>
    <col min="14" max="14" width="16.44140625" style="333" customWidth="1"/>
    <col min="15" max="17" width="18.21875" style="333" customWidth="1"/>
    <col min="18" max="18" width="34.21875" style="333" bestFit="1" customWidth="1"/>
    <col min="19" max="20" width="34.21875" style="333" customWidth="1"/>
    <col min="21" max="21" width="34.21875" style="360" bestFit="1" customWidth="1"/>
    <col min="22" max="23" width="34.21875" style="360" customWidth="1"/>
    <col min="24" max="24" width="17.21875" style="333" bestFit="1" customWidth="1"/>
    <col min="25" max="25" width="17.44140625" style="333" bestFit="1" customWidth="1"/>
    <col min="26" max="26" width="16.44140625" style="333" bestFit="1" customWidth="1"/>
    <col min="27" max="27" width="21.21875" style="332" bestFit="1" customWidth="1"/>
    <col min="28" max="28" width="20" style="332" bestFit="1" customWidth="1"/>
    <col min="29" max="29" width="14.5546875" style="333" bestFit="1" customWidth="1"/>
    <col min="30" max="30" width="12.77734375" style="333" bestFit="1" customWidth="1"/>
    <col min="31" max="31" width="21" style="333" bestFit="1" customWidth="1"/>
    <col min="32" max="32" width="20" style="333" bestFit="1" customWidth="1"/>
    <col min="33" max="33" width="21.21875" style="436" bestFit="1" customWidth="1"/>
    <col min="34" max="34" width="12" style="333" bestFit="1" customWidth="1"/>
    <col min="35" max="35" width="20.21875" style="436" bestFit="1" customWidth="1"/>
    <col min="36" max="36" width="13.5546875" style="333" bestFit="1" customWidth="1"/>
    <col min="37" max="37" width="21" style="436" customWidth="1"/>
    <col min="38" max="38" width="12.44140625" style="333" bestFit="1" customWidth="1"/>
    <col min="39" max="39" width="12.5546875" style="333" bestFit="1" customWidth="1"/>
    <col min="40" max="40" width="17.6640625" style="333" bestFit="1" customWidth="1"/>
    <col min="41" max="41" width="17.21875" style="333" bestFit="1" customWidth="1"/>
    <col min="42" max="42" width="17.44140625" style="333" bestFit="1" customWidth="1"/>
    <col min="43" max="43" width="17.21875" style="333" bestFit="1" customWidth="1"/>
    <col min="44" max="44" width="17.44140625" style="333" bestFit="1" customWidth="1"/>
    <col min="45" max="45" width="22" style="333" bestFit="1" customWidth="1"/>
    <col min="46" max="46" width="20.21875" style="333" bestFit="1" customWidth="1"/>
    <col min="47" max="47" width="19.21875" style="333" bestFit="1" customWidth="1"/>
    <col min="48" max="48" width="21.5546875" style="333" bestFit="1" customWidth="1"/>
    <col min="49" max="49" width="19.21875" style="436" bestFit="1" customWidth="1"/>
    <col min="50" max="50" width="24.5546875" style="333" bestFit="1" customWidth="1"/>
    <col min="51" max="54" width="9.21875" style="333"/>
    <col min="55" max="55" width="17.21875" style="333" customWidth="1"/>
    <col min="56" max="56" width="9.21875" style="333"/>
    <col min="57" max="57" width="49.5546875" style="333" customWidth="1"/>
    <col min="58" max="61" width="9.21875" style="333"/>
    <col min="62" max="62" width="9.21875" style="420"/>
    <col min="63" max="63" width="23.5546875" style="333" customWidth="1"/>
    <col min="64" max="64" width="29.5546875" style="333" customWidth="1"/>
    <col min="65" max="16384" width="9.21875" style="333"/>
  </cols>
  <sheetData>
    <row r="1" spans="1:64" s="23" customFormat="1" ht="67.650000000000006" customHeight="1" thickBot="1" x14ac:dyDescent="0.35">
      <c r="A1" s="17" t="s">
        <v>54</v>
      </c>
      <c r="B1" s="18" t="s">
        <v>55</v>
      </c>
      <c r="C1" s="18" t="s">
        <v>56</v>
      </c>
      <c r="D1" s="18" t="s">
        <v>1239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57</v>
      </c>
      <c r="J1" s="18" t="s">
        <v>58</v>
      </c>
      <c r="K1" s="18" t="s">
        <v>991</v>
      </c>
      <c r="L1" s="18" t="s">
        <v>53</v>
      </c>
      <c r="M1" s="18" t="s">
        <v>59</v>
      </c>
      <c r="N1" s="19" t="s">
        <v>60</v>
      </c>
      <c r="O1" s="19" t="s">
        <v>1031</v>
      </c>
      <c r="P1" s="19" t="s">
        <v>1032</v>
      </c>
      <c r="Q1" s="19" t="s">
        <v>1033</v>
      </c>
      <c r="R1" s="19" t="s">
        <v>1002</v>
      </c>
      <c r="S1" s="19"/>
      <c r="T1" s="19"/>
      <c r="U1" s="353" t="s">
        <v>1001</v>
      </c>
      <c r="V1" s="353" t="s">
        <v>1112</v>
      </c>
      <c r="W1" s="353" t="s">
        <v>1113</v>
      </c>
      <c r="X1" s="18" t="s">
        <v>61</v>
      </c>
      <c r="Y1" s="18" t="s">
        <v>62</v>
      </c>
      <c r="Z1" s="18" t="s">
        <v>63</v>
      </c>
      <c r="AA1" s="19" t="s">
        <v>889</v>
      </c>
      <c r="AB1" s="19" t="s">
        <v>890</v>
      </c>
      <c r="AC1" s="18" t="s">
        <v>64</v>
      </c>
      <c r="AD1" s="20" t="s">
        <v>65</v>
      </c>
      <c r="AE1" s="18" t="s">
        <v>66</v>
      </c>
      <c r="AF1" s="18" t="s">
        <v>67</v>
      </c>
      <c r="AG1" s="432" t="s">
        <v>68</v>
      </c>
      <c r="AH1" s="19" t="s">
        <v>993</v>
      </c>
      <c r="AI1" s="432" t="s">
        <v>69</v>
      </c>
      <c r="AJ1" s="19" t="s">
        <v>994</v>
      </c>
      <c r="AK1" s="432" t="s">
        <v>70</v>
      </c>
      <c r="AL1" s="19" t="s">
        <v>995</v>
      </c>
      <c r="AM1" s="19" t="s">
        <v>1242</v>
      </c>
      <c r="AN1" s="19" t="s">
        <v>998</v>
      </c>
      <c r="AO1" s="20" t="s">
        <v>71</v>
      </c>
      <c r="AP1" s="20" t="s">
        <v>72</v>
      </c>
      <c r="AQ1" s="20" t="s">
        <v>73</v>
      </c>
      <c r="AR1" s="20" t="s">
        <v>74</v>
      </c>
      <c r="AS1" s="20" t="s">
        <v>75</v>
      </c>
      <c r="AT1" s="20" t="s">
        <v>76</v>
      </c>
      <c r="AU1" s="18" t="s">
        <v>77</v>
      </c>
      <c r="AV1" s="18" t="s">
        <v>78</v>
      </c>
      <c r="AW1" s="446" t="s">
        <v>79</v>
      </c>
      <c r="AX1" s="21" t="s">
        <v>563</v>
      </c>
      <c r="AY1" s="22"/>
      <c r="AZ1" s="23" t="s">
        <v>1118</v>
      </c>
      <c r="BA1" s="23" t="s">
        <v>1116</v>
      </c>
      <c r="BB1" s="23" t="s">
        <v>1114</v>
      </c>
      <c r="BC1" s="23" t="s">
        <v>1115</v>
      </c>
      <c r="BD1" s="23" t="s">
        <v>996</v>
      </c>
      <c r="BE1" s="23" t="s">
        <v>1124</v>
      </c>
      <c r="BF1" s="23" t="s">
        <v>1119</v>
      </c>
      <c r="BG1" s="23" t="s">
        <v>1117</v>
      </c>
      <c r="BH1" s="23" t="s">
        <v>1120</v>
      </c>
      <c r="BI1" s="23" t="s">
        <v>1121</v>
      </c>
      <c r="BJ1" s="387" t="s">
        <v>1122</v>
      </c>
      <c r="BK1" s="23" t="s">
        <v>1134</v>
      </c>
      <c r="BL1" s="23" t="s">
        <v>1137</v>
      </c>
    </row>
    <row r="2" spans="1:64" s="25" customFormat="1" ht="20.25" customHeight="1" thickBot="1" x14ac:dyDescent="0.35">
      <c r="A2" s="24" t="s">
        <v>80</v>
      </c>
      <c r="B2" s="25" t="s">
        <v>81</v>
      </c>
      <c r="C2" s="25" t="s">
        <v>82</v>
      </c>
      <c r="D2" s="25" t="s">
        <v>1240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83</v>
      </c>
      <c r="J2" s="25" t="s">
        <v>84</v>
      </c>
      <c r="L2" s="26">
        <v>44719</v>
      </c>
      <c r="M2" s="27">
        <v>44739</v>
      </c>
      <c r="N2" s="28">
        <v>8.34</v>
      </c>
      <c r="O2" s="28">
        <v>0.43</v>
      </c>
      <c r="P2" s="28"/>
      <c r="Q2" s="28"/>
      <c r="R2" s="28"/>
      <c r="S2" s="28"/>
      <c r="T2" s="28"/>
      <c r="U2" s="354">
        <f>O2*9.63</f>
        <v>4.1409000000000002</v>
      </c>
      <c r="V2" s="354"/>
      <c r="W2" s="354"/>
      <c r="X2" s="30">
        <v>36</v>
      </c>
      <c r="Y2" s="30">
        <v>34</v>
      </c>
      <c r="Z2" s="30">
        <v>30</v>
      </c>
      <c r="AA2" s="239" t="s">
        <v>882</v>
      </c>
      <c r="AB2" s="239" t="s">
        <v>878</v>
      </c>
      <c r="AC2" s="32">
        <v>3.4089999999999998</v>
      </c>
      <c r="AD2" s="33">
        <v>0.21</v>
      </c>
      <c r="AE2" s="30">
        <v>106.79</v>
      </c>
      <c r="AF2" s="30">
        <v>421.24</v>
      </c>
      <c r="AG2" s="445">
        <v>420</v>
      </c>
      <c r="AH2" s="35">
        <v>311.59800000000001</v>
      </c>
      <c r="AI2" s="445">
        <v>10522</v>
      </c>
      <c r="AJ2" s="34">
        <v>7520.0734000000002</v>
      </c>
      <c r="AK2" s="433">
        <v>1092</v>
      </c>
      <c r="AL2" s="31">
        <v>658.476</v>
      </c>
      <c r="AM2" s="250">
        <v>4.8727206996100314</v>
      </c>
      <c r="AN2" s="338" t="s">
        <v>1000</v>
      </c>
      <c r="AO2" s="31">
        <v>1.49</v>
      </c>
      <c r="AP2" s="34">
        <v>19.86</v>
      </c>
      <c r="AQ2" s="35">
        <v>6.02</v>
      </c>
      <c r="AR2" s="31">
        <v>1.68</v>
      </c>
      <c r="AS2" s="34">
        <v>3.07</v>
      </c>
      <c r="AT2" s="35">
        <v>97.67</v>
      </c>
      <c r="AU2" s="31">
        <v>253.39</v>
      </c>
      <c r="AV2" s="34">
        <v>1.85</v>
      </c>
      <c r="AW2" s="433">
        <v>7.1189279731993294</v>
      </c>
      <c r="AX2" s="454">
        <f>MAX(AW:AW)</f>
        <v>55.864369093941065</v>
      </c>
      <c r="AY2" s="36"/>
      <c r="AZ2" s="25">
        <v>0.89419232736572873</v>
      </c>
      <c r="BA2" s="25">
        <v>1.3547739130434784</v>
      </c>
      <c r="BB2" s="25">
        <v>37.578571428571429</v>
      </c>
      <c r="BC2" s="25">
        <v>5.4195555555555552</v>
      </c>
      <c r="BD2" s="25">
        <v>0.29218441984239585</v>
      </c>
      <c r="BE2" s="25" t="s">
        <v>1125</v>
      </c>
      <c r="BF2" s="25">
        <v>0.8943000613810741</v>
      </c>
      <c r="BG2" s="25">
        <v>1.3518921270117443</v>
      </c>
      <c r="BH2" s="25">
        <v>37.525316367265468</v>
      </c>
      <c r="BI2" s="25">
        <v>3.8656800000000002</v>
      </c>
      <c r="BJ2" s="388">
        <v>3.0980275580481893E-2</v>
      </c>
      <c r="BK2" s="25" t="s">
        <v>1126</v>
      </c>
      <c r="BL2" s="25" t="s">
        <v>1135</v>
      </c>
    </row>
    <row r="3" spans="1:64" s="38" customFormat="1" ht="20.25" customHeight="1" thickBot="1" x14ac:dyDescent="0.35">
      <c r="A3" s="37" t="s">
        <v>85</v>
      </c>
      <c r="B3" s="38" t="s">
        <v>81</v>
      </c>
      <c r="C3" s="38" t="s">
        <v>86</v>
      </c>
      <c r="D3" s="38" t="s">
        <v>1240</v>
      </c>
      <c r="E3" s="38" t="s">
        <v>4</v>
      </c>
      <c r="F3" s="38" t="s">
        <v>5</v>
      </c>
      <c r="G3" s="38" t="s">
        <v>8</v>
      </c>
      <c r="H3" s="38" t="s">
        <v>9</v>
      </c>
      <c r="I3" s="38" t="s">
        <v>83</v>
      </c>
      <c r="J3" s="38" t="s">
        <v>84</v>
      </c>
      <c r="L3" s="39">
        <v>44719</v>
      </c>
      <c r="M3" s="40">
        <v>44739</v>
      </c>
      <c r="N3" s="41">
        <v>8.18</v>
      </c>
      <c r="O3" s="41">
        <v>4.5</v>
      </c>
      <c r="P3" s="41"/>
      <c r="Q3" s="41"/>
      <c r="R3" s="41"/>
      <c r="S3" s="365"/>
      <c r="T3" s="365"/>
      <c r="U3" s="354">
        <f t="shared" ref="U3:U6" si="0">O3*9.63</f>
        <v>43.335000000000001</v>
      </c>
      <c r="V3" s="355"/>
      <c r="W3" s="355"/>
      <c r="X3" s="31">
        <v>40</v>
      </c>
      <c r="Y3" s="31">
        <v>34</v>
      </c>
      <c r="Z3" s="31">
        <v>26</v>
      </c>
      <c r="AA3" s="239" t="s">
        <v>882</v>
      </c>
      <c r="AB3" s="239" t="s">
        <v>878</v>
      </c>
      <c r="AC3" s="34">
        <v>5.5919999999999996</v>
      </c>
      <c r="AD3" s="35">
        <v>0.22</v>
      </c>
      <c r="AE3" s="31">
        <v>308.67</v>
      </c>
      <c r="AF3" s="31">
        <v>389.5</v>
      </c>
      <c r="AG3" s="445">
        <v>3906</v>
      </c>
      <c r="AH3" s="35">
        <v>2897.8614000000002</v>
      </c>
      <c r="AI3" s="445">
        <v>12079</v>
      </c>
      <c r="AJ3" s="34">
        <v>8632.8613000000005</v>
      </c>
      <c r="AK3" s="433">
        <v>2284</v>
      </c>
      <c r="AL3" s="31">
        <v>1377.252</v>
      </c>
      <c r="AM3" s="250">
        <v>40.961241505577689</v>
      </c>
      <c r="AN3" s="338" t="s">
        <v>997</v>
      </c>
      <c r="AO3" s="31">
        <v>1.0900000000000001</v>
      </c>
      <c r="AP3" s="34">
        <v>5.34</v>
      </c>
      <c r="AQ3" s="35">
        <v>3.41</v>
      </c>
      <c r="AR3" s="31">
        <v>4.72</v>
      </c>
      <c r="AS3" s="34">
        <v>3.24</v>
      </c>
      <c r="AT3" s="35">
        <v>20.04</v>
      </c>
      <c r="AU3" s="31">
        <v>6255.47</v>
      </c>
      <c r="AV3" s="34">
        <v>2.96</v>
      </c>
      <c r="AW3" s="433">
        <v>6.0534372390759801</v>
      </c>
      <c r="AX3" s="42"/>
      <c r="AY3" s="43"/>
      <c r="AZ3" s="38">
        <v>0.82681585677749359</v>
      </c>
      <c r="BA3" s="38">
        <v>12.59939739130435</v>
      </c>
      <c r="BB3" s="38">
        <v>43.13928571428572</v>
      </c>
      <c r="BC3" s="38">
        <v>11.335407407407407</v>
      </c>
      <c r="BD3" s="38">
        <v>2.4141673699025299</v>
      </c>
      <c r="BE3" s="38" t="s">
        <v>1125</v>
      </c>
      <c r="BF3" s="38">
        <v>0.82691547314577996</v>
      </c>
      <c r="BG3" s="38">
        <v>12.572596781209221</v>
      </c>
      <c r="BH3" s="38">
        <v>43.078150199600799</v>
      </c>
      <c r="BI3" s="38">
        <v>8.0853599999999997</v>
      </c>
      <c r="BJ3" s="389">
        <v>0.19473370829526421</v>
      </c>
      <c r="BK3" s="38" t="s">
        <v>1127</v>
      </c>
      <c r="BL3" s="38" t="s">
        <v>1136</v>
      </c>
    </row>
    <row r="4" spans="1:64" s="38" customFormat="1" ht="20.25" customHeight="1" thickBot="1" x14ac:dyDescent="0.35">
      <c r="A4" s="37" t="s">
        <v>87</v>
      </c>
      <c r="B4" s="38" t="s">
        <v>81</v>
      </c>
      <c r="C4" s="38" t="s">
        <v>88</v>
      </c>
      <c r="D4" s="38" t="s">
        <v>1240</v>
      </c>
      <c r="E4" s="38" t="s">
        <v>4</v>
      </c>
      <c r="F4" s="38" t="s">
        <v>5</v>
      </c>
      <c r="G4" s="38" t="s">
        <v>10</v>
      </c>
      <c r="H4" s="38" t="s">
        <v>11</v>
      </c>
      <c r="I4" s="38" t="s">
        <v>89</v>
      </c>
      <c r="J4" s="38" t="s">
        <v>84</v>
      </c>
      <c r="L4" s="39">
        <v>44719</v>
      </c>
      <c r="M4" s="40">
        <v>44739</v>
      </c>
      <c r="N4" s="41">
        <v>8.8000000000000007</v>
      </c>
      <c r="O4" s="41">
        <v>0.18</v>
      </c>
      <c r="P4" s="41"/>
      <c r="Q4" s="41"/>
      <c r="R4" s="41"/>
      <c r="S4" s="365"/>
      <c r="T4" s="365"/>
      <c r="U4" s="354">
        <f t="shared" si="0"/>
        <v>1.7334000000000001</v>
      </c>
      <c r="V4" s="355"/>
      <c r="W4" s="355"/>
      <c r="X4" s="31">
        <v>34</v>
      </c>
      <c r="Y4" s="31">
        <v>36</v>
      </c>
      <c r="Z4" s="31">
        <v>30</v>
      </c>
      <c r="AA4" s="239" t="s">
        <v>882</v>
      </c>
      <c r="AB4" s="239" t="s">
        <v>878</v>
      </c>
      <c r="AC4" s="34">
        <v>1.4690000000000001</v>
      </c>
      <c r="AD4" s="35">
        <v>0.05</v>
      </c>
      <c r="AE4" s="31">
        <v>60.25</v>
      </c>
      <c r="AF4" s="31">
        <v>405.94</v>
      </c>
      <c r="AG4" s="445">
        <v>220</v>
      </c>
      <c r="AH4" s="35">
        <v>163.21799999999999</v>
      </c>
      <c r="AI4" s="445">
        <v>10257</v>
      </c>
      <c r="AJ4" s="34">
        <v>7330.6778999999997</v>
      </c>
      <c r="AK4" s="433">
        <v>764</v>
      </c>
      <c r="AL4" s="31">
        <v>460.69200000000001</v>
      </c>
      <c r="AM4" s="250">
        <v>2.6150267641320246</v>
      </c>
      <c r="AN4" s="338" t="s">
        <v>1000</v>
      </c>
      <c r="AO4" s="31">
        <v>1.1000000000000001</v>
      </c>
      <c r="AP4" s="34">
        <v>4.84</v>
      </c>
      <c r="AQ4" s="35">
        <v>4.4800000000000004</v>
      </c>
      <c r="AR4" s="31">
        <v>0.37</v>
      </c>
      <c r="AS4" s="34">
        <v>1.43</v>
      </c>
      <c r="AT4" s="35">
        <v>5.5</v>
      </c>
      <c r="AU4" s="31">
        <v>32.11</v>
      </c>
      <c r="AV4" s="34">
        <v>1.03</v>
      </c>
      <c r="AW4" s="433">
        <v>9.3853820598006656</v>
      </c>
      <c r="AX4" s="42"/>
      <c r="AY4" s="43"/>
      <c r="AZ4" s="38">
        <v>0.86171406649616356</v>
      </c>
      <c r="BA4" s="38">
        <v>0.7096434782608696</v>
      </c>
      <c r="BB4" s="38">
        <v>36.632142857142853</v>
      </c>
      <c r="BC4" s="38">
        <v>3.7917037037037038</v>
      </c>
      <c r="BD4" s="38">
        <v>0.15784702294256675</v>
      </c>
      <c r="BE4" s="38" t="s">
        <v>1125</v>
      </c>
      <c r="BF4" s="38">
        <v>0.86181788746803056</v>
      </c>
      <c r="BG4" s="38">
        <v>0.70813397129186606</v>
      </c>
      <c r="BH4" s="38">
        <v>36.580229041916162</v>
      </c>
      <c r="BI4" s="38">
        <v>2.7045600000000003</v>
      </c>
      <c r="BJ4" s="389">
        <v>1.7332969336739765E-2</v>
      </c>
      <c r="BK4" s="38" t="s">
        <v>1126</v>
      </c>
      <c r="BL4" s="38" t="s">
        <v>1135</v>
      </c>
    </row>
    <row r="5" spans="1:64" s="38" customFormat="1" ht="20.25" customHeight="1" thickBot="1" x14ac:dyDescent="0.35">
      <c r="A5" s="37" t="s">
        <v>90</v>
      </c>
      <c r="B5" s="38" t="s">
        <v>81</v>
      </c>
      <c r="C5" s="38" t="s">
        <v>91</v>
      </c>
      <c r="D5" s="38" t="s">
        <v>1240</v>
      </c>
      <c r="E5" s="38" t="s">
        <v>4</v>
      </c>
      <c r="F5" s="38" t="s">
        <v>5</v>
      </c>
      <c r="G5" s="38" t="s">
        <v>12</v>
      </c>
      <c r="H5" s="38" t="s">
        <v>13</v>
      </c>
      <c r="I5" s="38" t="s">
        <v>89</v>
      </c>
      <c r="J5" s="38" t="s">
        <v>84</v>
      </c>
      <c r="L5" s="39">
        <v>44719</v>
      </c>
      <c r="M5" s="40">
        <v>44739</v>
      </c>
      <c r="N5" s="41">
        <v>8.84</v>
      </c>
      <c r="O5" s="41">
        <v>0.1</v>
      </c>
      <c r="P5" s="41"/>
      <c r="Q5" s="41"/>
      <c r="R5" s="41"/>
      <c r="S5" s="365"/>
      <c r="T5" s="365"/>
      <c r="U5" s="354">
        <f t="shared" si="0"/>
        <v>0.96300000000000008</v>
      </c>
      <c r="V5" s="355"/>
      <c r="W5" s="355"/>
      <c r="X5" s="31">
        <v>28</v>
      </c>
      <c r="Y5" s="31">
        <v>44</v>
      </c>
      <c r="Z5" s="31">
        <v>28</v>
      </c>
      <c r="AA5" s="239" t="s">
        <v>882</v>
      </c>
      <c r="AB5" s="239" t="s">
        <v>878</v>
      </c>
      <c r="AC5" s="34">
        <v>1.3620000000000001</v>
      </c>
      <c r="AD5" s="35">
        <v>0.1</v>
      </c>
      <c r="AE5" s="31">
        <v>62.72</v>
      </c>
      <c r="AF5" s="31">
        <v>415.69</v>
      </c>
      <c r="AG5" s="445">
        <v>94</v>
      </c>
      <c r="AH5" s="35">
        <v>69.738600000000005</v>
      </c>
      <c r="AI5" s="445">
        <v>10217</v>
      </c>
      <c r="AJ5" s="34">
        <v>7302.0898999999999</v>
      </c>
      <c r="AK5" s="433">
        <v>529</v>
      </c>
      <c r="AL5" s="31">
        <v>318.98699999999997</v>
      </c>
      <c r="AM5" s="250">
        <v>1.1297440184152907</v>
      </c>
      <c r="AN5" s="338" t="s">
        <v>1000</v>
      </c>
      <c r="AO5" s="31">
        <v>1.1100000000000001</v>
      </c>
      <c r="AP5" s="34">
        <v>4.47</v>
      </c>
      <c r="AQ5" s="35">
        <v>4.13</v>
      </c>
      <c r="AR5" s="31">
        <v>0.43</v>
      </c>
      <c r="AS5" s="34">
        <v>2.69</v>
      </c>
      <c r="AT5" s="35">
        <v>0.23</v>
      </c>
      <c r="AU5" s="31">
        <v>10.67</v>
      </c>
      <c r="AV5" s="34">
        <v>0.53</v>
      </c>
      <c r="AW5" s="433">
        <v>6.2691557536918365</v>
      </c>
      <c r="AX5" s="42"/>
      <c r="AY5" s="43"/>
      <c r="AZ5" s="38">
        <v>0.8824109974424551</v>
      </c>
      <c r="BA5" s="38">
        <v>0.30321130434782612</v>
      </c>
      <c r="BB5" s="38">
        <v>36.489285714285714</v>
      </c>
      <c r="BC5" s="38">
        <v>2.625407407407407</v>
      </c>
      <c r="BD5" s="38">
        <v>6.8563096428042453E-2</v>
      </c>
      <c r="BE5" s="38" t="s">
        <v>1125</v>
      </c>
      <c r="BF5" s="38">
        <v>0.88251731202046024</v>
      </c>
      <c r="BG5" s="38">
        <v>0.30256633318834275</v>
      </c>
      <c r="BH5" s="38">
        <v>36.437574351297407</v>
      </c>
      <c r="BI5" s="38">
        <v>1.87266</v>
      </c>
      <c r="BJ5" s="389">
        <v>7.6608152190370512E-3</v>
      </c>
      <c r="BK5" s="38" t="s">
        <v>1126</v>
      </c>
      <c r="BL5" s="38" t="s">
        <v>1135</v>
      </c>
    </row>
    <row r="6" spans="1:64" s="38" customFormat="1" ht="20.25" customHeight="1" x14ac:dyDescent="0.3">
      <c r="A6" s="37" t="s">
        <v>92</v>
      </c>
      <c r="B6" s="38" t="s">
        <v>81</v>
      </c>
      <c r="C6" s="38" t="s">
        <v>93</v>
      </c>
      <c r="D6" s="38" t="s">
        <v>1240</v>
      </c>
      <c r="E6" s="38" t="s">
        <v>14</v>
      </c>
      <c r="F6" s="38" t="s">
        <v>15</v>
      </c>
      <c r="G6" s="38" t="s">
        <v>16</v>
      </c>
      <c r="H6" s="38" t="s">
        <v>17</v>
      </c>
      <c r="I6" s="38" t="s">
        <v>89</v>
      </c>
      <c r="J6" s="38" t="s">
        <v>84</v>
      </c>
      <c r="L6" s="39">
        <v>44719</v>
      </c>
      <c r="M6" s="40">
        <v>44739</v>
      </c>
      <c r="N6" s="41">
        <v>8.5399999999999991</v>
      </c>
      <c r="O6" s="41">
        <v>0.24</v>
      </c>
      <c r="P6" s="41"/>
      <c r="Q6" s="41"/>
      <c r="R6" s="41"/>
      <c r="S6" s="365"/>
      <c r="T6" s="365"/>
      <c r="U6" s="354">
        <f t="shared" si="0"/>
        <v>2.3111999999999999</v>
      </c>
      <c r="V6" s="355"/>
      <c r="W6" s="355"/>
      <c r="X6" s="31">
        <v>38</v>
      </c>
      <c r="Y6" s="31">
        <v>38</v>
      </c>
      <c r="Z6" s="31">
        <v>24</v>
      </c>
      <c r="AA6" s="239" t="s">
        <v>882</v>
      </c>
      <c r="AB6" s="239" t="s">
        <v>878</v>
      </c>
      <c r="AC6" s="34">
        <v>2.2589999999999999</v>
      </c>
      <c r="AD6" s="35">
        <v>0.1</v>
      </c>
      <c r="AE6" s="31">
        <v>62.43</v>
      </c>
      <c r="AF6" s="31">
        <v>591.29</v>
      </c>
      <c r="AG6" s="445">
        <v>304</v>
      </c>
      <c r="AH6" s="35">
        <v>225.5376</v>
      </c>
      <c r="AI6" s="445">
        <v>10593</v>
      </c>
      <c r="AJ6" s="34">
        <v>7570.8171000000002</v>
      </c>
      <c r="AK6" s="433">
        <v>735</v>
      </c>
      <c r="AL6" s="31">
        <v>443.20499999999998</v>
      </c>
      <c r="AM6" s="250">
        <v>3.5629414420156023</v>
      </c>
      <c r="AN6" s="338" t="s">
        <v>1000</v>
      </c>
      <c r="AO6" s="31">
        <v>1.5</v>
      </c>
      <c r="AP6" s="34">
        <v>6.64</v>
      </c>
      <c r="AQ6" s="35">
        <v>5.75</v>
      </c>
      <c r="AR6" s="31">
        <v>0.56999999999999995</v>
      </c>
      <c r="AS6" s="34">
        <v>2.52</v>
      </c>
      <c r="AT6" s="35">
        <v>27.87</v>
      </c>
      <c r="AU6" s="31">
        <v>59.63</v>
      </c>
      <c r="AV6" s="34">
        <v>1.0900000000000001</v>
      </c>
      <c r="AW6" s="433">
        <v>5.4264644497008483</v>
      </c>
      <c r="AX6" s="42"/>
      <c r="AY6" s="43"/>
      <c r="AZ6" s="38">
        <v>1.2551680306905368</v>
      </c>
      <c r="BA6" s="38">
        <v>0.98059826086956525</v>
      </c>
      <c r="BB6" s="38">
        <v>37.832142857142856</v>
      </c>
      <c r="BC6" s="38">
        <v>3.6477777777777773</v>
      </c>
      <c r="BD6" s="38">
        <v>0.21532138176730525</v>
      </c>
      <c r="BE6" s="38" t="s">
        <v>1125</v>
      </c>
      <c r="BF6" s="38">
        <v>1.2553192557544757</v>
      </c>
      <c r="BG6" s="38">
        <v>0.97851239669421486</v>
      </c>
      <c r="BH6" s="38">
        <v>37.778528443113771</v>
      </c>
      <c r="BI6" s="38">
        <v>2.6019000000000001</v>
      </c>
      <c r="BJ6" s="389">
        <v>2.296208814842499E-2</v>
      </c>
      <c r="BK6" s="38" t="s">
        <v>1126</v>
      </c>
      <c r="BL6" s="38" t="s">
        <v>1135</v>
      </c>
    </row>
    <row r="7" spans="1:64" s="38" customFormat="1" ht="20.25" customHeight="1" thickBot="1" x14ac:dyDescent="0.35">
      <c r="A7" s="37" t="s">
        <v>94</v>
      </c>
      <c r="B7" s="38" t="s">
        <v>81</v>
      </c>
      <c r="C7" s="38" t="s">
        <v>95</v>
      </c>
      <c r="D7" s="38" t="s">
        <v>1240</v>
      </c>
      <c r="E7" s="38" t="s">
        <v>18</v>
      </c>
      <c r="F7" s="38" t="s">
        <v>15</v>
      </c>
      <c r="G7" s="38" t="s">
        <v>19</v>
      </c>
      <c r="H7" s="38" t="s">
        <v>20</v>
      </c>
      <c r="I7" s="38" t="s">
        <v>89</v>
      </c>
      <c r="J7" s="38" t="s">
        <v>84</v>
      </c>
      <c r="L7" s="39">
        <v>44719</v>
      </c>
      <c r="M7" s="40">
        <v>44739</v>
      </c>
      <c r="N7" s="41">
        <v>7.61</v>
      </c>
      <c r="O7" s="41">
        <v>2.2000000000000002</v>
      </c>
      <c r="P7" s="41"/>
      <c r="Q7" s="41"/>
      <c r="R7" s="41"/>
      <c r="S7" s="41"/>
      <c r="T7" s="41"/>
      <c r="U7" s="356">
        <f>10.92*O7</f>
        <v>24.024000000000001</v>
      </c>
      <c r="V7" s="356"/>
      <c r="W7" s="356"/>
      <c r="X7" s="31">
        <v>10</v>
      </c>
      <c r="Y7" s="31">
        <v>50</v>
      </c>
      <c r="Z7" s="31">
        <v>40</v>
      </c>
      <c r="AA7" s="239" t="s">
        <v>883</v>
      </c>
      <c r="AB7" s="239" t="s">
        <v>888</v>
      </c>
      <c r="AC7" s="34">
        <v>2.504</v>
      </c>
      <c r="AD7" s="35">
        <v>0.1565</v>
      </c>
      <c r="AE7" s="31">
        <v>22.51</v>
      </c>
      <c r="AF7" s="31">
        <v>168.16</v>
      </c>
      <c r="AG7" s="445">
        <v>44</v>
      </c>
      <c r="AH7" s="35">
        <v>32.643599999999999</v>
      </c>
      <c r="AI7" s="445">
        <v>72969</v>
      </c>
      <c r="AJ7" s="34">
        <v>52150.944300000003</v>
      </c>
      <c r="AK7" s="433">
        <v>52</v>
      </c>
      <c r="AL7" s="31">
        <v>31.355999999999998</v>
      </c>
      <c r="AM7" s="250">
        <v>0.20209307660801734</v>
      </c>
      <c r="AN7" s="338" t="s">
        <v>1000</v>
      </c>
      <c r="AO7" s="31">
        <v>0.49</v>
      </c>
      <c r="AP7" s="34">
        <v>5.35</v>
      </c>
      <c r="AQ7" s="35">
        <v>3.1</v>
      </c>
      <c r="AR7" s="31">
        <v>0.48</v>
      </c>
      <c r="AS7" s="34">
        <v>7.85</v>
      </c>
      <c r="AT7" s="35">
        <v>6.44</v>
      </c>
      <c r="AU7" s="31">
        <v>17.03</v>
      </c>
      <c r="AV7" s="34">
        <v>1.04</v>
      </c>
      <c r="AW7" s="433">
        <v>3.7614934522151016</v>
      </c>
      <c r="AX7" s="42"/>
      <c r="AY7" s="43"/>
      <c r="AZ7" s="38">
        <v>0.35696368286445013</v>
      </c>
      <c r="BA7" s="38">
        <v>0.14192869565217392</v>
      </c>
      <c r="BB7" s="38">
        <v>260.6035714285714</v>
      </c>
      <c r="BC7" s="38">
        <v>0.25807407407407407</v>
      </c>
      <c r="BD7" s="38">
        <v>1.2427394777138381E-2</v>
      </c>
      <c r="BE7" s="38" t="s">
        <v>1125</v>
      </c>
      <c r="BF7" s="38">
        <v>0.35700669053708434</v>
      </c>
      <c r="BG7" s="38">
        <v>0.14162679425837321</v>
      </c>
      <c r="BH7" s="38">
        <v>260.23425299401197</v>
      </c>
      <c r="BI7" s="38">
        <v>0.18408000000000002</v>
      </c>
      <c r="BJ7" s="389">
        <v>5.4280408119752009E-4</v>
      </c>
      <c r="BK7" s="38" t="s">
        <v>1126</v>
      </c>
      <c r="BL7" s="38" t="s">
        <v>1136</v>
      </c>
    </row>
    <row r="8" spans="1:64" s="38" customFormat="1" ht="20.25" customHeight="1" x14ac:dyDescent="0.3">
      <c r="A8" s="37" t="s">
        <v>96</v>
      </c>
      <c r="B8" s="38" t="s">
        <v>81</v>
      </c>
      <c r="C8" s="45" t="s">
        <v>97</v>
      </c>
      <c r="D8" s="45" t="s">
        <v>1240</v>
      </c>
      <c r="E8" s="38" t="s">
        <v>18</v>
      </c>
      <c r="F8" s="38" t="s">
        <v>15</v>
      </c>
      <c r="G8" s="38" t="s">
        <v>21</v>
      </c>
      <c r="H8" s="45" t="s">
        <v>22</v>
      </c>
      <c r="I8" s="38" t="s">
        <v>89</v>
      </c>
      <c r="J8" s="38" t="s">
        <v>84</v>
      </c>
      <c r="L8" s="39">
        <v>44719</v>
      </c>
      <c r="M8" s="40">
        <v>44739</v>
      </c>
      <c r="N8" s="41">
        <v>8.07</v>
      </c>
      <c r="O8" s="41">
        <v>4.3</v>
      </c>
      <c r="P8" s="41"/>
      <c r="Q8" s="41"/>
      <c r="R8" s="41"/>
      <c r="S8" s="365"/>
      <c r="T8" s="365"/>
      <c r="U8" s="354">
        <f>O8*9.63</f>
        <v>41.408999999999999</v>
      </c>
      <c r="V8" s="355"/>
      <c r="W8" s="355"/>
      <c r="X8" s="31">
        <v>36</v>
      </c>
      <c r="Y8" s="31">
        <v>42</v>
      </c>
      <c r="Z8" s="31">
        <v>22</v>
      </c>
      <c r="AA8" s="239" t="s">
        <v>882</v>
      </c>
      <c r="AB8" s="239" t="s">
        <v>878</v>
      </c>
      <c r="AC8" s="34">
        <v>2.0830000000000002</v>
      </c>
      <c r="AD8" s="35">
        <v>0.13018750000000001</v>
      </c>
      <c r="AE8" s="31">
        <v>88.61</v>
      </c>
      <c r="AF8" s="31">
        <v>1409.09</v>
      </c>
      <c r="AG8" s="445">
        <v>3865</v>
      </c>
      <c r="AH8" s="35">
        <v>2867.4434999999999</v>
      </c>
      <c r="AI8" s="445">
        <v>12028</v>
      </c>
      <c r="AJ8" s="34">
        <v>8596.4115999999995</v>
      </c>
      <c r="AK8" s="433">
        <v>1802</v>
      </c>
      <c r="AL8" s="31">
        <v>1086.606</v>
      </c>
      <c r="AM8" s="250">
        <v>41.210179533813239</v>
      </c>
      <c r="AN8" s="338" t="s">
        <v>997</v>
      </c>
      <c r="AO8" s="31">
        <v>2.85</v>
      </c>
      <c r="AP8" s="34">
        <v>17.149999999999999</v>
      </c>
      <c r="AQ8" s="35">
        <v>9.3800000000000008</v>
      </c>
      <c r="AR8" s="31">
        <v>1.77</v>
      </c>
      <c r="AS8" s="34">
        <v>4.71</v>
      </c>
      <c r="AT8" s="35">
        <v>98.07</v>
      </c>
      <c r="AU8" s="31">
        <v>10135.540000000001</v>
      </c>
      <c r="AV8" s="34">
        <v>6.86</v>
      </c>
      <c r="AW8" s="433">
        <v>6.2805303558967189</v>
      </c>
      <c r="AX8" s="42"/>
      <c r="AY8" s="43"/>
      <c r="AZ8" s="38">
        <v>2.9911629156010227</v>
      </c>
      <c r="BA8" s="38">
        <v>12.467145652173913</v>
      </c>
      <c r="BB8" s="38">
        <v>42.957142857142856</v>
      </c>
      <c r="BC8" s="38">
        <v>8.9432592592592588</v>
      </c>
      <c r="BD8" s="38">
        <v>2.4473533064947657</v>
      </c>
      <c r="BE8" s="38" t="s">
        <v>1125</v>
      </c>
      <c r="BF8" s="38">
        <v>2.9915232966751915</v>
      </c>
      <c r="BG8" s="38">
        <v>12.440626359286645</v>
      </c>
      <c r="BH8" s="38">
        <v>42.896265469061873</v>
      </c>
      <c r="BI8" s="38">
        <v>6.3790800000000001</v>
      </c>
      <c r="BJ8" s="389">
        <v>0.19225943355170305</v>
      </c>
      <c r="BK8" s="38" t="s">
        <v>1127</v>
      </c>
      <c r="BL8" s="38" t="s">
        <v>1136</v>
      </c>
    </row>
    <row r="9" spans="1:64" s="38" customFormat="1" ht="20.25" customHeight="1" x14ac:dyDescent="0.3">
      <c r="A9" s="37" t="s">
        <v>98</v>
      </c>
      <c r="B9" s="38" t="s">
        <v>81</v>
      </c>
      <c r="C9" s="45" t="s">
        <v>99</v>
      </c>
      <c r="D9" s="45" t="s">
        <v>1241</v>
      </c>
      <c r="E9" s="45"/>
      <c r="F9" s="38" t="s">
        <v>15</v>
      </c>
      <c r="G9" s="45" t="s">
        <v>23</v>
      </c>
      <c r="H9" s="45" t="s">
        <v>24</v>
      </c>
      <c r="I9" s="38" t="s">
        <v>89</v>
      </c>
      <c r="J9" s="38" t="s">
        <v>84</v>
      </c>
      <c r="L9" s="39">
        <v>44719</v>
      </c>
      <c r="M9" s="40">
        <v>44739</v>
      </c>
      <c r="N9" s="41">
        <v>8.66</v>
      </c>
      <c r="O9" s="41">
        <v>2.5</v>
      </c>
      <c r="P9" s="41"/>
      <c r="Q9" s="41"/>
      <c r="R9" s="41"/>
      <c r="S9" s="41"/>
      <c r="T9" s="41"/>
      <c r="U9" s="357">
        <f t="shared" ref="U9:U11" si="1">O9*5.25</f>
        <v>13.125</v>
      </c>
      <c r="V9" s="357"/>
      <c r="W9" s="357"/>
      <c r="X9" s="31">
        <v>46</v>
      </c>
      <c r="Y9" s="31">
        <v>28</v>
      </c>
      <c r="Z9" s="31">
        <v>26</v>
      </c>
      <c r="AA9" s="239" t="s">
        <v>876</v>
      </c>
      <c r="AB9" s="239" t="s">
        <v>877</v>
      </c>
      <c r="AC9" s="34">
        <v>1.6060000000000001</v>
      </c>
      <c r="AD9" s="35">
        <v>0.10037500000000001</v>
      </c>
      <c r="AE9" s="31">
        <v>45.56</v>
      </c>
      <c r="AF9" s="31">
        <v>1220.69</v>
      </c>
      <c r="AG9" s="445">
        <v>4174</v>
      </c>
      <c r="AH9" s="35">
        <v>3096.6905999999999</v>
      </c>
      <c r="AI9" s="445">
        <v>9839</v>
      </c>
      <c r="AJ9" s="34">
        <v>7031.9332999999997</v>
      </c>
      <c r="AK9" s="433">
        <v>1391</v>
      </c>
      <c r="AL9" s="31">
        <v>838.77300000000002</v>
      </c>
      <c r="AM9" s="250">
        <v>49.363501767321445</v>
      </c>
      <c r="AN9" s="338" t="s">
        <v>999</v>
      </c>
      <c r="AO9" s="31">
        <v>1.07</v>
      </c>
      <c r="AP9" s="34">
        <v>1.64</v>
      </c>
      <c r="AQ9" s="35">
        <v>2.64</v>
      </c>
      <c r="AR9" s="31">
        <v>0.51</v>
      </c>
      <c r="AS9" s="34">
        <v>0.98</v>
      </c>
      <c r="AT9" s="35">
        <v>6.99</v>
      </c>
      <c r="AU9" s="31">
        <v>3243.07</v>
      </c>
      <c r="AV9" s="34">
        <v>10.66</v>
      </c>
      <c r="AW9" s="433">
        <v>4.3279234290470239</v>
      </c>
      <c r="AX9" s="42"/>
      <c r="AY9" s="43"/>
      <c r="AZ9" s="38">
        <v>2.5912345268542198</v>
      </c>
      <c r="BA9" s="38">
        <v>13.463872173913044</v>
      </c>
      <c r="BB9" s="38">
        <v>35.13928571428572</v>
      </c>
      <c r="BC9" s="38">
        <v>6.9034814814814816</v>
      </c>
      <c r="BD9" s="38">
        <v>2.936563058617224</v>
      </c>
      <c r="BE9" s="38" t="s">
        <v>1125</v>
      </c>
      <c r="BF9" s="38">
        <v>2.5915467237851662</v>
      </c>
      <c r="BG9" s="38">
        <v>13.435232709873857</v>
      </c>
      <c r="BH9" s="38">
        <v>35.089487524950094</v>
      </c>
      <c r="BI9" s="38">
        <v>4.9241400000000004</v>
      </c>
      <c r="BJ9" s="389">
        <v>0.23974188338419786</v>
      </c>
      <c r="BK9" s="38" t="s">
        <v>1127</v>
      </c>
      <c r="BL9" s="38" t="s">
        <v>1136</v>
      </c>
    </row>
    <row r="10" spans="1:64" s="38" customFormat="1" ht="20.25" customHeight="1" x14ac:dyDescent="0.3">
      <c r="A10" s="37" t="s">
        <v>100</v>
      </c>
      <c r="B10" s="38" t="s">
        <v>81</v>
      </c>
      <c r="C10" s="38" t="s">
        <v>101</v>
      </c>
      <c r="D10" s="38" t="s">
        <v>1240</v>
      </c>
      <c r="F10" s="38" t="s">
        <v>15</v>
      </c>
      <c r="G10" s="38" t="s">
        <v>25</v>
      </c>
      <c r="H10" s="38" t="s">
        <v>26</v>
      </c>
      <c r="I10" s="38" t="s">
        <v>89</v>
      </c>
      <c r="J10" s="38" t="s">
        <v>84</v>
      </c>
      <c r="L10" s="39">
        <v>44719</v>
      </c>
      <c r="M10" s="40">
        <v>44739</v>
      </c>
      <c r="N10" s="41">
        <v>7.85</v>
      </c>
      <c r="O10" s="41">
        <v>22.98</v>
      </c>
      <c r="P10" s="41"/>
      <c r="Q10" s="41"/>
      <c r="R10" s="41"/>
      <c r="S10" s="41"/>
      <c r="T10" s="41"/>
      <c r="U10" s="356">
        <f>O10*5.4</f>
        <v>124.09200000000001</v>
      </c>
      <c r="V10" s="356"/>
      <c r="W10" s="356"/>
      <c r="X10" s="31">
        <v>12</v>
      </c>
      <c r="Y10" s="31">
        <v>80</v>
      </c>
      <c r="Z10" s="31">
        <v>8</v>
      </c>
      <c r="AA10" s="239" t="s">
        <v>884</v>
      </c>
      <c r="AB10" s="239" t="s">
        <v>879</v>
      </c>
      <c r="AC10" s="34">
        <v>2.6680000000000001</v>
      </c>
      <c r="AD10" s="35">
        <v>0.16675000000000001</v>
      </c>
      <c r="AE10" s="31">
        <v>70.62</v>
      </c>
      <c r="AF10" s="31">
        <v>1578.14</v>
      </c>
      <c r="AG10" s="445">
        <v>38096</v>
      </c>
      <c r="AH10" s="35">
        <v>28263.422399999999</v>
      </c>
      <c r="AI10" s="445">
        <v>15558</v>
      </c>
      <c r="AJ10" s="34">
        <v>11119.302600000001</v>
      </c>
      <c r="AK10" s="433">
        <v>3995</v>
      </c>
      <c r="AL10" s="31">
        <v>2408.9850000000001</v>
      </c>
      <c r="AM10" s="250">
        <v>343.65157071477472</v>
      </c>
      <c r="AN10" s="338" t="s">
        <v>997</v>
      </c>
      <c r="AO10" s="31">
        <v>2.36</v>
      </c>
      <c r="AP10" s="34">
        <v>26.52</v>
      </c>
      <c r="AQ10" s="35">
        <v>8.67</v>
      </c>
      <c r="AR10" s="31">
        <v>1.79</v>
      </c>
      <c r="AS10" s="34">
        <v>11.98</v>
      </c>
      <c r="AT10" s="35">
        <v>77.930000000000007</v>
      </c>
      <c r="AU10" s="31">
        <v>43318.41</v>
      </c>
      <c r="AV10" s="34">
        <v>7.78</v>
      </c>
      <c r="AW10" s="433">
        <v>0</v>
      </c>
      <c r="AX10" s="42"/>
      <c r="AY10" s="43"/>
      <c r="AZ10" s="38">
        <v>3.3500158567774929</v>
      </c>
      <c r="BA10" s="38">
        <v>122.8844452173913</v>
      </c>
      <c r="BB10" s="38">
        <v>55.56428571428571</v>
      </c>
      <c r="BC10" s="38">
        <v>19.827037037037037</v>
      </c>
      <c r="BD10" s="38">
        <v>20.014798832115265</v>
      </c>
      <c r="BE10" s="38" t="s">
        <v>1128</v>
      </c>
      <c r="BF10" s="38">
        <v>3.3504194731457804</v>
      </c>
      <c r="BG10" s="38">
        <v>122.62305350152241</v>
      </c>
      <c r="BH10" s="38">
        <v>55.485541916167669</v>
      </c>
      <c r="BI10" s="38">
        <v>14.142300000000001</v>
      </c>
      <c r="BJ10" s="389">
        <v>0.62690301223157796</v>
      </c>
      <c r="BK10" s="38" t="s">
        <v>1129</v>
      </c>
      <c r="BL10" s="38" t="s">
        <v>1136</v>
      </c>
    </row>
    <row r="11" spans="1:64" s="38" customFormat="1" ht="20.25" customHeight="1" thickBot="1" x14ac:dyDescent="0.35">
      <c r="A11" s="37" t="s">
        <v>102</v>
      </c>
      <c r="B11" s="38" t="s">
        <v>81</v>
      </c>
      <c r="C11" s="38" t="s">
        <v>103</v>
      </c>
      <c r="D11" s="38" t="s">
        <v>1240</v>
      </c>
      <c r="F11" s="38" t="s">
        <v>15</v>
      </c>
      <c r="G11" s="38" t="s">
        <v>27</v>
      </c>
      <c r="H11" s="38" t="s">
        <v>28</v>
      </c>
      <c r="I11" s="38" t="s">
        <v>89</v>
      </c>
      <c r="J11" s="38" t="s">
        <v>84</v>
      </c>
      <c r="L11" s="39">
        <v>44719</v>
      </c>
      <c r="M11" s="40">
        <v>44739</v>
      </c>
      <c r="N11" s="41">
        <v>8.18</v>
      </c>
      <c r="O11" s="41">
        <v>9.1999999999999993</v>
      </c>
      <c r="P11" s="41"/>
      <c r="Q11" s="41"/>
      <c r="R11" s="41"/>
      <c r="S11" s="41"/>
      <c r="T11" s="41"/>
      <c r="U11" s="357">
        <f t="shared" si="1"/>
        <v>48.3</v>
      </c>
      <c r="V11" s="357"/>
      <c r="W11" s="357"/>
      <c r="X11" s="31">
        <v>64</v>
      </c>
      <c r="Y11" s="31">
        <v>24</v>
      </c>
      <c r="Z11" s="31">
        <v>12</v>
      </c>
      <c r="AA11" s="239" t="s">
        <v>876</v>
      </c>
      <c r="AB11" s="239" t="s">
        <v>877</v>
      </c>
      <c r="AC11" s="34">
        <v>1.6679999999999999</v>
      </c>
      <c r="AD11" s="35">
        <v>0.10425</v>
      </c>
      <c r="AE11" s="31">
        <v>55.49</v>
      </c>
      <c r="AF11" s="31">
        <v>1560.86</v>
      </c>
      <c r="AG11" s="445">
        <v>12310</v>
      </c>
      <c r="AH11" s="35">
        <v>9132.7890000000007</v>
      </c>
      <c r="AI11" s="445">
        <v>11845</v>
      </c>
      <c r="AJ11" s="34">
        <v>8465.6214999999993</v>
      </c>
      <c r="AK11" s="433">
        <v>2177</v>
      </c>
      <c r="AL11" s="31">
        <v>1312.731</v>
      </c>
      <c r="AM11" s="250">
        <v>130.61275115615013</v>
      </c>
      <c r="AN11" s="338" t="s">
        <v>997</v>
      </c>
      <c r="AO11" s="31">
        <v>2.15</v>
      </c>
      <c r="AP11" s="34">
        <v>17.690000000000001</v>
      </c>
      <c r="AQ11" s="35">
        <v>6.74</v>
      </c>
      <c r="AR11" s="31">
        <v>1.02</v>
      </c>
      <c r="AS11" s="34">
        <v>18.36</v>
      </c>
      <c r="AT11" s="35">
        <v>47.85</v>
      </c>
      <c r="AU11" s="31">
        <v>15975.51</v>
      </c>
      <c r="AV11" s="34">
        <v>14.58</v>
      </c>
      <c r="AW11" s="433">
        <v>3.8760766879688795</v>
      </c>
      <c r="AX11" s="42"/>
      <c r="AY11" s="43"/>
      <c r="AZ11" s="38">
        <v>3.3133345268542196</v>
      </c>
      <c r="BA11" s="38">
        <v>39.707778260869567</v>
      </c>
      <c r="BB11" s="38">
        <v>42.303571428571431</v>
      </c>
      <c r="BC11" s="38">
        <v>10.80437037037037</v>
      </c>
      <c r="BD11" s="38">
        <v>7.7056778842050262</v>
      </c>
      <c r="BE11" s="38" t="s">
        <v>1125</v>
      </c>
      <c r="BF11" s="38">
        <v>3.3137337237851661</v>
      </c>
      <c r="BG11" s="38">
        <v>39.623314484558499</v>
      </c>
      <c r="BH11" s="38">
        <v>42.243620259481034</v>
      </c>
      <c r="BI11" s="38">
        <v>7.7065800000000007</v>
      </c>
      <c r="BJ11" s="389">
        <v>0.42657431604601415</v>
      </c>
      <c r="BK11" s="38" t="s">
        <v>1130</v>
      </c>
      <c r="BL11" s="38" t="s">
        <v>1136</v>
      </c>
    </row>
    <row r="12" spans="1:64" s="47" customFormat="1" ht="20.25" customHeight="1" thickBot="1" x14ac:dyDescent="0.35">
      <c r="A12" s="46" t="s">
        <v>104</v>
      </c>
      <c r="B12" s="47" t="s">
        <v>81</v>
      </c>
      <c r="C12" s="47" t="s">
        <v>105</v>
      </c>
      <c r="D12" s="47" t="s">
        <v>1241</v>
      </c>
      <c r="F12" s="47" t="s">
        <v>15</v>
      </c>
      <c r="G12" s="47" t="s">
        <v>27</v>
      </c>
      <c r="H12" s="47" t="s">
        <v>28</v>
      </c>
      <c r="I12" s="47" t="s">
        <v>89</v>
      </c>
      <c r="J12" s="47" t="s">
        <v>84</v>
      </c>
      <c r="L12" s="48">
        <v>44719</v>
      </c>
      <c r="M12" s="49">
        <v>44739</v>
      </c>
      <c r="N12" s="50">
        <v>8.77</v>
      </c>
      <c r="O12" s="50">
        <v>0.14000000000000001</v>
      </c>
      <c r="P12" s="50"/>
      <c r="Q12" s="50"/>
      <c r="R12" s="50"/>
      <c r="S12" s="366"/>
      <c r="T12" s="366"/>
      <c r="U12" s="354">
        <f>O12*9.63</f>
        <v>1.3482000000000003</v>
      </c>
      <c r="V12" s="358"/>
      <c r="W12" s="358"/>
      <c r="X12" s="51">
        <v>32</v>
      </c>
      <c r="Y12" s="51">
        <v>34</v>
      </c>
      <c r="Z12" s="51">
        <v>34</v>
      </c>
      <c r="AA12" s="239" t="s">
        <v>882</v>
      </c>
      <c r="AB12" s="239" t="s">
        <v>878</v>
      </c>
      <c r="AC12" s="52">
        <v>1.389</v>
      </c>
      <c r="AD12" s="53">
        <v>8.6812500000000001E-2</v>
      </c>
      <c r="AE12" s="51">
        <v>54.16</v>
      </c>
      <c r="AF12" s="51">
        <v>613.69000000000005</v>
      </c>
      <c r="AG12" s="445">
        <v>212</v>
      </c>
      <c r="AH12" s="35">
        <v>157.28280000000001</v>
      </c>
      <c r="AI12" s="445">
        <v>10176</v>
      </c>
      <c r="AJ12" s="34">
        <v>7272.7871999999998</v>
      </c>
      <c r="AK12" s="433">
        <v>585</v>
      </c>
      <c r="AL12" s="31">
        <v>352.755</v>
      </c>
      <c r="AM12" s="250">
        <v>2.5471872103505535</v>
      </c>
      <c r="AN12" s="338" t="s">
        <v>1000</v>
      </c>
      <c r="AO12" s="31">
        <v>1.37</v>
      </c>
      <c r="AP12" s="34">
        <v>7.09</v>
      </c>
      <c r="AQ12" s="35">
        <v>5.39</v>
      </c>
      <c r="AR12" s="31">
        <v>0.4</v>
      </c>
      <c r="AS12" s="34">
        <v>3.4699999999999998</v>
      </c>
      <c r="AT12" s="35">
        <v>2.46</v>
      </c>
      <c r="AU12" s="31">
        <v>20.74</v>
      </c>
      <c r="AV12" s="34">
        <v>1.22</v>
      </c>
      <c r="AW12" s="433">
        <v>5.4438860971524283</v>
      </c>
      <c r="AX12" s="54"/>
      <c r="AY12" s="55"/>
      <c r="AZ12" s="47">
        <v>1.3027179028132991</v>
      </c>
      <c r="BA12" s="47">
        <v>0.68383826086956534</v>
      </c>
      <c r="BB12" s="47">
        <v>36.342857142857142</v>
      </c>
      <c r="BC12" s="47">
        <v>2.9033333333333333</v>
      </c>
      <c r="BD12" s="47">
        <v>0.15437239433389269</v>
      </c>
      <c r="BE12" s="47" t="s">
        <v>1125</v>
      </c>
      <c r="BF12" s="47">
        <v>1.3028748567774937</v>
      </c>
      <c r="BG12" s="47">
        <v>0.68238364506307081</v>
      </c>
      <c r="BH12" s="47">
        <v>36.291353293413174</v>
      </c>
      <c r="BI12" s="47">
        <v>2.0709</v>
      </c>
      <c r="BJ12" s="390">
        <v>1.6912657427944362E-2</v>
      </c>
      <c r="BK12" s="47" t="s">
        <v>1126</v>
      </c>
      <c r="BL12" s="47" t="s">
        <v>1135</v>
      </c>
    </row>
    <row r="13" spans="1:64" s="57" customFormat="1" ht="20.25" customHeight="1" x14ac:dyDescent="0.3">
      <c r="A13" s="56" t="s">
        <v>151</v>
      </c>
      <c r="B13" s="57" t="s">
        <v>81</v>
      </c>
      <c r="C13" s="57" t="s">
        <v>152</v>
      </c>
      <c r="D13" s="57" t="s">
        <v>1240</v>
      </c>
      <c r="E13" s="57" t="s">
        <v>153</v>
      </c>
      <c r="F13" s="57" t="s">
        <v>5</v>
      </c>
      <c r="G13" s="57" t="s">
        <v>154</v>
      </c>
      <c r="H13" s="57" t="s">
        <v>155</v>
      </c>
      <c r="I13" s="57" t="s">
        <v>83</v>
      </c>
      <c r="J13" s="57" t="s">
        <v>84</v>
      </c>
      <c r="L13" s="58">
        <v>44722</v>
      </c>
      <c r="M13" s="59">
        <v>44746</v>
      </c>
      <c r="N13" s="57">
        <v>8.3800000000000008</v>
      </c>
      <c r="O13" s="57">
        <v>0.08</v>
      </c>
      <c r="S13" s="367"/>
      <c r="T13" s="367"/>
      <c r="U13" s="356">
        <f>10.92*O13</f>
        <v>0.87360000000000004</v>
      </c>
      <c r="V13" s="355"/>
      <c r="W13" s="355"/>
      <c r="X13" s="60">
        <v>26</v>
      </c>
      <c r="Y13" s="60">
        <v>28</v>
      </c>
      <c r="Z13" s="61">
        <v>46</v>
      </c>
      <c r="AA13" s="239" t="s">
        <v>883</v>
      </c>
      <c r="AB13" s="239" t="s">
        <v>888</v>
      </c>
      <c r="AC13" s="63">
        <v>1.401</v>
      </c>
      <c r="AD13" s="64"/>
      <c r="AE13" s="65">
        <v>62.3</v>
      </c>
      <c r="AF13" s="65">
        <v>407.09</v>
      </c>
      <c r="AG13" s="434">
        <v>49</v>
      </c>
      <c r="AH13" s="65">
        <v>36.353099999999998</v>
      </c>
      <c r="AI13" s="434">
        <v>2915</v>
      </c>
      <c r="AJ13" s="65">
        <v>2083.3505</v>
      </c>
      <c r="AK13" s="434">
        <v>643</v>
      </c>
      <c r="AL13" s="65">
        <v>387.72899999999998</v>
      </c>
      <c r="AM13" s="241">
        <v>1.0342203763026485</v>
      </c>
      <c r="AN13" s="241" t="s">
        <v>1000</v>
      </c>
      <c r="AO13" s="65">
        <v>0.78</v>
      </c>
      <c r="AP13" s="65">
        <v>7.67</v>
      </c>
      <c r="AQ13" s="65">
        <v>2.95</v>
      </c>
      <c r="AR13" s="65">
        <v>0.47</v>
      </c>
      <c r="AS13" s="65"/>
      <c r="AT13" s="65"/>
      <c r="AU13" s="65"/>
      <c r="AV13" s="65">
        <v>0.9</v>
      </c>
      <c r="AW13" s="434">
        <v>8.343763037129745E-2</v>
      </c>
      <c r="AX13" s="65"/>
      <c r="AY13" s="66"/>
      <c r="AZ13" s="57">
        <v>0.86415524296675184</v>
      </c>
      <c r="BA13" s="57">
        <v>0.15805695652173912</v>
      </c>
      <c r="BB13" s="57">
        <v>10.410714285714286</v>
      </c>
      <c r="BC13" s="57">
        <v>3.1911851851851849</v>
      </c>
      <c r="BD13" s="57">
        <v>6.0607843638566701E-2</v>
      </c>
      <c r="BE13" s="57" t="s">
        <v>1125</v>
      </c>
      <c r="BF13" s="57">
        <v>0.86425935805626586</v>
      </c>
      <c r="BG13" s="57">
        <v>0.15772074815137016</v>
      </c>
      <c r="BH13" s="57">
        <v>10.395960578842315</v>
      </c>
      <c r="BI13" s="57">
        <v>2.2762199999999999</v>
      </c>
      <c r="BJ13" s="391">
        <v>1.1517372388039484E-2</v>
      </c>
      <c r="BK13" s="57" t="s">
        <v>1126</v>
      </c>
      <c r="BL13" s="57" t="s">
        <v>1135</v>
      </c>
    </row>
    <row r="14" spans="1:64" s="61" customFormat="1" ht="20.25" customHeight="1" x14ac:dyDescent="0.3">
      <c r="A14" s="56" t="s">
        <v>156</v>
      </c>
      <c r="B14" s="61" t="s">
        <v>81</v>
      </c>
      <c r="C14" s="61" t="s">
        <v>157</v>
      </c>
      <c r="D14" s="61" t="s">
        <v>1240</v>
      </c>
      <c r="E14" s="61" t="s">
        <v>153</v>
      </c>
      <c r="F14" s="61" t="s">
        <v>5</v>
      </c>
      <c r="G14" s="61" t="s">
        <v>1243</v>
      </c>
      <c r="H14" s="61" t="s">
        <v>155</v>
      </c>
      <c r="I14" s="61" t="s">
        <v>83</v>
      </c>
      <c r="J14" s="61" t="s">
        <v>84</v>
      </c>
      <c r="L14" s="67">
        <v>44722</v>
      </c>
      <c r="M14" s="68">
        <v>44746</v>
      </c>
      <c r="N14" s="61">
        <v>8.36</v>
      </c>
      <c r="O14" s="61">
        <v>0.11</v>
      </c>
      <c r="U14" s="356">
        <f t="shared" ref="U14:U15" si="2">O14*12.86</f>
        <v>1.4145999999999999</v>
      </c>
      <c r="V14" s="356"/>
      <c r="W14" s="356"/>
      <c r="X14" s="62">
        <v>22</v>
      </c>
      <c r="Y14" s="62">
        <v>22</v>
      </c>
      <c r="Z14" s="61">
        <v>56</v>
      </c>
      <c r="AA14" s="239" t="s">
        <v>885</v>
      </c>
      <c r="AB14" s="239" t="s">
        <v>880</v>
      </c>
      <c r="AC14" s="69">
        <v>1.6910000000000001</v>
      </c>
      <c r="AD14" s="70"/>
      <c r="AE14" s="71">
        <v>71.67</v>
      </c>
      <c r="AF14" s="71">
        <v>375.3</v>
      </c>
      <c r="AG14" s="435">
        <v>62</v>
      </c>
      <c r="AH14" s="71">
        <v>45.997799999999998</v>
      </c>
      <c r="AI14" s="435">
        <v>2826</v>
      </c>
      <c r="AJ14" s="71">
        <v>2019.7421999999999</v>
      </c>
      <c r="AK14" s="435">
        <v>611</v>
      </c>
      <c r="AL14" s="71">
        <v>368.43299999999999</v>
      </c>
      <c r="AM14" s="251">
        <v>1.3311253871674427</v>
      </c>
      <c r="AN14" s="251" t="s">
        <v>1000</v>
      </c>
      <c r="AO14" s="71">
        <v>0.71</v>
      </c>
      <c r="AP14" s="71">
        <v>6.9</v>
      </c>
      <c r="AQ14" s="71">
        <v>2.58</v>
      </c>
      <c r="AR14" s="71">
        <v>0.36</v>
      </c>
      <c r="AS14" s="71"/>
      <c r="AT14" s="71"/>
      <c r="AU14" s="71"/>
      <c r="AV14" s="71">
        <v>0.88</v>
      </c>
      <c r="AW14" s="435">
        <v>5.01043841336117E-2</v>
      </c>
      <c r="AX14" s="71"/>
      <c r="AY14" s="72"/>
      <c r="AZ14" s="61">
        <v>0.79667263427109958</v>
      </c>
      <c r="BA14" s="61">
        <v>0.19999043478260869</v>
      </c>
      <c r="BB14" s="61">
        <v>10.092857142857143</v>
      </c>
      <c r="BC14" s="61">
        <v>3.0323703703703702</v>
      </c>
      <c r="BD14" s="61">
        <v>7.8067595335109943E-2</v>
      </c>
      <c r="BE14" s="61" t="s">
        <v>1125</v>
      </c>
      <c r="BF14" s="61">
        <v>0.79676861892583117</v>
      </c>
      <c r="BG14" s="61">
        <v>0.19956502827316225</v>
      </c>
      <c r="BH14" s="61">
        <v>10.078553892215568</v>
      </c>
      <c r="BI14" s="61">
        <v>2.1629400000000003</v>
      </c>
      <c r="BJ14" s="392">
        <v>1.5075360944155942E-2</v>
      </c>
      <c r="BK14" s="61" t="s">
        <v>1126</v>
      </c>
      <c r="BL14" s="61" t="s">
        <v>1135</v>
      </c>
    </row>
    <row r="15" spans="1:64" s="61" customFormat="1" ht="20.25" customHeight="1" x14ac:dyDescent="0.3">
      <c r="A15" s="56" t="s">
        <v>158</v>
      </c>
      <c r="B15" s="61" t="s">
        <v>81</v>
      </c>
      <c r="C15" s="61" t="s">
        <v>159</v>
      </c>
      <c r="D15" s="61" t="s">
        <v>1240</v>
      </c>
      <c r="E15" s="61" t="s">
        <v>153</v>
      </c>
      <c r="F15" s="61" t="s">
        <v>5</v>
      </c>
      <c r="G15" s="61" t="s">
        <v>160</v>
      </c>
      <c r="H15" s="61" t="s">
        <v>161</v>
      </c>
      <c r="I15" s="61" t="s">
        <v>83</v>
      </c>
      <c r="J15" s="61" t="s">
        <v>84</v>
      </c>
      <c r="L15" s="67">
        <v>44722</v>
      </c>
      <c r="M15" s="68">
        <v>44746</v>
      </c>
      <c r="N15" s="61">
        <v>8.48</v>
      </c>
      <c r="O15" s="61">
        <v>0.1</v>
      </c>
      <c r="U15" s="356">
        <f t="shared" si="2"/>
        <v>1.286</v>
      </c>
      <c r="V15" s="356"/>
      <c r="W15" s="356"/>
      <c r="X15" s="62">
        <v>22</v>
      </c>
      <c r="Y15" s="62">
        <v>26</v>
      </c>
      <c r="Z15" s="61">
        <v>52</v>
      </c>
      <c r="AA15" s="239" t="s">
        <v>885</v>
      </c>
      <c r="AB15" s="239" t="s">
        <v>880</v>
      </c>
      <c r="AC15" s="69">
        <v>1.385</v>
      </c>
      <c r="AD15" s="70"/>
      <c r="AE15" s="71">
        <v>68.22</v>
      </c>
      <c r="AF15" s="71">
        <v>442.52</v>
      </c>
      <c r="AG15" s="435">
        <v>76</v>
      </c>
      <c r="AH15" s="71">
        <v>56.384399999999999</v>
      </c>
      <c r="AI15" s="435">
        <v>3615</v>
      </c>
      <c r="AJ15" s="71">
        <v>2583.6405</v>
      </c>
      <c r="AK15" s="435">
        <v>597</v>
      </c>
      <c r="AL15" s="71">
        <v>359.99099999999999</v>
      </c>
      <c r="AM15" s="251">
        <v>1.4697120006792319</v>
      </c>
      <c r="AN15" s="251" t="s">
        <v>1000</v>
      </c>
      <c r="AO15" s="71">
        <v>0.48</v>
      </c>
      <c r="AP15" s="71">
        <v>5.28</v>
      </c>
      <c r="AQ15" s="71">
        <v>1.93</v>
      </c>
      <c r="AR15" s="71">
        <v>0.36</v>
      </c>
      <c r="AS15" s="71"/>
      <c r="AT15" s="71"/>
      <c r="AU15" s="71"/>
      <c r="AV15" s="71">
        <v>0.76</v>
      </c>
      <c r="AW15" s="435">
        <v>0.18394648829431443</v>
      </c>
      <c r="AX15" s="71"/>
      <c r="AY15" s="72"/>
      <c r="AZ15" s="61">
        <v>0.93936470588235277</v>
      </c>
      <c r="BA15" s="61">
        <v>0.24514956521739131</v>
      </c>
      <c r="BB15" s="61">
        <v>12.910714285714286</v>
      </c>
      <c r="BC15" s="61">
        <v>2.9628888888888887</v>
      </c>
      <c r="BD15" s="61">
        <v>8.7017853381699262E-2</v>
      </c>
      <c r="BE15" s="61" t="s">
        <v>1125</v>
      </c>
      <c r="BF15" s="61">
        <v>0.93947788235294116</v>
      </c>
      <c r="BG15" s="61">
        <v>0.24462809917355371</v>
      </c>
      <c r="BH15" s="61">
        <v>12.892417664670658</v>
      </c>
      <c r="BI15" s="61">
        <v>2.1133800000000003</v>
      </c>
      <c r="BJ15" s="392">
        <v>1.5109916928444132E-2</v>
      </c>
      <c r="BK15" s="61" t="s">
        <v>1126</v>
      </c>
      <c r="BL15" s="61" t="s">
        <v>1135</v>
      </c>
    </row>
    <row r="16" spans="1:64" s="61" customFormat="1" ht="20.25" customHeight="1" thickBot="1" x14ac:dyDescent="0.35">
      <c r="A16" s="56" t="s">
        <v>162</v>
      </c>
      <c r="B16" s="61" t="s">
        <v>81</v>
      </c>
      <c r="C16" s="61" t="s">
        <v>163</v>
      </c>
      <c r="D16" s="61" t="s">
        <v>1240</v>
      </c>
      <c r="E16" s="61" t="s">
        <v>153</v>
      </c>
      <c r="F16" s="61" t="s">
        <v>5</v>
      </c>
      <c r="G16" s="61" t="s">
        <v>164</v>
      </c>
      <c r="H16" s="73" t="s">
        <v>675</v>
      </c>
      <c r="I16" s="61" t="s">
        <v>83</v>
      </c>
      <c r="J16" s="61" t="s">
        <v>84</v>
      </c>
      <c r="L16" s="67">
        <v>44722</v>
      </c>
      <c r="M16" s="68">
        <v>44746</v>
      </c>
      <c r="N16" s="61">
        <v>8.25</v>
      </c>
      <c r="O16" s="61">
        <v>0.08</v>
      </c>
      <c r="U16" s="356">
        <f>O16*12.43</f>
        <v>0.99439999999999995</v>
      </c>
      <c r="V16" s="356"/>
      <c r="W16" s="356"/>
      <c r="X16" s="62">
        <v>16</v>
      </c>
      <c r="Y16" s="62">
        <v>18</v>
      </c>
      <c r="Z16" s="61">
        <v>66</v>
      </c>
      <c r="AA16" s="239" t="s">
        <v>886</v>
      </c>
      <c r="AB16" s="239" t="s">
        <v>881</v>
      </c>
      <c r="AC16" s="69">
        <v>1.329</v>
      </c>
      <c r="AE16" s="71">
        <v>44.66</v>
      </c>
      <c r="AF16" s="71">
        <v>323.76</v>
      </c>
      <c r="AG16" s="435">
        <v>42</v>
      </c>
      <c r="AH16" s="71">
        <v>31.159800000000001</v>
      </c>
      <c r="AI16" s="435">
        <v>2064</v>
      </c>
      <c r="AJ16" s="71">
        <v>1475.1407999999999</v>
      </c>
      <c r="AK16" s="435">
        <v>462</v>
      </c>
      <c r="AL16" s="71">
        <v>278.58600000000001</v>
      </c>
      <c r="AM16" s="251">
        <v>1.0522736367902061</v>
      </c>
      <c r="AN16" s="251" t="s">
        <v>1000</v>
      </c>
      <c r="AO16" s="71">
        <v>0.68</v>
      </c>
      <c r="AP16" s="71">
        <v>7</v>
      </c>
      <c r="AQ16" s="71">
        <v>2.02</v>
      </c>
      <c r="AR16" s="71">
        <v>0.28999999999999998</v>
      </c>
      <c r="AS16" s="71"/>
      <c r="AT16" s="71"/>
      <c r="AU16" s="71"/>
      <c r="AV16" s="71">
        <v>0.97</v>
      </c>
      <c r="AW16" s="435">
        <v>0</v>
      </c>
      <c r="AX16" s="71"/>
      <c r="AY16" s="72"/>
      <c r="AZ16" s="61">
        <v>0.68726547314578001</v>
      </c>
      <c r="BA16" s="61">
        <v>0.13547739130434783</v>
      </c>
      <c r="BB16" s="61">
        <v>7.371428571428571</v>
      </c>
      <c r="BC16" s="61">
        <v>2.2928888888888892</v>
      </c>
      <c r="BD16" s="61">
        <v>6.1630576406068935E-2</v>
      </c>
      <c r="BE16" s="61" t="s">
        <v>1125</v>
      </c>
      <c r="BF16" s="61">
        <v>0.68734827621483374</v>
      </c>
      <c r="BG16" s="61">
        <v>0.1351892127011744</v>
      </c>
      <c r="BH16" s="61">
        <v>7.360982035928143</v>
      </c>
      <c r="BI16" s="61">
        <v>1.63548</v>
      </c>
      <c r="BJ16" s="392">
        <v>1.376812498657496E-2</v>
      </c>
      <c r="BK16" s="61" t="s">
        <v>1126</v>
      </c>
      <c r="BL16" s="61" t="s">
        <v>1135</v>
      </c>
    </row>
    <row r="17" spans="1:64" s="61" customFormat="1" ht="20.25" customHeight="1" x14ac:dyDescent="0.3">
      <c r="A17" s="56" t="s">
        <v>395</v>
      </c>
      <c r="B17" s="61" t="s">
        <v>81</v>
      </c>
      <c r="C17" s="61" t="s">
        <v>396</v>
      </c>
      <c r="D17" s="61" t="s">
        <v>1240</v>
      </c>
      <c r="E17" s="61" t="s">
        <v>50</v>
      </c>
      <c r="G17" s="61" t="s">
        <v>397</v>
      </c>
      <c r="H17" s="61" t="s">
        <v>398</v>
      </c>
      <c r="I17" s="61" t="s">
        <v>89</v>
      </c>
      <c r="J17" s="61" t="s">
        <v>84</v>
      </c>
      <c r="L17" s="67">
        <v>44722</v>
      </c>
      <c r="M17" s="68">
        <v>44746</v>
      </c>
      <c r="N17" s="61">
        <v>7.84</v>
      </c>
      <c r="O17" s="61">
        <v>46.27</v>
      </c>
      <c r="S17" s="367"/>
      <c r="T17" s="367"/>
      <c r="U17" s="354">
        <f>O17*9.63</f>
        <v>445.58010000000007</v>
      </c>
      <c r="V17" s="355"/>
      <c r="W17" s="355"/>
      <c r="X17" s="62">
        <v>28</v>
      </c>
      <c r="Y17" s="62">
        <v>50</v>
      </c>
      <c r="Z17" s="61">
        <v>22</v>
      </c>
      <c r="AA17" s="239" t="s">
        <v>882</v>
      </c>
      <c r="AB17" s="239" t="s">
        <v>878</v>
      </c>
      <c r="AC17" s="69">
        <v>3.742</v>
      </c>
      <c r="AE17" s="71">
        <v>54.96</v>
      </c>
      <c r="AF17" s="71">
        <v>804.47</v>
      </c>
      <c r="AG17" s="434">
        <v>110464</v>
      </c>
      <c r="AH17" s="65">
        <v>81953.241599999994</v>
      </c>
      <c r="AI17" s="434">
        <v>19615</v>
      </c>
      <c r="AJ17" s="65">
        <v>14018.8405</v>
      </c>
      <c r="AK17" s="434">
        <v>9460</v>
      </c>
      <c r="AL17" s="65">
        <v>5704.38</v>
      </c>
      <c r="AM17" s="241">
        <v>825.26270537625055</v>
      </c>
      <c r="AN17" s="241" t="s">
        <v>997</v>
      </c>
      <c r="AO17" s="65">
        <v>1.41</v>
      </c>
      <c r="AP17" s="65">
        <v>37.4</v>
      </c>
      <c r="AQ17" s="65">
        <v>4.78</v>
      </c>
      <c r="AR17" s="65">
        <v>1.35</v>
      </c>
      <c r="AS17" s="65"/>
      <c r="AT17" s="65"/>
      <c r="AU17" s="65"/>
      <c r="AV17" s="65">
        <v>1.86</v>
      </c>
      <c r="AW17" s="434">
        <v>4.5163088932255366</v>
      </c>
      <c r="AX17" s="65"/>
      <c r="AY17" s="72"/>
      <c r="AZ17" s="61">
        <v>1.7076984654731457</v>
      </c>
      <c r="BA17" s="61">
        <v>356.31844173913044</v>
      </c>
      <c r="BB17" s="61">
        <v>70.053571428571431</v>
      </c>
      <c r="BC17" s="61">
        <v>46.949629629629626</v>
      </c>
      <c r="BD17" s="61">
        <v>46.585893169869188</v>
      </c>
      <c r="BE17" s="61" t="s">
        <v>1131</v>
      </c>
      <c r="BF17" s="61">
        <v>1.7079042122762147</v>
      </c>
      <c r="BG17" s="61">
        <v>355.56050456720311</v>
      </c>
      <c r="BH17" s="61">
        <v>69.954293912175643</v>
      </c>
      <c r="BI17" s="61">
        <v>33.488399999999999</v>
      </c>
      <c r="BJ17" s="392">
        <v>0.77176456675317606</v>
      </c>
      <c r="BK17" s="61" t="s">
        <v>1132</v>
      </c>
      <c r="BL17" s="61" t="s">
        <v>1136</v>
      </c>
    </row>
    <row r="18" spans="1:64" s="75" customFormat="1" ht="20.25" customHeight="1" thickBot="1" x14ac:dyDescent="0.35">
      <c r="A18" s="74" t="s">
        <v>399</v>
      </c>
      <c r="B18" s="75" t="s">
        <v>81</v>
      </c>
      <c r="C18" s="75" t="s">
        <v>400</v>
      </c>
      <c r="D18" s="75" t="s">
        <v>1240</v>
      </c>
      <c r="E18" s="75" t="s">
        <v>50</v>
      </c>
      <c r="G18" s="75" t="s">
        <v>401</v>
      </c>
      <c r="H18" s="75" t="s">
        <v>402</v>
      </c>
      <c r="I18" s="75" t="s">
        <v>89</v>
      </c>
      <c r="J18" s="75" t="s">
        <v>84</v>
      </c>
      <c r="L18" s="76">
        <v>44722</v>
      </c>
      <c r="M18" s="77">
        <v>44746</v>
      </c>
      <c r="N18" s="75">
        <v>8.0399999999999991</v>
      </c>
      <c r="O18" s="75">
        <v>43.63</v>
      </c>
      <c r="S18" s="368"/>
      <c r="T18" s="368"/>
      <c r="U18" s="356">
        <f>O18*5.4</f>
        <v>235.60200000000003</v>
      </c>
      <c r="V18" s="359"/>
      <c r="W18" s="359"/>
      <c r="X18" s="78">
        <v>22</v>
      </c>
      <c r="Y18" s="78">
        <v>62</v>
      </c>
      <c r="Z18" s="61">
        <v>16</v>
      </c>
      <c r="AA18" s="239" t="s">
        <v>884</v>
      </c>
      <c r="AB18" s="239" t="s">
        <v>879</v>
      </c>
      <c r="AC18" s="79">
        <v>3.5640000000000001</v>
      </c>
      <c r="AE18" s="80">
        <v>64.39</v>
      </c>
      <c r="AF18" s="80">
        <v>985.88</v>
      </c>
      <c r="AG18" s="435">
        <v>111341</v>
      </c>
      <c r="AH18" s="71">
        <v>82603.887900000002</v>
      </c>
      <c r="AI18" s="435">
        <v>12400</v>
      </c>
      <c r="AJ18" s="71">
        <v>8862.2800000000007</v>
      </c>
      <c r="AK18" s="435">
        <v>6092</v>
      </c>
      <c r="AL18" s="71">
        <v>3673.4759999999997</v>
      </c>
      <c r="AM18" s="251">
        <v>1043.3745070747082</v>
      </c>
      <c r="AN18" s="251" t="s">
        <v>997</v>
      </c>
      <c r="AO18" s="71">
        <v>1.48</v>
      </c>
      <c r="AP18" s="71">
        <v>22.21</v>
      </c>
      <c r="AQ18" s="71">
        <v>4.59</v>
      </c>
      <c r="AR18" s="71">
        <v>1.51</v>
      </c>
      <c r="AS18" s="71"/>
      <c r="AT18" s="71"/>
      <c r="AU18" s="71"/>
      <c r="AV18" s="71">
        <v>3.38</v>
      </c>
      <c r="AW18" s="435">
        <v>0.20137043770102087</v>
      </c>
      <c r="AX18" s="71"/>
      <c r="AY18" s="81"/>
      <c r="AZ18" s="75">
        <v>2.0927887468030688</v>
      </c>
      <c r="BA18" s="75">
        <v>359.14733869565219</v>
      </c>
      <c r="BB18" s="75">
        <v>44.285714285714285</v>
      </c>
      <c r="BC18" s="75">
        <v>30.234370370370364</v>
      </c>
      <c r="BD18" s="75">
        <v>58.83706231903308</v>
      </c>
      <c r="BE18" s="75" t="s">
        <v>1131</v>
      </c>
      <c r="BF18" s="75">
        <v>2.0930408900255753</v>
      </c>
      <c r="BG18" s="75">
        <v>358.38338408003477</v>
      </c>
      <c r="BH18" s="75">
        <v>44.222954091816369</v>
      </c>
      <c r="BI18" s="75">
        <v>21.56568</v>
      </c>
      <c r="BJ18" s="393">
        <v>0.84075242964732844</v>
      </c>
      <c r="BK18" s="75" t="s">
        <v>1132</v>
      </c>
      <c r="BL18" s="75" t="s">
        <v>1136</v>
      </c>
    </row>
    <row r="19" spans="1:64" s="83" customFormat="1" ht="20.25" customHeight="1" thickBot="1" x14ac:dyDescent="0.35">
      <c r="A19" s="82" t="s">
        <v>165</v>
      </c>
      <c r="B19" s="83" t="s">
        <v>81</v>
      </c>
      <c r="C19" s="83" t="s">
        <v>166</v>
      </c>
      <c r="D19" s="83" t="s">
        <v>1240</v>
      </c>
      <c r="E19" s="83" t="s">
        <v>167</v>
      </c>
      <c r="F19" s="83" t="s">
        <v>168</v>
      </c>
      <c r="G19" s="83" t="s">
        <v>169</v>
      </c>
      <c r="H19" s="83" t="s">
        <v>170</v>
      </c>
      <c r="I19" s="83" t="s">
        <v>83</v>
      </c>
      <c r="J19" s="83" t="s">
        <v>84</v>
      </c>
      <c r="L19" s="84">
        <v>44725</v>
      </c>
      <c r="M19" s="85">
        <v>44746</v>
      </c>
      <c r="N19" s="83">
        <v>8.39</v>
      </c>
      <c r="O19" s="83">
        <v>0.14000000000000001</v>
      </c>
      <c r="S19" s="369"/>
      <c r="T19" s="369"/>
      <c r="U19" s="356">
        <f t="shared" ref="U19:U38" si="3">O19*12.43</f>
        <v>1.7402000000000002</v>
      </c>
      <c r="V19" s="355"/>
      <c r="W19" s="355"/>
      <c r="X19" s="86">
        <v>28</v>
      </c>
      <c r="Y19" s="86">
        <v>18</v>
      </c>
      <c r="Z19" s="87">
        <v>54</v>
      </c>
      <c r="AA19" s="247" t="s">
        <v>885</v>
      </c>
      <c r="AB19" s="239" t="s">
        <v>880</v>
      </c>
      <c r="AC19" s="89">
        <v>2.0950000000000002</v>
      </c>
      <c r="AE19" s="90">
        <v>80.599999999999994</v>
      </c>
      <c r="AF19" s="90">
        <v>381.34</v>
      </c>
      <c r="AG19" s="434">
        <v>186</v>
      </c>
      <c r="AH19" s="30">
        <v>137.99340000000001</v>
      </c>
      <c r="AI19" s="434">
        <v>3923</v>
      </c>
      <c r="AJ19" s="30">
        <v>2803.7681000000002</v>
      </c>
      <c r="AK19" s="434">
        <v>943</v>
      </c>
      <c r="AL19" s="30">
        <v>568.62900000000002</v>
      </c>
      <c r="AM19" s="238">
        <v>3.3605004627926904</v>
      </c>
      <c r="AN19" s="238" t="s">
        <v>1000</v>
      </c>
      <c r="AO19" s="83">
        <v>0.76</v>
      </c>
      <c r="AP19" s="83">
        <v>10.6</v>
      </c>
      <c r="AQ19" s="83">
        <v>3.07</v>
      </c>
      <c r="AR19" s="83">
        <v>0.82</v>
      </c>
      <c r="AV19" s="89">
        <v>1.71</v>
      </c>
      <c r="AW19" s="447">
        <v>0.2004175365344468</v>
      </c>
      <c r="AX19" s="91"/>
      <c r="AY19" s="92"/>
      <c r="AZ19" s="83">
        <v>0.8094941176470587</v>
      </c>
      <c r="BA19" s="83">
        <v>0.59997130434782608</v>
      </c>
      <c r="BB19" s="83">
        <v>14.010714285714286</v>
      </c>
      <c r="BC19" s="83">
        <v>4.6800740740740743</v>
      </c>
      <c r="BD19" s="83">
        <v>0.19625994245287587</v>
      </c>
      <c r="BE19" s="83" t="s">
        <v>1125</v>
      </c>
      <c r="BF19" s="83">
        <v>0.80959164705882347</v>
      </c>
      <c r="BG19" s="83">
        <v>0.59869508481948663</v>
      </c>
      <c r="BH19" s="83">
        <v>13.990858782435131</v>
      </c>
      <c r="BI19" s="83">
        <v>3.3382200000000002</v>
      </c>
      <c r="BJ19" s="394">
        <v>3.1951934991188834E-2</v>
      </c>
      <c r="BK19" s="83" t="s">
        <v>1126</v>
      </c>
      <c r="BL19" s="83" t="s">
        <v>1135</v>
      </c>
    </row>
    <row r="20" spans="1:64" s="87" customFormat="1" ht="20.25" customHeight="1" thickBot="1" x14ac:dyDescent="0.35">
      <c r="A20" s="82" t="s">
        <v>171</v>
      </c>
      <c r="B20" s="87" t="s">
        <v>81</v>
      </c>
      <c r="C20" s="87" t="s">
        <v>172</v>
      </c>
      <c r="D20" s="87" t="s">
        <v>1240</v>
      </c>
      <c r="E20" s="87" t="s">
        <v>167</v>
      </c>
      <c r="F20" s="87" t="s">
        <v>168</v>
      </c>
      <c r="G20" s="87" t="s">
        <v>173</v>
      </c>
      <c r="H20" s="93" t="s">
        <v>676</v>
      </c>
      <c r="I20" s="87" t="s">
        <v>83</v>
      </c>
      <c r="J20" s="87" t="s">
        <v>84</v>
      </c>
      <c r="L20" s="94">
        <v>44725</v>
      </c>
      <c r="M20" s="95">
        <v>44746</v>
      </c>
      <c r="N20" s="87">
        <v>8.1999999999999993</v>
      </c>
      <c r="O20" s="87">
        <v>0.17</v>
      </c>
      <c r="U20" s="356">
        <f t="shared" si="3"/>
        <v>2.1131000000000002</v>
      </c>
      <c r="V20" s="356"/>
      <c r="W20" s="356"/>
      <c r="X20" s="88">
        <v>30</v>
      </c>
      <c r="Y20" s="88">
        <v>18</v>
      </c>
      <c r="Z20" s="87">
        <v>52</v>
      </c>
      <c r="AA20" s="247" t="s">
        <v>885</v>
      </c>
      <c r="AB20" s="239" t="s">
        <v>880</v>
      </c>
      <c r="AC20" s="96">
        <v>1.6579999999999999</v>
      </c>
      <c r="AE20" s="97">
        <v>46.07</v>
      </c>
      <c r="AF20" s="97">
        <v>303.86</v>
      </c>
      <c r="AG20" s="435">
        <v>182</v>
      </c>
      <c r="AH20" s="30">
        <v>135.0258</v>
      </c>
      <c r="AI20" s="435">
        <v>3728</v>
      </c>
      <c r="AJ20" s="30">
        <v>2664.4016000000001</v>
      </c>
      <c r="AK20" s="435">
        <v>1058</v>
      </c>
      <c r="AL20" s="30">
        <v>637.97399999999993</v>
      </c>
      <c r="AM20" s="238">
        <v>3.3229095776505466</v>
      </c>
      <c r="AN20" s="238" t="s">
        <v>1000</v>
      </c>
      <c r="AO20" s="87">
        <v>0.99</v>
      </c>
      <c r="AP20" s="87">
        <v>10</v>
      </c>
      <c r="AQ20" s="87">
        <v>3.47</v>
      </c>
      <c r="AR20" s="87">
        <v>0.44</v>
      </c>
      <c r="AV20" s="96">
        <v>1.65</v>
      </c>
      <c r="AW20" s="448">
        <v>0.24993057484032208</v>
      </c>
      <c r="AX20" s="98"/>
      <c r="AY20" s="99"/>
      <c r="AZ20" s="87">
        <v>0.64502250639386183</v>
      </c>
      <c r="BA20" s="87">
        <v>0.5870686956521739</v>
      </c>
      <c r="BB20" s="87">
        <v>13.314285714285713</v>
      </c>
      <c r="BC20" s="87">
        <v>5.2508148148148139</v>
      </c>
      <c r="BD20" s="87">
        <v>0.19268826587374935</v>
      </c>
      <c r="BE20" s="87" t="s">
        <v>1125</v>
      </c>
      <c r="BF20" s="87">
        <v>0.64510021994884914</v>
      </c>
      <c r="BG20" s="87">
        <v>0.58581992170508923</v>
      </c>
      <c r="BH20" s="87">
        <v>13.295417165668663</v>
      </c>
      <c r="BI20" s="87">
        <v>3.74532</v>
      </c>
      <c r="BJ20" s="395">
        <v>3.2061674091835905E-2</v>
      </c>
      <c r="BK20" s="87" t="s">
        <v>1126</v>
      </c>
      <c r="BL20" s="87" t="s">
        <v>1135</v>
      </c>
    </row>
    <row r="21" spans="1:64" s="87" customFormat="1" ht="20.25" customHeight="1" thickBot="1" x14ac:dyDescent="0.35">
      <c r="A21" s="82" t="s">
        <v>174</v>
      </c>
      <c r="B21" s="87" t="s">
        <v>81</v>
      </c>
      <c r="C21" s="87" t="s">
        <v>175</v>
      </c>
      <c r="D21" s="87" t="s">
        <v>1240</v>
      </c>
      <c r="E21" s="87" t="s">
        <v>167</v>
      </c>
      <c r="F21" s="87" t="s">
        <v>168</v>
      </c>
      <c r="G21" s="87" t="s">
        <v>176</v>
      </c>
      <c r="H21" s="93" t="s">
        <v>677</v>
      </c>
      <c r="I21" s="87" t="s">
        <v>83</v>
      </c>
      <c r="J21" s="87" t="s">
        <v>84</v>
      </c>
      <c r="L21" s="94">
        <v>44725</v>
      </c>
      <c r="M21" s="95">
        <v>44746</v>
      </c>
      <c r="N21" s="87">
        <v>8.39</v>
      </c>
      <c r="O21" s="87">
        <v>0.12</v>
      </c>
      <c r="U21" s="356">
        <f t="shared" si="3"/>
        <v>1.4915999999999998</v>
      </c>
      <c r="V21" s="356"/>
      <c r="W21" s="356"/>
      <c r="X21" s="88">
        <v>20</v>
      </c>
      <c r="Y21" s="88">
        <v>12</v>
      </c>
      <c r="Z21" s="87">
        <v>68</v>
      </c>
      <c r="AA21" s="247" t="s">
        <v>886</v>
      </c>
      <c r="AB21" s="239" t="s">
        <v>881</v>
      </c>
      <c r="AC21" s="96">
        <v>1.786</v>
      </c>
      <c r="AE21" s="97">
        <v>44.17</v>
      </c>
      <c r="AF21" s="97">
        <v>293.56</v>
      </c>
      <c r="AG21" s="435">
        <v>107</v>
      </c>
      <c r="AH21" s="30">
        <v>79.383300000000006</v>
      </c>
      <c r="AI21" s="435">
        <v>4021</v>
      </c>
      <c r="AJ21" s="30">
        <v>2873.8087</v>
      </c>
      <c r="AK21" s="435">
        <v>840</v>
      </c>
      <c r="AL21" s="30">
        <v>506.52</v>
      </c>
      <c r="AM21" s="238">
        <v>1.9309217755659021</v>
      </c>
      <c r="AN21" s="238" t="s">
        <v>1000</v>
      </c>
      <c r="AO21" s="87">
        <v>1.32</v>
      </c>
      <c r="AP21" s="87">
        <v>10.63</v>
      </c>
      <c r="AQ21" s="87">
        <v>4.93</v>
      </c>
      <c r="AR21" s="87">
        <v>0.64</v>
      </c>
      <c r="AV21" s="96">
        <v>1.21</v>
      </c>
      <c r="AW21" s="448">
        <v>0</v>
      </c>
      <c r="AX21" s="98"/>
      <c r="AY21" s="99"/>
      <c r="AZ21" s="87">
        <v>0.62315805626598453</v>
      </c>
      <c r="BA21" s="87">
        <v>0.34514478260869569</v>
      </c>
      <c r="BB21" s="87">
        <v>14.360714285714286</v>
      </c>
      <c r="BC21" s="87">
        <v>4.1688888888888886</v>
      </c>
      <c r="BD21" s="87">
        <v>0.11339221822983336</v>
      </c>
      <c r="BE21" s="87" t="s">
        <v>1125</v>
      </c>
      <c r="BF21" s="87">
        <v>0.62323313554987203</v>
      </c>
      <c r="BG21" s="87">
        <v>0.34441061331013478</v>
      </c>
      <c r="BH21" s="87">
        <v>14.340362774451098</v>
      </c>
      <c r="BI21" s="87">
        <v>2.9736000000000002</v>
      </c>
      <c r="BJ21" s="395">
        <v>1.8839187511829034E-2</v>
      </c>
      <c r="BK21" s="87" t="s">
        <v>1126</v>
      </c>
      <c r="BL21" s="87" t="s">
        <v>1135</v>
      </c>
    </row>
    <row r="22" spans="1:64" s="87" customFormat="1" ht="20.25" customHeight="1" thickBot="1" x14ac:dyDescent="0.35">
      <c r="A22" s="82" t="s">
        <v>177</v>
      </c>
      <c r="B22" s="87" t="s">
        <v>81</v>
      </c>
      <c r="C22" s="87" t="s">
        <v>178</v>
      </c>
      <c r="D22" s="87" t="s">
        <v>1240</v>
      </c>
      <c r="E22" s="87" t="s">
        <v>167</v>
      </c>
      <c r="F22" s="87" t="s">
        <v>168</v>
      </c>
      <c r="G22" s="87" t="s">
        <v>179</v>
      </c>
      <c r="H22" s="87" t="s">
        <v>180</v>
      </c>
      <c r="I22" s="87" t="s">
        <v>83</v>
      </c>
      <c r="J22" s="87" t="s">
        <v>84</v>
      </c>
      <c r="L22" s="94">
        <v>44725</v>
      </c>
      <c r="M22" s="95">
        <v>44746</v>
      </c>
      <c r="N22" s="87">
        <v>8.4</v>
      </c>
      <c r="O22" s="87">
        <v>0.12</v>
      </c>
      <c r="U22" s="356">
        <f t="shared" si="3"/>
        <v>1.4915999999999998</v>
      </c>
      <c r="V22" s="356"/>
      <c r="W22" s="356"/>
      <c r="X22" s="88">
        <v>22</v>
      </c>
      <c r="Y22" s="88">
        <v>18</v>
      </c>
      <c r="Z22" s="87">
        <v>60</v>
      </c>
      <c r="AA22" s="247" t="s">
        <v>885</v>
      </c>
      <c r="AB22" s="239" t="s">
        <v>880</v>
      </c>
      <c r="AC22" s="96">
        <v>1.7490000000000001</v>
      </c>
      <c r="AE22" s="97">
        <v>61.62</v>
      </c>
      <c r="AF22" s="97">
        <v>294.26</v>
      </c>
      <c r="AG22" s="435">
        <v>107</v>
      </c>
      <c r="AH22" s="30">
        <v>79.383300000000006</v>
      </c>
      <c r="AI22" s="435">
        <v>4489</v>
      </c>
      <c r="AJ22" s="30">
        <v>3208.2883000000002</v>
      </c>
      <c r="AK22" s="435">
        <v>882</v>
      </c>
      <c r="AL22" s="30">
        <v>531.846</v>
      </c>
      <c r="AM22" s="238">
        <v>1.8356950975372401</v>
      </c>
      <c r="AN22" s="238" t="s">
        <v>1000</v>
      </c>
      <c r="AO22" s="87">
        <v>2.16</v>
      </c>
      <c r="AP22" s="87">
        <v>13.22</v>
      </c>
      <c r="AQ22" s="87">
        <v>5.64</v>
      </c>
      <c r="AR22" s="87">
        <v>1.07</v>
      </c>
      <c r="AV22" s="96">
        <v>2.08</v>
      </c>
      <c r="AW22" s="448">
        <v>0</v>
      </c>
      <c r="AX22" s="98"/>
      <c r="AY22" s="99"/>
      <c r="AZ22" s="87">
        <v>0.62464398976982094</v>
      </c>
      <c r="BA22" s="87">
        <v>0.34514478260869569</v>
      </c>
      <c r="BB22" s="87">
        <v>16.032142857142858</v>
      </c>
      <c r="BC22" s="87">
        <v>4.3773333333333335</v>
      </c>
      <c r="BD22" s="87">
        <v>0.10804393208168611</v>
      </c>
      <c r="BE22" s="87" t="s">
        <v>1125</v>
      </c>
      <c r="BF22" s="87">
        <v>0.62471924808184143</v>
      </c>
      <c r="BG22" s="87">
        <v>0.34441061331013478</v>
      </c>
      <c r="BH22" s="87">
        <v>16.009422654690621</v>
      </c>
      <c r="BI22" s="87">
        <v>3.1222799999999999</v>
      </c>
      <c r="BJ22" s="395">
        <v>1.7134146709325258E-2</v>
      </c>
      <c r="BK22" s="87" t="s">
        <v>1126</v>
      </c>
      <c r="BL22" s="87" t="s">
        <v>1135</v>
      </c>
    </row>
    <row r="23" spans="1:64" s="87" customFormat="1" ht="20.25" customHeight="1" thickBot="1" x14ac:dyDescent="0.35">
      <c r="A23" s="82" t="s">
        <v>181</v>
      </c>
      <c r="B23" s="87" t="s">
        <v>81</v>
      </c>
      <c r="C23" s="87" t="s">
        <v>182</v>
      </c>
      <c r="D23" s="87" t="s">
        <v>1240</v>
      </c>
      <c r="E23" s="87" t="s">
        <v>183</v>
      </c>
      <c r="F23" s="87" t="s">
        <v>184</v>
      </c>
      <c r="G23" s="87" t="s">
        <v>185</v>
      </c>
      <c r="H23" s="93" t="s">
        <v>678</v>
      </c>
      <c r="I23" s="87" t="s">
        <v>83</v>
      </c>
      <c r="J23" s="87" t="s">
        <v>84</v>
      </c>
      <c r="L23" s="94">
        <v>44725</v>
      </c>
      <c r="M23" s="95">
        <v>44746</v>
      </c>
      <c r="N23" s="87">
        <v>7.95</v>
      </c>
      <c r="O23" s="87">
        <v>3.5</v>
      </c>
      <c r="U23" s="356">
        <f t="shared" si="3"/>
        <v>43.504999999999995</v>
      </c>
      <c r="V23" s="356"/>
      <c r="W23" s="356"/>
      <c r="X23" s="88">
        <v>28</v>
      </c>
      <c r="Y23" s="88">
        <v>16</v>
      </c>
      <c r="Z23" s="87">
        <v>56</v>
      </c>
      <c r="AA23" s="247" t="s">
        <v>885</v>
      </c>
      <c r="AB23" s="239" t="s">
        <v>880</v>
      </c>
      <c r="AC23" s="96">
        <v>3.0249999999999999</v>
      </c>
      <c r="AE23" s="97">
        <v>170.78</v>
      </c>
      <c r="AF23" s="97">
        <v>645.74</v>
      </c>
      <c r="AG23" s="435">
        <v>3682</v>
      </c>
      <c r="AH23" s="30">
        <v>2731.6758</v>
      </c>
      <c r="AI23" s="435">
        <v>5567</v>
      </c>
      <c r="AJ23" s="30">
        <v>3978.7348999999999</v>
      </c>
      <c r="AK23" s="435">
        <v>1653</v>
      </c>
      <c r="AL23" s="30">
        <v>996.75900000000001</v>
      </c>
      <c r="AM23" s="238">
        <v>54.767895610922018</v>
      </c>
      <c r="AN23" s="339" t="s">
        <v>999</v>
      </c>
      <c r="AO23" s="87">
        <v>3.52</v>
      </c>
      <c r="AP23" s="87">
        <v>52.51</v>
      </c>
      <c r="AQ23" s="87">
        <v>3.75</v>
      </c>
      <c r="AR23" s="87">
        <v>1.89</v>
      </c>
      <c r="AV23" s="96">
        <v>1.32</v>
      </c>
      <c r="AW23" s="448">
        <v>0.83229296712442769</v>
      </c>
      <c r="AX23" s="98"/>
      <c r="AY23" s="99"/>
      <c r="AZ23" s="87">
        <v>1.3707524296675191</v>
      </c>
      <c r="BA23" s="87">
        <v>11.876851304347825</v>
      </c>
      <c r="BB23" s="87">
        <v>19.88214285714286</v>
      </c>
      <c r="BC23" s="87">
        <v>8.2037777777777769</v>
      </c>
      <c r="BD23" s="87">
        <v>3.1693630100201968</v>
      </c>
      <c r="BE23" s="87" t="s">
        <v>1125</v>
      </c>
      <c r="BF23" s="87">
        <v>1.3709175805626599</v>
      </c>
      <c r="BG23" s="87">
        <v>11.851587646802956</v>
      </c>
      <c r="BH23" s="87">
        <v>19.853966566866266</v>
      </c>
      <c r="BI23" s="87">
        <v>5.8516200000000005</v>
      </c>
      <c r="BJ23" s="395">
        <v>0.30444820438280645</v>
      </c>
      <c r="BK23" s="87" t="s">
        <v>1130</v>
      </c>
      <c r="BL23" s="87" t="s">
        <v>1136</v>
      </c>
    </row>
    <row r="24" spans="1:64" s="87" customFormat="1" ht="20.25" customHeight="1" thickBot="1" x14ac:dyDescent="0.35">
      <c r="A24" s="82" t="s">
        <v>186</v>
      </c>
      <c r="B24" s="87" t="s">
        <v>81</v>
      </c>
      <c r="C24" s="87" t="s">
        <v>187</v>
      </c>
      <c r="D24" s="87" t="s">
        <v>1240</v>
      </c>
      <c r="E24" s="87" t="s">
        <v>183</v>
      </c>
      <c r="F24" s="87" t="s">
        <v>184</v>
      </c>
      <c r="G24" s="87" t="s">
        <v>188</v>
      </c>
      <c r="H24" s="93" t="s">
        <v>679</v>
      </c>
      <c r="I24" s="87" t="s">
        <v>83</v>
      </c>
      <c r="J24" s="87" t="s">
        <v>84</v>
      </c>
      <c r="L24" s="94">
        <v>44725</v>
      </c>
      <c r="M24" s="95">
        <v>44746</v>
      </c>
      <c r="N24" s="87">
        <v>8.83</v>
      </c>
      <c r="O24" s="87">
        <v>0.16</v>
      </c>
      <c r="U24" s="356">
        <f t="shared" si="3"/>
        <v>1.9887999999999999</v>
      </c>
      <c r="V24" s="356"/>
      <c r="W24" s="356"/>
      <c r="X24" s="88">
        <v>28</v>
      </c>
      <c r="Y24" s="88">
        <v>14</v>
      </c>
      <c r="Z24" s="87">
        <v>58</v>
      </c>
      <c r="AA24" s="247" t="s">
        <v>885</v>
      </c>
      <c r="AB24" s="239" t="s">
        <v>880</v>
      </c>
      <c r="AC24" s="96">
        <v>2.476</v>
      </c>
      <c r="AE24" s="97">
        <v>65.930000000000007</v>
      </c>
      <c r="AF24" s="97">
        <v>286.69</v>
      </c>
      <c r="AG24" s="435">
        <v>565</v>
      </c>
      <c r="AH24" s="30">
        <v>419.17349999999999</v>
      </c>
      <c r="AI24" s="435">
        <v>2815</v>
      </c>
      <c r="AJ24" s="30">
        <v>2011.8805</v>
      </c>
      <c r="AK24" s="435">
        <v>972</v>
      </c>
      <c r="AL24" s="30">
        <v>586.11599999999999</v>
      </c>
      <c r="AM24" s="238">
        <v>11.630263004833962</v>
      </c>
      <c r="AN24" s="238" t="s">
        <v>1000</v>
      </c>
      <c r="AO24" s="87">
        <v>1.38</v>
      </c>
      <c r="AP24" s="87">
        <v>19.18</v>
      </c>
      <c r="AQ24" s="87">
        <v>6.11</v>
      </c>
      <c r="AR24" s="87">
        <v>0.75</v>
      </c>
      <c r="AV24" s="96">
        <v>1.1299999999999999</v>
      </c>
      <c r="AW24" s="448">
        <v>8.3670338864872379E-2</v>
      </c>
      <c r="AX24" s="98"/>
      <c r="AY24" s="99"/>
      <c r="AZ24" s="87">
        <v>0.60857468030690531</v>
      </c>
      <c r="BA24" s="87">
        <v>1.8224934782608695</v>
      </c>
      <c r="BB24" s="87">
        <v>10.053571428571429</v>
      </c>
      <c r="BC24" s="87">
        <v>4.8239999999999998</v>
      </c>
      <c r="BD24" s="87">
        <v>0.66821305873109627</v>
      </c>
      <c r="BE24" s="87" t="s">
        <v>1125</v>
      </c>
      <c r="BF24" s="87">
        <v>0.6086480025575447</v>
      </c>
      <c r="BG24" s="87">
        <v>1.8186167899086561</v>
      </c>
      <c r="BH24" s="87">
        <v>10.039323852295409</v>
      </c>
      <c r="BI24" s="87">
        <v>3.4408800000000004</v>
      </c>
      <c r="BJ24" s="395">
        <v>0.11432471315965997</v>
      </c>
      <c r="BK24" s="87" t="s">
        <v>1126</v>
      </c>
      <c r="BL24" s="87" t="s">
        <v>1135</v>
      </c>
    </row>
    <row r="25" spans="1:64" s="87" customFormat="1" ht="20.25" customHeight="1" thickBot="1" x14ac:dyDescent="0.35">
      <c r="A25" s="82" t="s">
        <v>189</v>
      </c>
      <c r="B25" s="87" t="s">
        <v>81</v>
      </c>
      <c r="C25" s="87" t="s">
        <v>190</v>
      </c>
      <c r="D25" s="87" t="s">
        <v>1240</v>
      </c>
      <c r="E25" s="87" t="s">
        <v>183</v>
      </c>
      <c r="F25" s="87" t="s">
        <v>184</v>
      </c>
      <c r="G25" s="87" t="s">
        <v>191</v>
      </c>
      <c r="H25" s="93" t="s">
        <v>680</v>
      </c>
      <c r="I25" s="87" t="s">
        <v>83</v>
      </c>
      <c r="J25" s="87" t="s">
        <v>84</v>
      </c>
      <c r="L25" s="94">
        <v>44725</v>
      </c>
      <c r="M25" s="95">
        <v>44746</v>
      </c>
      <c r="N25" s="87">
        <v>8.5299999999999994</v>
      </c>
      <c r="O25" s="87">
        <v>0.8</v>
      </c>
      <c r="U25" s="356">
        <f t="shared" si="3"/>
        <v>9.9440000000000008</v>
      </c>
      <c r="V25" s="356"/>
      <c r="W25" s="356"/>
      <c r="X25" s="88">
        <v>26</v>
      </c>
      <c r="Y25" s="88">
        <v>12</v>
      </c>
      <c r="Z25" s="87">
        <v>62</v>
      </c>
      <c r="AA25" s="247" t="s">
        <v>885</v>
      </c>
      <c r="AB25" s="239" t="s">
        <v>880</v>
      </c>
      <c r="AC25" s="96">
        <v>3.4289999999999998</v>
      </c>
      <c r="AE25" s="97">
        <v>44.17</v>
      </c>
      <c r="AF25" s="97">
        <v>305.08</v>
      </c>
      <c r="AG25" s="435">
        <v>1158</v>
      </c>
      <c r="AH25" s="30">
        <v>859.12019999999995</v>
      </c>
      <c r="AI25" s="435">
        <v>3811</v>
      </c>
      <c r="AJ25" s="30">
        <v>2723.7217000000001</v>
      </c>
      <c r="AK25" s="435">
        <v>1016</v>
      </c>
      <c r="AL25" s="30">
        <v>612.64800000000002</v>
      </c>
      <c r="AM25" s="238">
        <v>21.034483097374885</v>
      </c>
      <c r="AN25" s="339" t="s">
        <v>999</v>
      </c>
      <c r="AO25" s="87">
        <v>3.89</v>
      </c>
      <c r="AP25" s="87">
        <v>12.07</v>
      </c>
      <c r="AQ25" s="87">
        <v>4.5199999999999996</v>
      </c>
      <c r="AR25" s="87">
        <v>1.43</v>
      </c>
      <c r="AV25" s="96">
        <v>1.24</v>
      </c>
      <c r="AW25" s="448">
        <v>0.43551088777219427</v>
      </c>
      <c r="AX25" s="98"/>
      <c r="AY25" s="99"/>
      <c r="AZ25" s="87">
        <v>0.64761227621483364</v>
      </c>
      <c r="BA25" s="87">
        <v>3.7353052173913044</v>
      </c>
      <c r="BB25" s="87">
        <v>13.610714285714286</v>
      </c>
      <c r="BC25" s="87">
        <v>5.0423703703703699</v>
      </c>
      <c r="BD25" s="87">
        <v>1.2231106892444188</v>
      </c>
      <c r="BE25" s="87" t="s">
        <v>1125</v>
      </c>
      <c r="BF25" s="87">
        <v>0.6476903017902812</v>
      </c>
      <c r="BG25" s="87">
        <v>3.7273597216180945</v>
      </c>
      <c r="BH25" s="87">
        <v>13.591425648702595</v>
      </c>
      <c r="BI25" s="87">
        <v>3.5966400000000003</v>
      </c>
      <c r="BJ25" s="395">
        <v>0.17285812395093442</v>
      </c>
      <c r="BK25" s="87" t="s">
        <v>1127</v>
      </c>
      <c r="BL25" s="87" t="s">
        <v>1136</v>
      </c>
    </row>
    <row r="26" spans="1:64" s="87" customFormat="1" ht="20.25" customHeight="1" thickBot="1" x14ac:dyDescent="0.35">
      <c r="A26" s="82" t="s">
        <v>192</v>
      </c>
      <c r="B26" s="87" t="s">
        <v>81</v>
      </c>
      <c r="C26" s="87" t="s">
        <v>193</v>
      </c>
      <c r="D26" s="87" t="s">
        <v>1240</v>
      </c>
      <c r="E26" s="87" t="s">
        <v>183</v>
      </c>
      <c r="F26" s="87" t="s">
        <v>184</v>
      </c>
      <c r="G26" s="87" t="s">
        <v>194</v>
      </c>
      <c r="H26" s="93" t="s">
        <v>680</v>
      </c>
      <c r="I26" s="87" t="s">
        <v>83</v>
      </c>
      <c r="J26" s="87" t="s">
        <v>84</v>
      </c>
      <c r="L26" s="94">
        <v>44725</v>
      </c>
      <c r="M26" s="95">
        <v>44746</v>
      </c>
      <c r="N26" s="87">
        <v>8.48</v>
      </c>
      <c r="O26" s="87">
        <v>1.3</v>
      </c>
      <c r="U26" s="356">
        <f t="shared" si="3"/>
        <v>16.158999999999999</v>
      </c>
      <c r="V26" s="356"/>
      <c r="W26" s="356"/>
      <c r="X26" s="88">
        <v>24</v>
      </c>
      <c r="Y26" s="88">
        <v>22</v>
      </c>
      <c r="Z26" s="87">
        <v>54</v>
      </c>
      <c r="AA26" s="247" t="s">
        <v>885</v>
      </c>
      <c r="AB26" s="239" t="s">
        <v>880</v>
      </c>
      <c r="AC26" s="96">
        <v>3.177</v>
      </c>
      <c r="AE26" s="97">
        <v>50.83</v>
      </c>
      <c r="AF26" s="97">
        <v>299.58</v>
      </c>
      <c r="AG26" s="435">
        <v>1841</v>
      </c>
      <c r="AH26" s="30">
        <v>1365.8379</v>
      </c>
      <c r="AI26" s="435">
        <v>3918</v>
      </c>
      <c r="AJ26" s="30">
        <v>2800.1945999999998</v>
      </c>
      <c r="AK26" s="435">
        <v>1302</v>
      </c>
      <c r="AL26" s="30">
        <v>785.10599999999999</v>
      </c>
      <c r="AM26" s="238">
        <v>32.259034910851369</v>
      </c>
      <c r="AN26" s="339" t="s">
        <v>999</v>
      </c>
      <c r="AO26" s="87">
        <v>1.43</v>
      </c>
      <c r="AP26" s="87">
        <v>17.61</v>
      </c>
      <c r="AQ26" s="87">
        <v>4.2</v>
      </c>
      <c r="AR26" s="87">
        <v>2.42</v>
      </c>
      <c r="AV26" s="96">
        <v>1.1200000000000001</v>
      </c>
      <c r="AW26" s="448">
        <v>0.41736227045075125</v>
      </c>
      <c r="AX26" s="98"/>
      <c r="AY26" s="99"/>
      <c r="AZ26" s="87">
        <v>0.63593708439897689</v>
      </c>
      <c r="BA26" s="87">
        <v>5.9384256521739127</v>
      </c>
      <c r="BB26" s="87">
        <v>13.992857142857142</v>
      </c>
      <c r="BC26" s="87">
        <v>6.461777777777777</v>
      </c>
      <c r="BD26" s="87">
        <v>1.8569082902074008</v>
      </c>
      <c r="BE26" s="87" t="s">
        <v>1125</v>
      </c>
      <c r="BF26" s="87">
        <v>0.63601370332480811</v>
      </c>
      <c r="BG26" s="87">
        <v>5.9257938234014782</v>
      </c>
      <c r="BH26" s="87">
        <v>13.973026946107783</v>
      </c>
      <c r="BI26" s="87">
        <v>4.6090800000000005</v>
      </c>
      <c r="BJ26" s="395">
        <v>0.23567507079312613</v>
      </c>
      <c r="BK26" s="87" t="s">
        <v>1127</v>
      </c>
      <c r="BL26" s="87" t="s">
        <v>1136</v>
      </c>
    </row>
    <row r="27" spans="1:64" s="87" customFormat="1" ht="20.25" customHeight="1" thickBot="1" x14ac:dyDescent="0.35">
      <c r="A27" s="82" t="s">
        <v>195</v>
      </c>
      <c r="B27" s="87" t="s">
        <v>81</v>
      </c>
      <c r="C27" s="87" t="s">
        <v>196</v>
      </c>
      <c r="D27" s="87" t="s">
        <v>1240</v>
      </c>
      <c r="E27" s="87" t="s">
        <v>197</v>
      </c>
      <c r="F27" s="87" t="s">
        <v>198</v>
      </c>
      <c r="G27" s="87" t="s">
        <v>199</v>
      </c>
      <c r="H27" s="93" t="s">
        <v>681</v>
      </c>
      <c r="I27" s="87" t="s">
        <v>83</v>
      </c>
      <c r="J27" s="87" t="s">
        <v>84</v>
      </c>
      <c r="L27" s="94">
        <v>44725</v>
      </c>
      <c r="M27" s="95">
        <v>44746</v>
      </c>
      <c r="N27" s="87">
        <v>8.01</v>
      </c>
      <c r="O27" s="87">
        <v>2.1</v>
      </c>
      <c r="U27" s="356">
        <f t="shared" si="3"/>
        <v>26.103000000000002</v>
      </c>
      <c r="V27" s="356"/>
      <c r="W27" s="356"/>
      <c r="X27" s="88">
        <v>28</v>
      </c>
      <c r="Y27" s="88">
        <v>12</v>
      </c>
      <c r="Z27" s="87">
        <v>60</v>
      </c>
      <c r="AA27" s="247" t="s">
        <v>885</v>
      </c>
      <c r="AB27" s="239" t="s">
        <v>880</v>
      </c>
      <c r="AC27" s="96">
        <v>2.5070000000000001</v>
      </c>
      <c r="AE27" s="97">
        <v>65.930000000000007</v>
      </c>
      <c r="AF27" s="97">
        <v>433.94</v>
      </c>
      <c r="AG27" s="435">
        <v>2380</v>
      </c>
      <c r="AH27" s="30">
        <v>1765.722</v>
      </c>
      <c r="AI27" s="435">
        <v>3108</v>
      </c>
      <c r="AJ27" s="30">
        <v>2221.2876000000001</v>
      </c>
      <c r="AK27" s="435">
        <v>1123</v>
      </c>
      <c r="AL27" s="30">
        <v>677.16899999999998</v>
      </c>
      <c r="AM27" s="238">
        <v>46.382475627724048</v>
      </c>
      <c r="AN27" s="339" t="s">
        <v>999</v>
      </c>
      <c r="AO27" s="87">
        <v>1.9</v>
      </c>
      <c r="AP27" s="87">
        <v>38.99</v>
      </c>
      <c r="AQ27" s="87">
        <v>6.35</v>
      </c>
      <c r="AR27" s="87">
        <v>1.37</v>
      </c>
      <c r="AV27" s="96">
        <v>1.17</v>
      </c>
      <c r="AW27" s="448">
        <v>0.15020862308762167</v>
      </c>
      <c r="AX27" s="98"/>
      <c r="AY27" s="99"/>
      <c r="AZ27" s="87">
        <v>0.92115140664961626</v>
      </c>
      <c r="BA27" s="87">
        <v>7.6770521739130437</v>
      </c>
      <c r="BB27" s="87">
        <v>11.1</v>
      </c>
      <c r="BC27" s="87">
        <v>5.5734074074074069</v>
      </c>
      <c r="BD27" s="87">
        <v>2.6588712550158262</v>
      </c>
      <c r="BE27" s="87" t="s">
        <v>1125</v>
      </c>
      <c r="BF27" s="87">
        <v>0.92126238874680311</v>
      </c>
      <c r="BG27" s="87">
        <v>7.660722053066551</v>
      </c>
      <c r="BH27" s="87">
        <v>11.084269461077845</v>
      </c>
      <c r="BI27" s="87">
        <v>3.9754200000000002</v>
      </c>
      <c r="BJ27" s="395">
        <v>0.32403467218662985</v>
      </c>
      <c r="BK27" s="87" t="s">
        <v>1130</v>
      </c>
      <c r="BL27" s="87" t="s">
        <v>1136</v>
      </c>
    </row>
    <row r="28" spans="1:64" s="87" customFormat="1" ht="20.25" customHeight="1" thickBot="1" x14ac:dyDescent="0.35">
      <c r="A28" s="82" t="s">
        <v>200</v>
      </c>
      <c r="B28" s="87" t="s">
        <v>81</v>
      </c>
      <c r="C28" s="87" t="s">
        <v>201</v>
      </c>
      <c r="D28" s="87" t="s">
        <v>1240</v>
      </c>
      <c r="E28" s="87" t="s">
        <v>197</v>
      </c>
      <c r="F28" s="87" t="s">
        <v>198</v>
      </c>
      <c r="G28" s="87" t="s">
        <v>202</v>
      </c>
      <c r="H28" s="93" t="s">
        <v>682</v>
      </c>
      <c r="I28" s="87" t="s">
        <v>83</v>
      </c>
      <c r="J28" s="87" t="s">
        <v>84</v>
      </c>
      <c r="L28" s="94">
        <v>44725</v>
      </c>
      <c r="M28" s="95">
        <v>44746</v>
      </c>
      <c r="N28" s="87">
        <v>8.09</v>
      </c>
      <c r="O28" s="87">
        <v>2.9</v>
      </c>
      <c r="U28" s="356">
        <f t="shared" si="3"/>
        <v>36.046999999999997</v>
      </c>
      <c r="V28" s="356"/>
      <c r="W28" s="356"/>
      <c r="X28" s="88">
        <v>28</v>
      </c>
      <c r="Y28" s="88">
        <v>18</v>
      </c>
      <c r="Z28" s="87">
        <v>54</v>
      </c>
      <c r="AA28" s="247" t="s">
        <v>885</v>
      </c>
      <c r="AB28" s="239" t="s">
        <v>880</v>
      </c>
      <c r="AC28" s="96">
        <v>2.1179999999999999</v>
      </c>
      <c r="AE28" s="97">
        <v>42.64</v>
      </c>
      <c r="AF28" s="97">
        <v>341.82</v>
      </c>
      <c r="AG28" s="435">
        <v>3124</v>
      </c>
      <c r="AH28" s="30">
        <v>2317.6956</v>
      </c>
      <c r="AI28" s="435">
        <v>4036</v>
      </c>
      <c r="AJ28" s="30">
        <v>2884.5291999999999</v>
      </c>
      <c r="AK28" s="435">
        <v>1312</v>
      </c>
      <c r="AL28" s="30">
        <v>791.13599999999997</v>
      </c>
      <c r="AM28" s="238">
        <v>54.063408242807462</v>
      </c>
      <c r="AN28" s="339" t="s">
        <v>999</v>
      </c>
      <c r="AO28" s="87">
        <v>1.9</v>
      </c>
      <c r="AP28" s="87">
        <v>28.69</v>
      </c>
      <c r="AQ28" s="87">
        <v>4.66</v>
      </c>
      <c r="AR28" s="87">
        <v>1.18</v>
      </c>
      <c r="AV28" s="96">
        <v>0.99</v>
      </c>
      <c r="AW28" s="448">
        <v>0.35161155295102553</v>
      </c>
      <c r="AX28" s="98"/>
      <c r="AY28" s="99"/>
      <c r="AZ28" s="87">
        <v>0.725602557544757</v>
      </c>
      <c r="BA28" s="87">
        <v>10.076937391304348</v>
      </c>
      <c r="BB28" s="87">
        <v>14.414285714285715</v>
      </c>
      <c r="BC28" s="87">
        <v>6.5114074074074066</v>
      </c>
      <c r="BD28" s="87">
        <v>3.1153269498925025</v>
      </c>
      <c r="BE28" s="87" t="s">
        <v>1125</v>
      </c>
      <c r="BF28" s="87">
        <v>0.72568997953964187</v>
      </c>
      <c r="BG28" s="87">
        <v>10.055502392344497</v>
      </c>
      <c r="BH28" s="87">
        <v>14.393858283433133</v>
      </c>
      <c r="BI28" s="87">
        <v>4.6444800000000006</v>
      </c>
      <c r="BJ28" s="395">
        <v>0.33721196046227675</v>
      </c>
      <c r="BK28" s="87" t="s">
        <v>1130</v>
      </c>
      <c r="BL28" s="87" t="s">
        <v>1136</v>
      </c>
    </row>
    <row r="29" spans="1:64" s="87" customFormat="1" ht="20.25" customHeight="1" thickBot="1" x14ac:dyDescent="0.35">
      <c r="A29" s="82" t="s">
        <v>203</v>
      </c>
      <c r="B29" s="87" t="s">
        <v>81</v>
      </c>
      <c r="C29" s="87" t="s">
        <v>204</v>
      </c>
      <c r="D29" s="87" t="s">
        <v>1240</v>
      </c>
      <c r="E29" s="87" t="s">
        <v>197</v>
      </c>
      <c r="F29" s="87" t="s">
        <v>198</v>
      </c>
      <c r="G29" s="87" t="s">
        <v>205</v>
      </c>
      <c r="H29" s="93" t="s">
        <v>683</v>
      </c>
      <c r="I29" s="87" t="s">
        <v>83</v>
      </c>
      <c r="J29" s="87" t="s">
        <v>84</v>
      </c>
      <c r="L29" s="94">
        <v>44725</v>
      </c>
      <c r="M29" s="95">
        <v>44746</v>
      </c>
      <c r="N29" s="87">
        <v>8.31</v>
      </c>
      <c r="O29" s="87">
        <v>2.2999999999999998</v>
      </c>
      <c r="U29" s="356">
        <f t="shared" si="3"/>
        <v>28.588999999999999</v>
      </c>
      <c r="V29" s="356"/>
      <c r="W29" s="356"/>
      <c r="X29" s="88">
        <v>20</v>
      </c>
      <c r="Y29" s="88">
        <v>16</v>
      </c>
      <c r="Z29" s="87">
        <v>64</v>
      </c>
      <c r="AA29" s="247" t="s">
        <v>886</v>
      </c>
      <c r="AB29" s="239" t="s">
        <v>881</v>
      </c>
      <c r="AC29" s="96">
        <v>4.2480000000000002</v>
      </c>
      <c r="AE29" s="97">
        <v>65.87</v>
      </c>
      <c r="AF29" s="97">
        <v>572.99</v>
      </c>
      <c r="AG29" s="435">
        <v>2762</v>
      </c>
      <c r="AH29" s="30">
        <v>2049.1278000000002</v>
      </c>
      <c r="AI29" s="435">
        <v>5130</v>
      </c>
      <c r="AJ29" s="30">
        <v>3666.4110000000001</v>
      </c>
      <c r="AK29" s="435">
        <v>1687</v>
      </c>
      <c r="AL29" s="30">
        <v>1017.261</v>
      </c>
      <c r="AM29" s="238">
        <v>42.343895223440803</v>
      </c>
      <c r="AN29" s="339" t="s">
        <v>999</v>
      </c>
      <c r="AO29" s="87">
        <v>0.86</v>
      </c>
      <c r="AP29" s="87">
        <v>25.1</v>
      </c>
      <c r="AQ29" s="87">
        <v>3.44</v>
      </c>
      <c r="AR29" s="87">
        <v>3.31</v>
      </c>
      <c r="AV29" s="96">
        <v>2.04</v>
      </c>
      <c r="AW29" s="448">
        <v>0.74968763015410256</v>
      </c>
      <c r="AX29" s="98"/>
      <c r="AY29" s="99"/>
      <c r="AZ29" s="87">
        <v>1.2163214833759592</v>
      </c>
      <c r="BA29" s="87">
        <v>8.9092513043478281</v>
      </c>
      <c r="BB29" s="87">
        <v>18.321428571428573</v>
      </c>
      <c r="BC29" s="87">
        <v>8.3725185185185182</v>
      </c>
      <c r="BD29" s="87">
        <v>2.4386518840055755</v>
      </c>
      <c r="BE29" s="87" t="s">
        <v>1125</v>
      </c>
      <c r="BF29" s="87">
        <v>1.2164680281329923</v>
      </c>
      <c r="BG29" s="87">
        <v>8.8903001304915179</v>
      </c>
      <c r="BH29" s="87">
        <v>18.295464071856287</v>
      </c>
      <c r="BI29" s="87">
        <v>5.9719800000000003</v>
      </c>
      <c r="BJ29" s="395">
        <v>0.25863283995809455</v>
      </c>
      <c r="BK29" s="87" t="s">
        <v>1127</v>
      </c>
      <c r="BL29" s="87" t="s">
        <v>1136</v>
      </c>
    </row>
    <row r="30" spans="1:64" s="87" customFormat="1" ht="20.25" customHeight="1" thickBot="1" x14ac:dyDescent="0.35">
      <c r="A30" s="82" t="s">
        <v>206</v>
      </c>
      <c r="B30" s="87" t="s">
        <v>81</v>
      </c>
      <c r="C30" s="87" t="s">
        <v>207</v>
      </c>
      <c r="D30" s="87" t="s">
        <v>1240</v>
      </c>
      <c r="E30" s="87" t="s">
        <v>197</v>
      </c>
      <c r="F30" s="87" t="s">
        <v>198</v>
      </c>
      <c r="G30" s="87" t="s">
        <v>208</v>
      </c>
      <c r="H30" s="93" t="s">
        <v>684</v>
      </c>
      <c r="I30" s="87" t="s">
        <v>83</v>
      </c>
      <c r="J30" s="87" t="s">
        <v>84</v>
      </c>
      <c r="L30" s="94">
        <v>44725</v>
      </c>
      <c r="M30" s="95">
        <v>44746</v>
      </c>
      <c r="N30" s="87">
        <v>8.58</v>
      </c>
      <c r="O30" s="87">
        <v>0.6</v>
      </c>
      <c r="U30" s="356">
        <f t="shared" si="3"/>
        <v>7.4579999999999993</v>
      </c>
      <c r="V30" s="356"/>
      <c r="W30" s="356"/>
      <c r="X30" s="88">
        <v>24</v>
      </c>
      <c r="Y30" s="88">
        <v>14</v>
      </c>
      <c r="Z30" s="87">
        <v>62</v>
      </c>
      <c r="AA30" s="247" t="s">
        <v>885</v>
      </c>
      <c r="AB30" s="239" t="s">
        <v>880</v>
      </c>
      <c r="AC30" s="96">
        <v>3.5329999999999999</v>
      </c>
      <c r="AE30" s="97">
        <v>50.91</v>
      </c>
      <c r="AF30" s="97">
        <v>428.36</v>
      </c>
      <c r="AG30" s="435">
        <v>903</v>
      </c>
      <c r="AH30" s="30">
        <v>669.9357</v>
      </c>
      <c r="AI30" s="435">
        <v>4056</v>
      </c>
      <c r="AJ30" s="30">
        <v>2898.8231999999998</v>
      </c>
      <c r="AK30" s="435">
        <v>1109</v>
      </c>
      <c r="AL30" s="30">
        <v>668.72699999999998</v>
      </c>
      <c r="AM30" s="238">
        <v>15.862187266035296</v>
      </c>
      <c r="AN30" s="339" t="s">
        <v>999</v>
      </c>
      <c r="AO30" s="87">
        <v>1.21</v>
      </c>
      <c r="AP30" s="87">
        <v>16.36</v>
      </c>
      <c r="AQ30" s="87">
        <v>4.46</v>
      </c>
      <c r="AR30" s="87">
        <v>1.18</v>
      </c>
      <c r="AV30" s="96">
        <v>1.38</v>
      </c>
      <c r="AW30" s="448">
        <v>0.66638900458142447</v>
      </c>
      <c r="AX30" s="98"/>
      <c r="AY30" s="99"/>
      <c r="AZ30" s="87">
        <v>0.90930639386189249</v>
      </c>
      <c r="BA30" s="87">
        <v>2.9127639130434786</v>
      </c>
      <c r="BB30" s="87">
        <v>14.485714285714286</v>
      </c>
      <c r="BC30" s="87">
        <v>5.503925925925925</v>
      </c>
      <c r="BD30" s="87">
        <v>0.92133547707877073</v>
      </c>
      <c r="BE30" s="87" t="s">
        <v>1125</v>
      </c>
      <c r="BF30" s="87">
        <v>0.90941594884910482</v>
      </c>
      <c r="BG30" s="87">
        <v>2.9065680730752503</v>
      </c>
      <c r="BH30" s="87">
        <v>14.465185628742514</v>
      </c>
      <c r="BI30" s="87">
        <v>3.9258600000000001</v>
      </c>
      <c r="BJ30" s="395">
        <v>0.13088504490684855</v>
      </c>
      <c r="BK30" s="87" t="s">
        <v>1126</v>
      </c>
      <c r="BL30" s="87" t="s">
        <v>1136</v>
      </c>
    </row>
    <row r="31" spans="1:64" s="87" customFormat="1" ht="20.25" customHeight="1" thickBot="1" x14ac:dyDescent="0.35">
      <c r="A31" s="82" t="s">
        <v>209</v>
      </c>
      <c r="B31" s="87" t="s">
        <v>81</v>
      </c>
      <c r="C31" s="87" t="s">
        <v>210</v>
      </c>
      <c r="D31" s="87" t="s">
        <v>1240</v>
      </c>
      <c r="E31" s="87" t="s">
        <v>211</v>
      </c>
      <c r="F31" s="87" t="s">
        <v>212</v>
      </c>
      <c r="G31" s="87" t="s">
        <v>213</v>
      </c>
      <c r="H31" s="93" t="s">
        <v>685</v>
      </c>
      <c r="I31" s="87" t="s">
        <v>83</v>
      </c>
      <c r="J31" s="87" t="s">
        <v>84</v>
      </c>
      <c r="L31" s="94">
        <v>44725</v>
      </c>
      <c r="M31" s="95">
        <v>44746</v>
      </c>
      <c r="N31" s="87">
        <v>8.64</v>
      </c>
      <c r="O31" s="87">
        <v>0.74</v>
      </c>
      <c r="U31" s="356">
        <f t="shared" si="3"/>
        <v>9.1981999999999999</v>
      </c>
      <c r="V31" s="356"/>
      <c r="W31" s="356"/>
      <c r="X31" s="88">
        <v>26</v>
      </c>
      <c r="Y31" s="88">
        <v>22</v>
      </c>
      <c r="Z31" s="87">
        <v>52</v>
      </c>
      <c r="AA31" s="247" t="s">
        <v>885</v>
      </c>
      <c r="AB31" s="239" t="s">
        <v>880</v>
      </c>
      <c r="AC31" s="96">
        <v>3.73</v>
      </c>
      <c r="AE31" s="97">
        <v>41.71</v>
      </c>
      <c r="AF31" s="97">
        <v>548.27</v>
      </c>
      <c r="AG31" s="435">
        <v>1206</v>
      </c>
      <c r="AH31" s="30">
        <v>894.73140000000001</v>
      </c>
      <c r="AI31" s="435">
        <v>4593</v>
      </c>
      <c r="AJ31" s="30">
        <v>3282.6170999999999</v>
      </c>
      <c r="AK31" s="435">
        <v>1599</v>
      </c>
      <c r="AL31" s="30">
        <v>964.197</v>
      </c>
      <c r="AM31" s="238">
        <v>19.416728205216017</v>
      </c>
      <c r="AN31" s="339" t="s">
        <v>999</v>
      </c>
      <c r="AO31" s="87">
        <v>0.92</v>
      </c>
      <c r="AP31" s="87">
        <v>13.43</v>
      </c>
      <c r="AQ31" s="87">
        <v>3.53</v>
      </c>
      <c r="AR31" s="87">
        <v>2.3199999999999998</v>
      </c>
      <c r="AV31" s="96">
        <v>2.04</v>
      </c>
      <c r="AW31" s="448">
        <v>0.71696540225093786</v>
      </c>
      <c r="AX31" s="98"/>
      <c r="AY31" s="99"/>
      <c r="AZ31" s="87">
        <v>1.1638468030690536</v>
      </c>
      <c r="BA31" s="87">
        <v>3.8901365217391306</v>
      </c>
      <c r="BB31" s="87">
        <v>16.403571428571428</v>
      </c>
      <c r="BC31" s="87">
        <v>7.935777777777778</v>
      </c>
      <c r="BD31" s="87">
        <v>1.1151296409525695</v>
      </c>
      <c r="BE31" s="87" t="s">
        <v>1125</v>
      </c>
      <c r="BF31" s="87">
        <v>1.1639870255754476</v>
      </c>
      <c r="BG31" s="87">
        <v>3.8818616789908651</v>
      </c>
      <c r="BH31" s="87">
        <v>16.380324850299399</v>
      </c>
      <c r="BI31" s="87">
        <v>5.6604600000000005</v>
      </c>
      <c r="BJ31" s="395">
        <v>0.14331281409068075</v>
      </c>
      <c r="BK31" s="87" t="s">
        <v>1126</v>
      </c>
      <c r="BL31" s="87" t="s">
        <v>1136</v>
      </c>
    </row>
    <row r="32" spans="1:64" s="87" customFormat="1" ht="20.25" customHeight="1" thickBot="1" x14ac:dyDescent="0.35">
      <c r="A32" s="82" t="s">
        <v>214</v>
      </c>
      <c r="B32" s="87" t="s">
        <v>81</v>
      </c>
      <c r="C32" s="87" t="s">
        <v>215</v>
      </c>
      <c r="D32" s="87" t="s">
        <v>1240</v>
      </c>
      <c r="E32" s="87" t="s">
        <v>211</v>
      </c>
      <c r="F32" s="87" t="s">
        <v>212</v>
      </c>
      <c r="G32" s="87" t="s">
        <v>216</v>
      </c>
      <c r="H32" s="93" t="s">
        <v>686</v>
      </c>
      <c r="I32" s="87" t="s">
        <v>83</v>
      </c>
      <c r="J32" s="87" t="s">
        <v>84</v>
      </c>
      <c r="L32" s="94">
        <v>44725</v>
      </c>
      <c r="M32" s="95">
        <v>44746</v>
      </c>
      <c r="N32" s="87">
        <v>8.68</v>
      </c>
      <c r="O32" s="87">
        <v>0.43</v>
      </c>
      <c r="U32" s="356">
        <f t="shared" si="3"/>
        <v>5.3449</v>
      </c>
      <c r="V32" s="356"/>
      <c r="W32" s="356"/>
      <c r="X32" s="88">
        <v>26</v>
      </c>
      <c r="Y32" s="88">
        <v>12</v>
      </c>
      <c r="Z32" s="87">
        <v>62</v>
      </c>
      <c r="AA32" s="247" t="s">
        <v>885</v>
      </c>
      <c r="AB32" s="239" t="s">
        <v>880</v>
      </c>
      <c r="AC32" s="96">
        <v>2.4740000000000002</v>
      </c>
      <c r="AE32" s="97">
        <v>51.57</v>
      </c>
      <c r="AF32" s="97">
        <v>365.63</v>
      </c>
      <c r="AG32" s="435">
        <v>670</v>
      </c>
      <c r="AH32" s="30">
        <v>497.07299999999998</v>
      </c>
      <c r="AI32" s="435">
        <v>3362</v>
      </c>
      <c r="AJ32" s="30">
        <v>2402.8213999999998</v>
      </c>
      <c r="AK32" s="435">
        <v>1133</v>
      </c>
      <c r="AL32" s="30">
        <v>683.19899999999996</v>
      </c>
      <c r="AM32" s="238">
        <v>12.654231500132074</v>
      </c>
      <c r="AN32" s="238" t="s">
        <v>1000</v>
      </c>
      <c r="AO32" s="87">
        <v>0.84</v>
      </c>
      <c r="AP32" s="87">
        <v>6.61</v>
      </c>
      <c r="AQ32" s="87">
        <v>3.25</v>
      </c>
      <c r="AR32" s="87">
        <v>1.07</v>
      </c>
      <c r="AV32" s="96">
        <v>1.06</v>
      </c>
      <c r="AW32" s="448">
        <v>0.65454545454545454</v>
      </c>
      <c r="AX32" s="98"/>
      <c r="AY32" s="99"/>
      <c r="AZ32" s="87">
        <v>0.77614552429667505</v>
      </c>
      <c r="BA32" s="87">
        <v>2.161186956521739</v>
      </c>
      <c r="BB32" s="87">
        <v>12.007142857142858</v>
      </c>
      <c r="BC32" s="87">
        <v>5.6230370370370357</v>
      </c>
      <c r="BD32" s="87">
        <v>0.72791214198320886</v>
      </c>
      <c r="BE32" s="87" t="s">
        <v>1125</v>
      </c>
      <c r="BF32" s="87">
        <v>0.77623903580562659</v>
      </c>
      <c r="BG32" s="87">
        <v>2.156589821661592</v>
      </c>
      <c r="BH32" s="87">
        <v>11.990126746506984</v>
      </c>
      <c r="BI32" s="87">
        <v>4.0108199999999998</v>
      </c>
      <c r="BJ32" s="395">
        <v>0.11390173131707147</v>
      </c>
      <c r="BK32" s="87" t="s">
        <v>1126</v>
      </c>
      <c r="BL32" s="87" t="s">
        <v>1135</v>
      </c>
    </row>
    <row r="33" spans="1:64" s="87" customFormat="1" ht="20.25" customHeight="1" thickBot="1" x14ac:dyDescent="0.35">
      <c r="A33" s="100" t="s">
        <v>217</v>
      </c>
      <c r="B33" s="87" t="s">
        <v>81</v>
      </c>
      <c r="C33" s="87" t="s">
        <v>218</v>
      </c>
      <c r="D33" s="87" t="s">
        <v>1240</v>
      </c>
      <c r="E33" s="87" t="s">
        <v>211</v>
      </c>
      <c r="F33" s="87" t="s">
        <v>212</v>
      </c>
      <c r="G33" s="87" t="s">
        <v>219</v>
      </c>
      <c r="H33" s="93" t="s">
        <v>687</v>
      </c>
      <c r="I33" s="87" t="s">
        <v>83</v>
      </c>
      <c r="J33" s="87" t="s">
        <v>84</v>
      </c>
      <c r="L33" s="94">
        <v>44725</v>
      </c>
      <c r="M33" s="95">
        <v>44746</v>
      </c>
      <c r="N33" s="87">
        <v>8.4499999999999993</v>
      </c>
      <c r="O33" s="87">
        <v>2.8</v>
      </c>
      <c r="U33" s="356">
        <f t="shared" si="3"/>
        <v>34.803999999999995</v>
      </c>
      <c r="V33" s="356"/>
      <c r="W33" s="356"/>
      <c r="X33" s="88">
        <v>24</v>
      </c>
      <c r="Y33" s="88">
        <v>14</v>
      </c>
      <c r="Z33" s="87">
        <v>62</v>
      </c>
      <c r="AA33" s="247" t="s">
        <v>885</v>
      </c>
      <c r="AB33" s="239" t="s">
        <v>880</v>
      </c>
      <c r="AC33" s="96">
        <v>2.3170000000000002</v>
      </c>
      <c r="AE33" s="97">
        <v>43.1</v>
      </c>
      <c r="AF33" s="97">
        <v>476.62</v>
      </c>
      <c r="AG33" s="435">
        <v>3546</v>
      </c>
      <c r="AH33" s="30">
        <v>2630.7773999999999</v>
      </c>
      <c r="AI33" s="435">
        <v>3840</v>
      </c>
      <c r="AJ33" s="30">
        <v>2744.4479999999999</v>
      </c>
      <c r="AK33" s="435">
        <v>1485</v>
      </c>
      <c r="AL33" s="30">
        <v>895.45499999999993</v>
      </c>
      <c r="AM33" s="238">
        <v>61.667195075502569</v>
      </c>
      <c r="AN33" s="339" t="s">
        <v>999</v>
      </c>
      <c r="AO33" s="87">
        <v>2.56</v>
      </c>
      <c r="AP33" s="87">
        <v>17.78</v>
      </c>
      <c r="AQ33" s="87">
        <v>3.06</v>
      </c>
      <c r="AR33" s="87">
        <v>0.89</v>
      </c>
      <c r="AV33" s="96">
        <v>1.74</v>
      </c>
      <c r="AW33" s="448">
        <v>0.41946308724832204</v>
      </c>
      <c r="AX33" s="98"/>
      <c r="AY33" s="99"/>
      <c r="AZ33" s="87">
        <v>1.0117508951406649</v>
      </c>
      <c r="BA33" s="87">
        <v>11.438162608695652</v>
      </c>
      <c r="BB33" s="87">
        <v>13.714285714285714</v>
      </c>
      <c r="BC33" s="87">
        <v>7.3699999999999992</v>
      </c>
      <c r="BD33" s="87">
        <v>3.5228310683651598</v>
      </c>
      <c r="BE33" s="87" t="s">
        <v>1125</v>
      </c>
      <c r="BF33" s="87">
        <v>1.0118727928388747</v>
      </c>
      <c r="BG33" s="87">
        <v>11.41383210091344</v>
      </c>
      <c r="BH33" s="87">
        <v>13.694850299401196</v>
      </c>
      <c r="BI33" s="87">
        <v>5.2568999999999999</v>
      </c>
      <c r="BJ33" s="395">
        <v>0.36375901202478372</v>
      </c>
      <c r="BK33" s="87" t="s">
        <v>1130</v>
      </c>
      <c r="BL33" s="87" t="s">
        <v>1136</v>
      </c>
    </row>
    <row r="34" spans="1:64" s="87" customFormat="1" ht="20.25" customHeight="1" thickBot="1" x14ac:dyDescent="0.35">
      <c r="A34" s="101" t="s">
        <v>220</v>
      </c>
      <c r="B34" s="87" t="s">
        <v>81</v>
      </c>
      <c r="C34" s="87" t="s">
        <v>221</v>
      </c>
      <c r="D34" s="87" t="s">
        <v>1240</v>
      </c>
      <c r="E34" s="87" t="s">
        <v>211</v>
      </c>
      <c r="F34" s="87" t="s">
        <v>212</v>
      </c>
      <c r="G34" s="87" t="s">
        <v>222</v>
      </c>
      <c r="H34" s="93" t="s">
        <v>688</v>
      </c>
      <c r="I34" s="87" t="s">
        <v>83</v>
      </c>
      <c r="J34" s="87" t="s">
        <v>84</v>
      </c>
      <c r="L34" s="94">
        <v>44725</v>
      </c>
      <c r="M34" s="95">
        <v>44746</v>
      </c>
      <c r="N34" s="87">
        <v>8.59</v>
      </c>
      <c r="O34" s="87">
        <v>1</v>
      </c>
      <c r="U34" s="356">
        <f t="shared" si="3"/>
        <v>12.43</v>
      </c>
      <c r="V34" s="356"/>
      <c r="W34" s="356"/>
      <c r="X34" s="88">
        <v>26</v>
      </c>
      <c r="Y34" s="88">
        <v>16</v>
      </c>
      <c r="Z34" s="87">
        <v>58</v>
      </c>
      <c r="AA34" s="247" t="s">
        <v>885</v>
      </c>
      <c r="AB34" s="239" t="s">
        <v>880</v>
      </c>
      <c r="AC34" s="96">
        <v>3.1459999999999999</v>
      </c>
      <c r="AE34" s="97">
        <v>64.17</v>
      </c>
      <c r="AF34" s="97">
        <v>375.04</v>
      </c>
      <c r="AG34" s="435">
        <v>1167</v>
      </c>
      <c r="AH34" s="30">
        <v>865.79729999999995</v>
      </c>
      <c r="AI34" s="435">
        <v>5238</v>
      </c>
      <c r="AJ34" s="30">
        <v>3743.5985999999998</v>
      </c>
      <c r="AK34" s="435">
        <v>1464</v>
      </c>
      <c r="AL34" s="30">
        <v>882.79199999999992</v>
      </c>
      <c r="AM34" s="238">
        <v>18.001557272045691</v>
      </c>
      <c r="AN34" s="339" t="s">
        <v>999</v>
      </c>
      <c r="AO34" s="87">
        <v>0.93</v>
      </c>
      <c r="AP34" s="87">
        <v>13.45</v>
      </c>
      <c r="AQ34" s="87">
        <v>3.11</v>
      </c>
      <c r="AR34" s="87">
        <v>3.36</v>
      </c>
      <c r="AV34" s="96">
        <v>1.46</v>
      </c>
      <c r="AW34" s="448">
        <v>0.98196948682385565</v>
      </c>
      <c r="AX34" s="98"/>
      <c r="AY34" s="99"/>
      <c r="AZ34" s="87">
        <v>0.79612071611253199</v>
      </c>
      <c r="BA34" s="87">
        <v>3.7643360869565217</v>
      </c>
      <c r="BB34" s="87">
        <v>18.707142857142859</v>
      </c>
      <c r="BC34" s="87">
        <v>7.2657777777777763</v>
      </c>
      <c r="BD34" s="87">
        <v>1.0445830987416236</v>
      </c>
      <c r="BE34" s="87" t="s">
        <v>1125</v>
      </c>
      <c r="BF34" s="87">
        <v>0.79621663427109968</v>
      </c>
      <c r="BG34" s="87">
        <v>3.7563288386254894</v>
      </c>
      <c r="BH34" s="87">
        <v>18.680631736526944</v>
      </c>
      <c r="BI34" s="87">
        <v>5.1825600000000005</v>
      </c>
      <c r="BJ34" s="395">
        <v>0.13219184886675314</v>
      </c>
      <c r="BK34" s="87" t="s">
        <v>1126</v>
      </c>
      <c r="BL34" s="87" t="s">
        <v>1136</v>
      </c>
    </row>
    <row r="35" spans="1:64" s="87" customFormat="1" ht="20.25" customHeight="1" thickBot="1" x14ac:dyDescent="0.35">
      <c r="A35" s="82" t="s">
        <v>223</v>
      </c>
      <c r="B35" s="87" t="s">
        <v>81</v>
      </c>
      <c r="C35" s="87" t="s">
        <v>224</v>
      </c>
      <c r="D35" s="87" t="s">
        <v>1240</v>
      </c>
      <c r="E35" s="87" t="s">
        <v>4</v>
      </c>
      <c r="F35" s="87" t="s">
        <v>5</v>
      </c>
      <c r="G35" s="87" t="s">
        <v>225</v>
      </c>
      <c r="H35" s="93" t="s">
        <v>689</v>
      </c>
      <c r="I35" s="87" t="s">
        <v>83</v>
      </c>
      <c r="J35" s="87" t="s">
        <v>84</v>
      </c>
      <c r="L35" s="94">
        <v>44725</v>
      </c>
      <c r="M35" s="95">
        <v>44746</v>
      </c>
      <c r="N35" s="87">
        <v>8.25</v>
      </c>
      <c r="O35" s="87">
        <v>0.51</v>
      </c>
      <c r="U35" s="356">
        <f t="shared" si="3"/>
        <v>6.3392999999999997</v>
      </c>
      <c r="V35" s="356"/>
      <c r="W35" s="356"/>
      <c r="X35" s="88">
        <v>20</v>
      </c>
      <c r="Y35" s="88">
        <v>20</v>
      </c>
      <c r="Z35" s="87">
        <v>60</v>
      </c>
      <c r="AA35" s="247" t="s">
        <v>886</v>
      </c>
      <c r="AB35" s="239" t="s">
        <v>881</v>
      </c>
      <c r="AC35" s="96">
        <v>3.242</v>
      </c>
      <c r="AE35" s="97">
        <v>83.13</v>
      </c>
      <c r="AF35" s="97">
        <v>515.02</v>
      </c>
      <c r="AG35" s="436">
        <v>475</v>
      </c>
      <c r="AH35" s="30">
        <v>352.40249999999997</v>
      </c>
      <c r="AI35" s="436">
        <v>6667</v>
      </c>
      <c r="AJ35" s="30">
        <v>4764.9049000000005</v>
      </c>
      <c r="AK35" s="436">
        <v>1301</v>
      </c>
      <c r="AL35" s="30">
        <v>784.50299999999993</v>
      </c>
      <c r="AM35" s="238">
        <v>6.690069885480014</v>
      </c>
      <c r="AN35" s="238" t="s">
        <v>1000</v>
      </c>
      <c r="AO35" s="102">
        <v>1.04</v>
      </c>
      <c r="AP35" s="102">
        <v>20.45</v>
      </c>
      <c r="AQ35" s="102">
        <v>3.75</v>
      </c>
      <c r="AR35" s="102">
        <v>1.35</v>
      </c>
      <c r="AV35" s="96">
        <v>1.92</v>
      </c>
      <c r="AW35" s="448">
        <v>0.16722408026755856</v>
      </c>
      <c r="AX35" s="98"/>
      <c r="AY35" s="99"/>
      <c r="AZ35" s="87">
        <v>1.0932649616368286</v>
      </c>
      <c r="BA35" s="87">
        <v>1.5321847826086954</v>
      </c>
      <c r="BB35" s="87">
        <v>23.810714285714283</v>
      </c>
      <c r="BC35" s="87">
        <v>6.4568148148148143</v>
      </c>
      <c r="BD35" s="87">
        <v>0.3938561744015831</v>
      </c>
      <c r="BE35" s="87" t="s">
        <v>1125</v>
      </c>
      <c r="BF35" s="87">
        <v>1.0933966803069053</v>
      </c>
      <c r="BG35" s="87">
        <v>1.5289256198347108</v>
      </c>
      <c r="BH35" s="87">
        <v>23.776970558882237</v>
      </c>
      <c r="BI35" s="87">
        <v>4.6055400000000004</v>
      </c>
      <c r="BJ35" s="395">
        <v>4.9312493532430772E-2</v>
      </c>
      <c r="BK35" s="87" t="s">
        <v>1126</v>
      </c>
      <c r="BL35" s="87" t="s">
        <v>1136</v>
      </c>
    </row>
    <row r="36" spans="1:64" s="87" customFormat="1" ht="20.25" customHeight="1" thickBot="1" x14ac:dyDescent="0.35">
      <c r="A36" s="82" t="s">
        <v>226</v>
      </c>
      <c r="B36" s="87" t="s">
        <v>81</v>
      </c>
      <c r="C36" s="87" t="s">
        <v>227</v>
      </c>
      <c r="D36" s="87" t="s">
        <v>1240</v>
      </c>
      <c r="E36" s="87" t="s">
        <v>4</v>
      </c>
      <c r="F36" s="87" t="s">
        <v>5</v>
      </c>
      <c r="G36" s="87" t="s">
        <v>228</v>
      </c>
      <c r="H36" s="93" t="s">
        <v>690</v>
      </c>
      <c r="I36" s="87" t="s">
        <v>83</v>
      </c>
      <c r="J36" s="87" t="s">
        <v>84</v>
      </c>
      <c r="L36" s="94">
        <v>44725</v>
      </c>
      <c r="M36" s="95">
        <v>44746</v>
      </c>
      <c r="N36" s="87">
        <v>8.1999999999999993</v>
      </c>
      <c r="O36" s="87">
        <v>0.6</v>
      </c>
      <c r="U36" s="356">
        <f t="shared" si="3"/>
        <v>7.4579999999999993</v>
      </c>
      <c r="V36" s="356"/>
      <c r="W36" s="356"/>
      <c r="X36" s="88">
        <v>26</v>
      </c>
      <c r="Y36" s="88">
        <v>22</v>
      </c>
      <c r="Z36" s="87">
        <v>52</v>
      </c>
      <c r="AA36" s="247" t="s">
        <v>885</v>
      </c>
      <c r="AB36" s="239" t="s">
        <v>880</v>
      </c>
      <c r="AC36" s="96">
        <v>3.254</v>
      </c>
      <c r="AE36" s="97">
        <v>84.35</v>
      </c>
      <c r="AF36" s="97">
        <v>438.92</v>
      </c>
      <c r="AG36" s="435">
        <v>412</v>
      </c>
      <c r="AH36" s="30">
        <v>305.6628</v>
      </c>
      <c r="AI36" s="435">
        <v>6222</v>
      </c>
      <c r="AJ36" s="30">
        <v>4446.8634000000002</v>
      </c>
      <c r="AK36" s="435">
        <v>1227</v>
      </c>
      <c r="AL36" s="30">
        <v>739.88099999999997</v>
      </c>
      <c r="AM36" s="238">
        <v>6.0021958411050731</v>
      </c>
      <c r="AN36" s="238" t="s">
        <v>1000</v>
      </c>
      <c r="AO36" s="102">
        <v>0.8</v>
      </c>
      <c r="AP36" s="102">
        <v>14.14</v>
      </c>
      <c r="AQ36" s="102">
        <v>2.48</v>
      </c>
      <c r="AR36" s="102">
        <v>1.06</v>
      </c>
      <c r="AV36" s="96">
        <v>1.73</v>
      </c>
      <c r="AW36" s="448">
        <v>0.15062761506276151</v>
      </c>
      <c r="AX36" s="98"/>
      <c r="AY36" s="99"/>
      <c r="AZ36" s="87">
        <v>0.9317227621483376</v>
      </c>
      <c r="BA36" s="87">
        <v>1.3289686956521738</v>
      </c>
      <c r="BB36" s="87">
        <v>22.221428571428572</v>
      </c>
      <c r="BC36" s="87">
        <v>6.0895555555555561</v>
      </c>
      <c r="BD36" s="87">
        <v>0.35322567668414828</v>
      </c>
      <c r="BE36" s="87" t="s">
        <v>1125</v>
      </c>
      <c r="BF36" s="87">
        <v>0.93183501790281331</v>
      </c>
      <c r="BG36" s="87">
        <v>1.3261418007829491</v>
      </c>
      <c r="BH36" s="87">
        <v>22.189937125748504</v>
      </c>
      <c r="BI36" s="87">
        <v>4.3435800000000002</v>
      </c>
      <c r="BJ36" s="395">
        <v>4.6060194144225984E-2</v>
      </c>
      <c r="BK36" s="87" t="s">
        <v>1126</v>
      </c>
      <c r="BL36" s="87" t="s">
        <v>1136</v>
      </c>
    </row>
    <row r="37" spans="1:64" s="87" customFormat="1" ht="20.25" customHeight="1" thickBot="1" x14ac:dyDescent="0.35">
      <c r="A37" s="82" t="s">
        <v>229</v>
      </c>
      <c r="B37" s="87" t="s">
        <v>81</v>
      </c>
      <c r="C37" s="87" t="s">
        <v>230</v>
      </c>
      <c r="D37" s="87" t="s">
        <v>1240</v>
      </c>
      <c r="E37" s="87" t="s">
        <v>4</v>
      </c>
      <c r="F37" s="87" t="s">
        <v>5</v>
      </c>
      <c r="G37" s="87" t="s">
        <v>231</v>
      </c>
      <c r="H37" s="93" t="s">
        <v>691</v>
      </c>
      <c r="I37" s="87" t="s">
        <v>83</v>
      </c>
      <c r="J37" s="87" t="s">
        <v>84</v>
      </c>
      <c r="L37" s="94">
        <v>44725</v>
      </c>
      <c r="M37" s="95">
        <v>44746</v>
      </c>
      <c r="N37" s="87">
        <v>8.1999999999999993</v>
      </c>
      <c r="O37" s="87">
        <v>0.56000000000000005</v>
      </c>
      <c r="U37" s="356">
        <f t="shared" si="3"/>
        <v>6.9608000000000008</v>
      </c>
      <c r="V37" s="356"/>
      <c r="W37" s="356"/>
      <c r="X37" s="88">
        <v>22</v>
      </c>
      <c r="Y37" s="88">
        <v>22</v>
      </c>
      <c r="Z37" s="87">
        <v>56</v>
      </c>
      <c r="AA37" s="247" t="s">
        <v>885</v>
      </c>
      <c r="AB37" s="239" t="s">
        <v>880</v>
      </c>
      <c r="AC37" s="96">
        <v>3.0179999999999998</v>
      </c>
      <c r="AE37" s="97">
        <v>77.010000000000005</v>
      </c>
      <c r="AF37" s="97">
        <v>466.53</v>
      </c>
      <c r="AG37" s="435">
        <v>450</v>
      </c>
      <c r="AH37" s="30">
        <v>333.85500000000002</v>
      </c>
      <c r="AI37" s="435">
        <v>6659</v>
      </c>
      <c r="AJ37" s="30">
        <v>4759.1872999999996</v>
      </c>
      <c r="AK37" s="435">
        <v>1321</v>
      </c>
      <c r="AL37" s="30">
        <v>796.56299999999999</v>
      </c>
      <c r="AM37" s="238">
        <v>6.3343422283697741</v>
      </c>
      <c r="AN37" s="238" t="s">
        <v>1000</v>
      </c>
      <c r="AO37" s="102">
        <v>0.84</v>
      </c>
      <c r="AP37" s="102">
        <v>16.22</v>
      </c>
      <c r="AQ37" s="102">
        <v>2.63</v>
      </c>
      <c r="AR37" s="102">
        <v>0.98</v>
      </c>
      <c r="AV37" s="96">
        <v>1.79</v>
      </c>
      <c r="AW37" s="448">
        <v>0.26733500417710943</v>
      </c>
      <c r="AX37" s="98"/>
      <c r="AY37" s="99"/>
      <c r="AZ37" s="87">
        <v>0.99033222506393837</v>
      </c>
      <c r="BA37" s="87">
        <v>1.4515434782608696</v>
      </c>
      <c r="BB37" s="87">
        <v>23.782142857142858</v>
      </c>
      <c r="BC37" s="87">
        <v>6.5560740740740737</v>
      </c>
      <c r="BD37" s="87">
        <v>0.37269195704196389</v>
      </c>
      <c r="BE37" s="87" t="s">
        <v>1125</v>
      </c>
      <c r="BF37" s="87">
        <v>0.99045154219948828</v>
      </c>
      <c r="BG37" s="87">
        <v>1.448455850369726</v>
      </c>
      <c r="BH37" s="87">
        <v>23.748439620758479</v>
      </c>
      <c r="BI37" s="87">
        <v>4.6763400000000006</v>
      </c>
      <c r="BJ37" s="395">
        <v>4.6930745822566421E-2</v>
      </c>
      <c r="BK37" s="87" t="s">
        <v>1126</v>
      </c>
      <c r="BL37" s="87" t="s">
        <v>1136</v>
      </c>
    </row>
    <row r="38" spans="1:64" s="87" customFormat="1" ht="20.25" customHeight="1" thickBot="1" x14ac:dyDescent="0.35">
      <c r="A38" s="82" t="s">
        <v>232</v>
      </c>
      <c r="B38" s="87" t="s">
        <v>81</v>
      </c>
      <c r="C38" s="87" t="s">
        <v>233</v>
      </c>
      <c r="D38" s="87" t="s">
        <v>1240</v>
      </c>
      <c r="E38" s="87" t="s">
        <v>4</v>
      </c>
      <c r="F38" s="87" t="s">
        <v>5</v>
      </c>
      <c r="G38" s="87" t="s">
        <v>234</v>
      </c>
      <c r="H38" s="93" t="s">
        <v>692</v>
      </c>
      <c r="I38" s="87" t="s">
        <v>83</v>
      </c>
      <c r="J38" s="87" t="s">
        <v>84</v>
      </c>
      <c r="L38" s="94">
        <v>44725</v>
      </c>
      <c r="M38" s="95">
        <v>44746</v>
      </c>
      <c r="N38" s="87">
        <v>8.1</v>
      </c>
      <c r="O38" s="87">
        <v>0.48</v>
      </c>
      <c r="U38" s="356">
        <f t="shared" si="3"/>
        <v>5.9663999999999993</v>
      </c>
      <c r="V38" s="356"/>
      <c r="W38" s="356"/>
      <c r="X38" s="88">
        <v>22</v>
      </c>
      <c r="Y38" s="88">
        <v>18</v>
      </c>
      <c r="Z38" s="87">
        <v>60</v>
      </c>
      <c r="AA38" s="247" t="s">
        <v>885</v>
      </c>
      <c r="AB38" s="239" t="s">
        <v>880</v>
      </c>
      <c r="AC38" s="96">
        <v>3.302</v>
      </c>
      <c r="AE38" s="97">
        <v>86.84</v>
      </c>
      <c r="AF38" s="97">
        <v>464.38</v>
      </c>
      <c r="AG38" s="435">
        <v>369</v>
      </c>
      <c r="AH38" s="30">
        <v>273.7611</v>
      </c>
      <c r="AI38" s="435">
        <v>5555</v>
      </c>
      <c r="AJ38" s="30">
        <v>3970.1585</v>
      </c>
      <c r="AK38" s="435">
        <v>1118</v>
      </c>
      <c r="AL38" s="30">
        <v>674.154</v>
      </c>
      <c r="AM38" s="238">
        <v>5.6810160722407668</v>
      </c>
      <c r="AN38" s="238" t="s">
        <v>1000</v>
      </c>
      <c r="AO38" s="102">
        <v>0.84</v>
      </c>
      <c r="AP38" s="102">
        <v>17.059999999999999</v>
      </c>
      <c r="AQ38" s="102">
        <v>2.9</v>
      </c>
      <c r="AR38" s="102">
        <v>1.02</v>
      </c>
      <c r="AV38" s="96">
        <v>1.67</v>
      </c>
      <c r="AW38" s="448">
        <v>0.85130059813604109</v>
      </c>
      <c r="AX38" s="98"/>
      <c r="AY38" s="99"/>
      <c r="AZ38" s="87">
        <v>0.98576828644501258</v>
      </c>
      <c r="BA38" s="87">
        <v>1.190265652173913</v>
      </c>
      <c r="BB38" s="87">
        <v>19.839285714285715</v>
      </c>
      <c r="BC38" s="87">
        <v>5.548592592592593</v>
      </c>
      <c r="BD38" s="87">
        <v>0.33407632156171063</v>
      </c>
      <c r="BE38" s="87" t="s">
        <v>1125</v>
      </c>
      <c r="BF38" s="87">
        <v>0.98588705370843988</v>
      </c>
      <c r="BG38" s="87">
        <v>1.1877337973031752</v>
      </c>
      <c r="BH38" s="87">
        <v>19.811170159680639</v>
      </c>
      <c r="BI38" s="87">
        <v>3.9577200000000001</v>
      </c>
      <c r="BJ38" s="395">
        <v>4.578330127001385E-2</v>
      </c>
      <c r="BK38" s="87" t="s">
        <v>1126</v>
      </c>
      <c r="BL38" s="87" t="s">
        <v>1135</v>
      </c>
    </row>
    <row r="39" spans="1:64" s="87" customFormat="1" ht="20.25" customHeight="1" thickBot="1" x14ac:dyDescent="0.35">
      <c r="A39" s="82" t="s">
        <v>235</v>
      </c>
      <c r="B39" s="87" t="s">
        <v>81</v>
      </c>
      <c r="C39" s="87" t="s">
        <v>236</v>
      </c>
      <c r="D39" s="87" t="s">
        <v>1240</v>
      </c>
      <c r="E39" s="87" t="s">
        <v>4</v>
      </c>
      <c r="F39" s="87" t="s">
        <v>5</v>
      </c>
      <c r="G39" s="87" t="s">
        <v>237</v>
      </c>
      <c r="H39" s="93" t="s">
        <v>693</v>
      </c>
      <c r="I39" s="87" t="s">
        <v>83</v>
      </c>
      <c r="J39" s="87" t="s">
        <v>84</v>
      </c>
      <c r="L39" s="94">
        <v>44725</v>
      </c>
      <c r="M39" s="95">
        <v>44746</v>
      </c>
      <c r="N39" s="87">
        <v>8.18</v>
      </c>
      <c r="O39" s="87">
        <v>0.37</v>
      </c>
      <c r="U39" s="356">
        <f>10.92*O39</f>
        <v>4.0404</v>
      </c>
      <c r="V39" s="356"/>
      <c r="W39" s="356"/>
      <c r="X39" s="88">
        <v>20</v>
      </c>
      <c r="Y39" s="88">
        <v>28</v>
      </c>
      <c r="Z39" s="87">
        <v>52</v>
      </c>
      <c r="AA39" s="247" t="s">
        <v>883</v>
      </c>
      <c r="AB39" s="239" t="s">
        <v>888</v>
      </c>
      <c r="AC39" s="96">
        <v>3.2069999999999999</v>
      </c>
      <c r="AE39" s="97">
        <v>86.16</v>
      </c>
      <c r="AF39" s="97">
        <v>477.51</v>
      </c>
      <c r="AG39" s="436">
        <v>340</v>
      </c>
      <c r="AH39" s="30">
        <v>252.24600000000001</v>
      </c>
      <c r="AI39" s="436">
        <v>6165</v>
      </c>
      <c r="AJ39" s="30">
        <v>4406.1255000000001</v>
      </c>
      <c r="AK39" s="436">
        <v>1184</v>
      </c>
      <c r="AL39" s="30">
        <v>713.952</v>
      </c>
      <c r="AM39" s="238">
        <v>4.9854115854239769</v>
      </c>
      <c r="AN39" s="238" t="s">
        <v>1000</v>
      </c>
      <c r="AO39" s="102">
        <v>0.89</v>
      </c>
      <c r="AP39" s="102">
        <v>22.5</v>
      </c>
      <c r="AQ39" s="102">
        <v>3.57</v>
      </c>
      <c r="AR39" s="102">
        <v>1.1100000000000001</v>
      </c>
      <c r="AV39" s="96">
        <v>1.59</v>
      </c>
      <c r="AW39" s="448">
        <v>0.67029744449099282</v>
      </c>
      <c r="AX39" s="98"/>
      <c r="AY39" s="99"/>
      <c r="AZ39" s="87">
        <v>1.0136401534526853</v>
      </c>
      <c r="BA39" s="87">
        <v>1.0967217391304349</v>
      </c>
      <c r="BB39" s="87">
        <v>22.017857142857142</v>
      </c>
      <c r="BC39" s="87">
        <v>5.8761481481481486</v>
      </c>
      <c r="BD39" s="87">
        <v>0.29366758410769084</v>
      </c>
      <c r="BE39" s="87" t="s">
        <v>1125</v>
      </c>
      <c r="BF39" s="87">
        <v>1.0137622787723783</v>
      </c>
      <c r="BG39" s="87">
        <v>1.0943888647237929</v>
      </c>
      <c r="BH39" s="87">
        <v>21.986654191616765</v>
      </c>
      <c r="BI39" s="87">
        <v>4.1913600000000004</v>
      </c>
      <c r="BJ39" s="395">
        <v>3.8689898463022732E-2</v>
      </c>
      <c r="BK39" s="87" t="s">
        <v>1126</v>
      </c>
      <c r="BL39" s="87" t="s">
        <v>1135</v>
      </c>
    </row>
    <row r="40" spans="1:64" s="87" customFormat="1" ht="20.25" customHeight="1" thickBot="1" x14ac:dyDescent="0.35">
      <c r="A40" s="82" t="s">
        <v>238</v>
      </c>
      <c r="B40" s="87" t="s">
        <v>81</v>
      </c>
      <c r="C40" s="87" t="s">
        <v>239</v>
      </c>
      <c r="D40" s="87" t="s">
        <v>1240</v>
      </c>
      <c r="E40" s="87" t="s">
        <v>240</v>
      </c>
      <c r="F40" s="87" t="s">
        <v>241</v>
      </c>
      <c r="G40" s="87" t="s">
        <v>242</v>
      </c>
      <c r="H40" s="93" t="s">
        <v>694</v>
      </c>
      <c r="I40" s="87" t="s">
        <v>83</v>
      </c>
      <c r="J40" s="87" t="s">
        <v>84</v>
      </c>
      <c r="L40" s="94">
        <v>44725</v>
      </c>
      <c r="M40" s="95">
        <v>44746</v>
      </c>
      <c r="N40" s="87">
        <v>8.73</v>
      </c>
      <c r="O40" s="87">
        <v>0.36</v>
      </c>
      <c r="U40" s="356">
        <f t="shared" ref="U40:U41" si="4">O40*12.43</f>
        <v>4.4748000000000001</v>
      </c>
      <c r="V40" s="356"/>
      <c r="W40" s="356"/>
      <c r="X40" s="88">
        <v>28</v>
      </c>
      <c r="Y40" s="88">
        <v>20</v>
      </c>
      <c r="Z40" s="87">
        <v>52</v>
      </c>
      <c r="AA40" s="247" t="s">
        <v>885</v>
      </c>
      <c r="AB40" s="239" t="s">
        <v>880</v>
      </c>
      <c r="AC40" s="96">
        <v>4.6120000000000001</v>
      </c>
      <c r="AE40" s="97">
        <v>33.81</v>
      </c>
      <c r="AF40" s="97">
        <v>631.01</v>
      </c>
      <c r="AG40" s="435">
        <v>624</v>
      </c>
      <c r="AH40" s="30">
        <v>462.94560000000001</v>
      </c>
      <c r="AI40" s="435">
        <v>8929</v>
      </c>
      <c r="AJ40" s="30">
        <v>6381.5563000000002</v>
      </c>
      <c r="AK40" s="435">
        <v>1573</v>
      </c>
      <c r="AL40" s="30">
        <v>948.51900000000001</v>
      </c>
      <c r="AM40" s="238">
        <v>7.6469938438695628</v>
      </c>
      <c r="AN40" s="238" t="s">
        <v>1000</v>
      </c>
      <c r="AO40" s="87">
        <v>0.67</v>
      </c>
      <c r="AP40" s="87">
        <v>6.96</v>
      </c>
      <c r="AQ40" s="87">
        <v>3.72</v>
      </c>
      <c r="AR40" s="87">
        <v>3.19</v>
      </c>
      <c r="AV40" s="96">
        <v>1.06</v>
      </c>
      <c r="AW40" s="448">
        <v>2.8670648701208501</v>
      </c>
      <c r="AX40" s="98"/>
      <c r="AY40" s="99"/>
      <c r="AZ40" s="87">
        <v>1.3394841432225062</v>
      </c>
      <c r="BA40" s="87">
        <v>2.0128069565217395</v>
      </c>
      <c r="BB40" s="87">
        <v>31.889285714285716</v>
      </c>
      <c r="BC40" s="87">
        <v>7.8067407407407403</v>
      </c>
      <c r="BD40" s="87">
        <v>0.45179727212697196</v>
      </c>
      <c r="BE40" s="87" t="s">
        <v>1125</v>
      </c>
      <c r="BF40" s="87">
        <v>1.3396455268542198</v>
      </c>
      <c r="BG40" s="87">
        <v>2.0085254458460198</v>
      </c>
      <c r="BH40" s="87">
        <v>31.844093313373254</v>
      </c>
      <c r="BI40" s="87">
        <v>5.5684200000000006</v>
      </c>
      <c r="BJ40" s="395">
        <v>4.9276048256438686E-2</v>
      </c>
      <c r="BK40" s="87" t="s">
        <v>1126</v>
      </c>
      <c r="BL40" s="87" t="s">
        <v>1135</v>
      </c>
    </row>
    <row r="41" spans="1:64" s="87" customFormat="1" ht="20.25" customHeight="1" thickBot="1" x14ac:dyDescent="0.35">
      <c r="A41" s="82" t="s">
        <v>243</v>
      </c>
      <c r="B41" s="87" t="s">
        <v>81</v>
      </c>
      <c r="C41" s="87" t="s">
        <v>244</v>
      </c>
      <c r="D41" s="87" t="s">
        <v>1240</v>
      </c>
      <c r="E41" s="87" t="s">
        <v>240</v>
      </c>
      <c r="F41" s="87" t="s">
        <v>241</v>
      </c>
      <c r="G41" s="87" t="s">
        <v>245</v>
      </c>
      <c r="H41" s="93" t="s">
        <v>695</v>
      </c>
      <c r="I41" s="87" t="s">
        <v>83</v>
      </c>
      <c r="J41" s="87" t="s">
        <v>84</v>
      </c>
      <c r="L41" s="94">
        <v>44725</v>
      </c>
      <c r="M41" s="95">
        <v>44746</v>
      </c>
      <c r="N41" s="87">
        <v>8.51</v>
      </c>
      <c r="O41" s="87">
        <v>0.31</v>
      </c>
      <c r="U41" s="356">
        <f t="shared" si="4"/>
        <v>3.8532999999999999</v>
      </c>
      <c r="V41" s="356"/>
      <c r="W41" s="356"/>
      <c r="X41" s="88">
        <v>26</v>
      </c>
      <c r="Y41" s="88">
        <v>20</v>
      </c>
      <c r="Z41" s="87">
        <v>54</v>
      </c>
      <c r="AA41" s="247" t="s">
        <v>885</v>
      </c>
      <c r="AB41" s="239" t="s">
        <v>880</v>
      </c>
      <c r="AC41" s="96">
        <v>4.1669999999999998</v>
      </c>
      <c r="AE41" s="97">
        <v>71.59</v>
      </c>
      <c r="AF41" s="97">
        <v>539.74</v>
      </c>
      <c r="AG41" s="435">
        <v>365</v>
      </c>
      <c r="AH41" s="30">
        <v>270.79349999999999</v>
      </c>
      <c r="AI41" s="435">
        <v>10271</v>
      </c>
      <c r="AJ41" s="30">
        <v>7340.6836999999996</v>
      </c>
      <c r="AK41" s="435">
        <v>1394</v>
      </c>
      <c r="AL41" s="30">
        <v>840.58199999999999</v>
      </c>
      <c r="AM41" s="238">
        <v>4.2339232849500767</v>
      </c>
      <c r="AN41" s="238" t="s">
        <v>1000</v>
      </c>
      <c r="AO41" s="87">
        <v>1</v>
      </c>
      <c r="AP41" s="87">
        <v>11.38</v>
      </c>
      <c r="AQ41" s="87">
        <v>3.47</v>
      </c>
      <c r="AR41" s="87">
        <v>1.6</v>
      </c>
      <c r="AV41" s="96">
        <v>0.71</v>
      </c>
      <c r="AW41" s="448">
        <v>7.1050431875174143</v>
      </c>
      <c r="AX41" s="98"/>
      <c r="AY41" s="99"/>
      <c r="AZ41" s="87">
        <v>1.145739641943734</v>
      </c>
      <c r="BA41" s="87">
        <v>1.1773630434782607</v>
      </c>
      <c r="BB41" s="87">
        <v>36.682142857142857</v>
      </c>
      <c r="BC41" s="87">
        <v>6.9183703703703703</v>
      </c>
      <c r="BD41" s="87">
        <v>0.25216197459345274</v>
      </c>
      <c r="BE41" s="87" t="s">
        <v>1125</v>
      </c>
      <c r="BF41" s="87">
        <v>1.1458776828644501</v>
      </c>
      <c r="BG41" s="87">
        <v>1.1748586341887779</v>
      </c>
      <c r="BH41" s="87">
        <v>36.63015818363273</v>
      </c>
      <c r="BI41" s="87">
        <v>4.9347599999999998</v>
      </c>
      <c r="BJ41" s="395">
        <v>2.6770903785208768E-2</v>
      </c>
      <c r="BK41" s="87" t="s">
        <v>1126</v>
      </c>
      <c r="BL41" s="87" t="s">
        <v>1135</v>
      </c>
    </row>
    <row r="42" spans="1:64" s="87" customFormat="1" ht="20.25" customHeight="1" thickBot="1" x14ac:dyDescent="0.35">
      <c r="A42" s="82" t="s">
        <v>246</v>
      </c>
      <c r="B42" s="87" t="s">
        <v>81</v>
      </c>
      <c r="C42" s="87" t="s">
        <v>247</v>
      </c>
      <c r="D42" s="87" t="s">
        <v>1240</v>
      </c>
      <c r="E42" s="87" t="s">
        <v>240</v>
      </c>
      <c r="F42" s="87" t="s">
        <v>241</v>
      </c>
      <c r="G42" s="87" t="s">
        <v>248</v>
      </c>
      <c r="H42" s="93" t="s">
        <v>696</v>
      </c>
      <c r="I42" s="87" t="s">
        <v>83</v>
      </c>
      <c r="J42" s="87" t="s">
        <v>84</v>
      </c>
      <c r="L42" s="94">
        <v>44725</v>
      </c>
      <c r="M42" s="95">
        <v>44746</v>
      </c>
      <c r="N42" s="87">
        <v>7.88</v>
      </c>
      <c r="O42" s="87">
        <v>3.1</v>
      </c>
      <c r="S42" s="369"/>
      <c r="T42" s="369"/>
      <c r="U42" s="354">
        <f t="shared" ref="U42:U43" si="5">O42*9.63</f>
        <v>29.853000000000002</v>
      </c>
      <c r="V42" s="355"/>
      <c r="W42" s="355"/>
      <c r="X42" s="88">
        <v>34</v>
      </c>
      <c r="Y42" s="88">
        <v>28</v>
      </c>
      <c r="Z42" s="87">
        <v>38</v>
      </c>
      <c r="AA42" s="247" t="s">
        <v>882</v>
      </c>
      <c r="AB42" s="239" t="s">
        <v>878</v>
      </c>
      <c r="AC42" s="96">
        <v>2.5529999999999999</v>
      </c>
      <c r="AE42" s="97">
        <v>57.17</v>
      </c>
      <c r="AF42" s="97">
        <v>1286.51</v>
      </c>
      <c r="AG42" s="435">
        <v>2004</v>
      </c>
      <c r="AH42" s="30">
        <v>1486.7675999999999</v>
      </c>
      <c r="AI42" s="435">
        <v>9851</v>
      </c>
      <c r="AJ42" s="30">
        <v>7040.5096999999996</v>
      </c>
      <c r="AK42" s="435">
        <v>1227</v>
      </c>
      <c r="AL42" s="30">
        <v>739.88099999999997</v>
      </c>
      <c r="AM42" s="238">
        <v>23.837317609527048</v>
      </c>
      <c r="AN42" s="339" t="s">
        <v>999</v>
      </c>
      <c r="AO42" s="87">
        <v>1.49</v>
      </c>
      <c r="AP42" s="87">
        <v>28.54</v>
      </c>
      <c r="AQ42" s="87">
        <v>2.17</v>
      </c>
      <c r="AR42" s="87">
        <v>1.1000000000000001</v>
      </c>
      <c r="AV42" s="96">
        <v>0.61</v>
      </c>
      <c r="AW42" s="448">
        <v>0.98374322634431022</v>
      </c>
      <c r="AX42" s="98"/>
      <c r="AY42" s="99"/>
      <c r="AZ42" s="87">
        <v>2.7309547314578007</v>
      </c>
      <c r="BA42" s="87">
        <v>6.464206956521739</v>
      </c>
      <c r="BB42" s="87">
        <v>35.182142857142857</v>
      </c>
      <c r="BC42" s="87">
        <v>6.0895555555555561</v>
      </c>
      <c r="BD42" s="87">
        <v>1.4229973110510461</v>
      </c>
      <c r="BE42" s="87" t="s">
        <v>1125</v>
      </c>
      <c r="BF42" s="87">
        <v>2.7312837621483377</v>
      </c>
      <c r="BG42" s="87">
        <v>6.4504567203131797</v>
      </c>
      <c r="BH42" s="87">
        <v>35.132283932135728</v>
      </c>
      <c r="BI42" s="87">
        <v>4.3435800000000002</v>
      </c>
      <c r="BJ42" s="395">
        <v>0.13256831687295415</v>
      </c>
      <c r="BK42" s="87" t="s">
        <v>1126</v>
      </c>
      <c r="BL42" s="87" t="s">
        <v>1136</v>
      </c>
    </row>
    <row r="43" spans="1:64" s="87" customFormat="1" ht="20.25" customHeight="1" thickBot="1" x14ac:dyDescent="0.35">
      <c r="A43" s="82" t="s">
        <v>249</v>
      </c>
      <c r="B43" s="87" t="s">
        <v>81</v>
      </c>
      <c r="C43" s="87" t="s">
        <v>250</v>
      </c>
      <c r="D43" s="87" t="s">
        <v>1240</v>
      </c>
      <c r="E43" s="87" t="s">
        <v>240</v>
      </c>
      <c r="F43" s="87" t="s">
        <v>241</v>
      </c>
      <c r="G43" s="87" t="s">
        <v>251</v>
      </c>
      <c r="H43" s="93" t="s">
        <v>697</v>
      </c>
      <c r="I43" s="87" t="s">
        <v>83</v>
      </c>
      <c r="J43" s="87" t="s">
        <v>84</v>
      </c>
      <c r="L43" s="94">
        <v>44725</v>
      </c>
      <c r="M43" s="95">
        <v>44746</v>
      </c>
      <c r="N43" s="87">
        <v>8.3000000000000007</v>
      </c>
      <c r="O43" s="87">
        <v>1.1000000000000001</v>
      </c>
      <c r="S43" s="369"/>
      <c r="T43" s="369"/>
      <c r="U43" s="354">
        <f t="shared" si="5"/>
        <v>10.593000000000002</v>
      </c>
      <c r="V43" s="355"/>
      <c r="W43" s="355"/>
      <c r="X43" s="88">
        <v>40</v>
      </c>
      <c r="Y43" s="88">
        <v>26</v>
      </c>
      <c r="Z43" s="87">
        <v>34</v>
      </c>
      <c r="AA43" s="247" t="s">
        <v>882</v>
      </c>
      <c r="AB43" s="239" t="s">
        <v>878</v>
      </c>
      <c r="AC43" s="96">
        <v>2.5609999999999999</v>
      </c>
      <c r="AE43" s="97">
        <v>98.04</v>
      </c>
      <c r="AF43" s="97">
        <v>1006.87</v>
      </c>
      <c r="AG43" s="435">
        <v>1335</v>
      </c>
      <c r="AH43" s="30">
        <v>990.43650000000002</v>
      </c>
      <c r="AI43" s="435">
        <v>9178</v>
      </c>
      <c r="AJ43" s="30">
        <v>6559.5165999999999</v>
      </c>
      <c r="AK43" s="435">
        <v>1755</v>
      </c>
      <c r="AL43" s="30">
        <v>1058.2649999999999</v>
      </c>
      <c r="AM43" s="238">
        <v>16.048238720032757</v>
      </c>
      <c r="AN43" s="339" t="s">
        <v>999</v>
      </c>
      <c r="AO43" s="87">
        <v>1.25</v>
      </c>
      <c r="AP43" s="87">
        <v>15.98</v>
      </c>
      <c r="AQ43" s="87">
        <v>3.61</v>
      </c>
      <c r="AR43" s="87">
        <v>0.97</v>
      </c>
      <c r="AV43" s="96">
        <v>0.78</v>
      </c>
      <c r="AW43" s="448">
        <v>1.8980963045912653</v>
      </c>
      <c r="AX43" s="98"/>
      <c r="AY43" s="99"/>
      <c r="AZ43" s="87">
        <v>2.1373455242966752</v>
      </c>
      <c r="BA43" s="87">
        <v>4.3062456521739128</v>
      </c>
      <c r="BB43" s="87">
        <v>32.778571428571425</v>
      </c>
      <c r="BC43" s="87">
        <v>8.7099999999999991</v>
      </c>
      <c r="BD43" s="87">
        <v>0.94547392939247699</v>
      </c>
      <c r="BE43" s="87" t="s">
        <v>1125</v>
      </c>
      <c r="BF43" s="87">
        <v>2.1376030358056264</v>
      </c>
      <c r="BG43" s="87">
        <v>4.2970856894301868</v>
      </c>
      <c r="BH43" s="87">
        <v>32.732118762475046</v>
      </c>
      <c r="BI43" s="87">
        <v>6.2126999999999999</v>
      </c>
      <c r="BJ43" s="395">
        <v>9.469220640162021E-2</v>
      </c>
      <c r="BK43" s="87" t="s">
        <v>1126</v>
      </c>
      <c r="BL43" s="87" t="s">
        <v>1136</v>
      </c>
    </row>
    <row r="44" spans="1:64" s="87" customFormat="1" ht="20.25" customHeight="1" thickBot="1" x14ac:dyDescent="0.35">
      <c r="A44" s="82" t="s">
        <v>252</v>
      </c>
      <c r="B44" s="87" t="s">
        <v>81</v>
      </c>
      <c r="C44" s="87" t="s">
        <v>253</v>
      </c>
      <c r="D44" s="87" t="s">
        <v>1240</v>
      </c>
      <c r="E44" s="87" t="s">
        <v>39</v>
      </c>
      <c r="F44" s="87" t="s">
        <v>254</v>
      </c>
      <c r="G44" s="87" t="s">
        <v>255</v>
      </c>
      <c r="H44" s="93" t="s">
        <v>698</v>
      </c>
      <c r="I44" s="87" t="s">
        <v>83</v>
      </c>
      <c r="J44" s="87" t="s">
        <v>84</v>
      </c>
      <c r="L44" s="94">
        <v>44725</v>
      </c>
      <c r="M44" s="95">
        <v>44746</v>
      </c>
      <c r="N44" s="87">
        <v>7.94</v>
      </c>
      <c r="O44" s="87">
        <v>1.2</v>
      </c>
      <c r="U44" s="356">
        <f>10.92*O44</f>
        <v>13.103999999999999</v>
      </c>
      <c r="V44" s="356"/>
      <c r="W44" s="356"/>
      <c r="X44" s="88">
        <v>20</v>
      </c>
      <c r="Y44" s="88">
        <v>28</v>
      </c>
      <c r="Z44" s="87">
        <v>52</v>
      </c>
      <c r="AA44" s="247" t="s">
        <v>883</v>
      </c>
      <c r="AB44" s="239" t="s">
        <v>888</v>
      </c>
      <c r="AC44" s="96">
        <v>4.9249999999999998</v>
      </c>
      <c r="AE44" s="97">
        <v>118.95</v>
      </c>
      <c r="AF44" s="97">
        <v>649.89</v>
      </c>
      <c r="AG44" s="435">
        <v>1020</v>
      </c>
      <c r="AH44" s="30">
        <v>756.73800000000006</v>
      </c>
      <c r="AI44" s="435">
        <v>10276</v>
      </c>
      <c r="AJ44" s="30">
        <v>7344.2572</v>
      </c>
      <c r="AK44" s="435">
        <v>1111</v>
      </c>
      <c r="AL44" s="30">
        <v>669.93299999999999</v>
      </c>
      <c r="AM44" s="238">
        <v>11.954480777781205</v>
      </c>
      <c r="AN44" s="238" t="s">
        <v>1000</v>
      </c>
      <c r="AO44" s="87">
        <v>0.88</v>
      </c>
      <c r="AP44" s="87">
        <v>27.96</v>
      </c>
      <c r="AQ44" s="87">
        <v>2.92</v>
      </c>
      <c r="AR44" s="87">
        <v>2.0499999999999998</v>
      </c>
      <c r="AV44" s="96">
        <v>1.57</v>
      </c>
      <c r="AW44" s="448">
        <v>9.878610297195479</v>
      </c>
      <c r="AX44" s="98"/>
      <c r="AY44" s="99"/>
      <c r="AZ44" s="87">
        <v>1.3795618925831201</v>
      </c>
      <c r="BA44" s="87">
        <v>3.2901652173913045</v>
      </c>
      <c r="BB44" s="87">
        <v>36.700000000000003</v>
      </c>
      <c r="BC44" s="87">
        <v>5.513851851851852</v>
      </c>
      <c r="BD44" s="87">
        <v>0.71615200776245502</v>
      </c>
      <c r="BE44" s="87" t="s">
        <v>1125</v>
      </c>
      <c r="BF44" s="87">
        <v>1.3797281048593348</v>
      </c>
      <c r="BG44" s="87">
        <v>3.2831665941713788</v>
      </c>
      <c r="BH44" s="87">
        <v>36.647990019960076</v>
      </c>
      <c r="BI44" s="87">
        <v>3.9329400000000003</v>
      </c>
      <c r="BJ44" s="395">
        <v>7.256607094035733E-2</v>
      </c>
      <c r="BK44" s="87" t="s">
        <v>1126</v>
      </c>
      <c r="BL44" s="87" t="s">
        <v>1136</v>
      </c>
    </row>
    <row r="45" spans="1:64" s="87" customFormat="1" ht="20.25" customHeight="1" thickBot="1" x14ac:dyDescent="0.35">
      <c r="A45" s="82" t="s">
        <v>256</v>
      </c>
      <c r="B45" s="87" t="s">
        <v>81</v>
      </c>
      <c r="C45" s="87" t="s">
        <v>257</v>
      </c>
      <c r="D45" s="87" t="s">
        <v>1240</v>
      </c>
      <c r="E45" s="87" t="s">
        <v>39</v>
      </c>
      <c r="F45" s="87" t="s">
        <v>254</v>
      </c>
      <c r="G45" s="87" t="s">
        <v>258</v>
      </c>
      <c r="H45" s="93" t="s">
        <v>699</v>
      </c>
      <c r="I45" s="87" t="s">
        <v>83</v>
      </c>
      <c r="J45" s="87" t="s">
        <v>84</v>
      </c>
      <c r="L45" s="94">
        <v>44725</v>
      </c>
      <c r="M45" s="95">
        <v>44746</v>
      </c>
      <c r="N45" s="87">
        <v>8.15</v>
      </c>
      <c r="O45" s="87">
        <v>0.92</v>
      </c>
      <c r="U45" s="356">
        <f t="shared" ref="U45:U57" si="6">O45*12.43</f>
        <v>11.435600000000001</v>
      </c>
      <c r="V45" s="356"/>
      <c r="W45" s="356"/>
      <c r="X45" s="88">
        <v>20</v>
      </c>
      <c r="Y45" s="88">
        <v>26</v>
      </c>
      <c r="Z45" s="87">
        <v>54</v>
      </c>
      <c r="AA45" s="247" t="s">
        <v>886</v>
      </c>
      <c r="AB45" s="239" t="s">
        <v>881</v>
      </c>
      <c r="AC45" s="96">
        <v>4.633</v>
      </c>
      <c r="AE45" s="97">
        <v>228.24</v>
      </c>
      <c r="AF45" s="97">
        <v>821.58</v>
      </c>
      <c r="AG45" s="435">
        <v>876</v>
      </c>
      <c r="AH45" s="30">
        <v>649.90440000000001</v>
      </c>
      <c r="AI45" s="435">
        <v>10326</v>
      </c>
      <c r="AJ45" s="30">
        <v>7379.9921999999997</v>
      </c>
      <c r="AK45" s="435">
        <v>1177</v>
      </c>
      <c r="AL45" s="30">
        <v>709.73099999999999</v>
      </c>
      <c r="AM45" s="238">
        <v>10.218746935793408</v>
      </c>
      <c r="AN45" s="238" t="s">
        <v>1000</v>
      </c>
      <c r="AO45" s="87">
        <v>0.89</v>
      </c>
      <c r="AP45" s="87">
        <v>19.95</v>
      </c>
      <c r="AQ45" s="87">
        <v>3.85</v>
      </c>
      <c r="AR45" s="87">
        <v>2.2599999999999998</v>
      </c>
      <c r="AV45" s="96">
        <v>1.63</v>
      </c>
      <c r="AW45" s="448">
        <v>9.1909204846121693</v>
      </c>
      <c r="AX45" s="98"/>
      <c r="AY45" s="99"/>
      <c r="AZ45" s="87">
        <v>1.7440189258312018</v>
      </c>
      <c r="BA45" s="87">
        <v>2.8256713043478263</v>
      </c>
      <c r="BB45" s="87">
        <v>36.878571428571426</v>
      </c>
      <c r="BC45" s="87">
        <v>5.8414074074074076</v>
      </c>
      <c r="BD45" s="87">
        <v>0.61139393274855214</v>
      </c>
      <c r="BE45" s="87" t="s">
        <v>1125</v>
      </c>
      <c r="BF45" s="87">
        <v>1.7442290485933505</v>
      </c>
      <c r="BG45" s="87">
        <v>2.8196607220530665</v>
      </c>
      <c r="BH45" s="87">
        <v>36.826308383233531</v>
      </c>
      <c r="BI45" s="87">
        <v>4.1665800000000006</v>
      </c>
      <c r="BJ45" s="395">
        <v>6.1893330395949506E-2</v>
      </c>
      <c r="BK45" s="87" t="s">
        <v>1126</v>
      </c>
      <c r="BL45" s="87" t="s">
        <v>1136</v>
      </c>
    </row>
    <row r="46" spans="1:64" s="87" customFormat="1" ht="20.25" customHeight="1" thickBot="1" x14ac:dyDescent="0.35">
      <c r="A46" s="82" t="s">
        <v>259</v>
      </c>
      <c r="B46" s="87" t="s">
        <v>81</v>
      </c>
      <c r="C46" s="87" t="s">
        <v>260</v>
      </c>
      <c r="D46" s="87" t="s">
        <v>1240</v>
      </c>
      <c r="E46" s="87" t="s">
        <v>39</v>
      </c>
      <c r="F46" s="87" t="s">
        <v>254</v>
      </c>
      <c r="G46" s="87" t="s">
        <v>261</v>
      </c>
      <c r="H46" s="93" t="s">
        <v>700</v>
      </c>
      <c r="I46" s="87" t="s">
        <v>83</v>
      </c>
      <c r="J46" s="87" t="s">
        <v>84</v>
      </c>
      <c r="L46" s="94">
        <v>44725</v>
      </c>
      <c r="M46" s="95">
        <v>44746</v>
      </c>
      <c r="N46" s="87">
        <v>8.26</v>
      </c>
      <c r="O46" s="87">
        <v>0.63</v>
      </c>
      <c r="U46" s="356">
        <f t="shared" si="6"/>
        <v>7.8308999999999997</v>
      </c>
      <c r="V46" s="356"/>
      <c r="W46" s="356"/>
      <c r="X46" s="88">
        <v>22</v>
      </c>
      <c r="Y46" s="88">
        <v>26</v>
      </c>
      <c r="Z46" s="87">
        <v>52</v>
      </c>
      <c r="AA46" s="247" t="s">
        <v>885</v>
      </c>
      <c r="AB46" s="239" t="s">
        <v>880</v>
      </c>
      <c r="AC46" s="96">
        <v>3.742</v>
      </c>
      <c r="AE46" s="97">
        <v>35.79</v>
      </c>
      <c r="AF46" s="97">
        <v>188.91</v>
      </c>
      <c r="AG46" s="435">
        <v>611</v>
      </c>
      <c r="AH46" s="30">
        <v>453.30090000000001</v>
      </c>
      <c r="AI46" s="435">
        <v>10276</v>
      </c>
      <c r="AJ46" s="30">
        <v>7344.2572</v>
      </c>
      <c r="AK46" s="435">
        <v>951</v>
      </c>
      <c r="AL46" s="30">
        <v>573.45299999999997</v>
      </c>
      <c r="AM46" s="238">
        <v>7.2044657027114036</v>
      </c>
      <c r="AN46" s="238" t="s">
        <v>1000</v>
      </c>
      <c r="AO46" s="87">
        <v>0.71</v>
      </c>
      <c r="AP46" s="87">
        <v>11.44</v>
      </c>
      <c r="AQ46" s="87">
        <v>3.8</v>
      </c>
      <c r="AR46" s="87">
        <v>0.61</v>
      </c>
      <c r="AV46" s="96">
        <v>0.95</v>
      </c>
      <c r="AW46" s="448">
        <v>7.1121586025232233</v>
      </c>
      <c r="AX46" s="98"/>
      <c r="AY46" s="99"/>
      <c r="AZ46" s="87">
        <v>0.40101099744245522</v>
      </c>
      <c r="BA46" s="87">
        <v>1.9708734782608694</v>
      </c>
      <c r="BB46" s="87">
        <v>36.700000000000003</v>
      </c>
      <c r="BC46" s="87">
        <v>4.719777777777777</v>
      </c>
      <c r="BD46" s="87">
        <v>0.43308172792854222</v>
      </c>
      <c r="BE46" s="87" t="s">
        <v>1125</v>
      </c>
      <c r="BF46" s="87">
        <v>0.40105931202046036</v>
      </c>
      <c r="BG46" s="87">
        <v>1.9666811657242278</v>
      </c>
      <c r="BH46" s="87">
        <v>36.647990019960076</v>
      </c>
      <c r="BI46" s="87">
        <v>3.3665400000000001</v>
      </c>
      <c r="BJ46" s="395">
        <v>4.6403393273390922E-2</v>
      </c>
      <c r="BK46" s="87" t="s">
        <v>1126</v>
      </c>
      <c r="BL46" s="87" t="s">
        <v>1136</v>
      </c>
    </row>
    <row r="47" spans="1:64" s="87" customFormat="1" ht="20.25" customHeight="1" thickBot="1" x14ac:dyDescent="0.35">
      <c r="A47" s="82" t="s">
        <v>262</v>
      </c>
      <c r="B47" s="87" t="s">
        <v>81</v>
      </c>
      <c r="C47" s="87" t="s">
        <v>263</v>
      </c>
      <c r="D47" s="87" t="s">
        <v>1240</v>
      </c>
      <c r="E47" s="87" t="s">
        <v>39</v>
      </c>
      <c r="F47" s="87" t="s">
        <v>254</v>
      </c>
      <c r="G47" s="87" t="s">
        <v>264</v>
      </c>
      <c r="H47" s="93" t="s">
        <v>701</v>
      </c>
      <c r="I47" s="87" t="s">
        <v>83</v>
      </c>
      <c r="J47" s="87" t="s">
        <v>84</v>
      </c>
      <c r="L47" s="94">
        <v>44725</v>
      </c>
      <c r="M47" s="95">
        <v>44746</v>
      </c>
      <c r="N47" s="87">
        <v>8.42</v>
      </c>
      <c r="O47" s="87">
        <v>0.57999999999999996</v>
      </c>
      <c r="U47" s="356">
        <f t="shared" si="6"/>
        <v>7.2093999999999996</v>
      </c>
      <c r="V47" s="356"/>
      <c r="W47" s="356"/>
      <c r="X47" s="88">
        <v>28</v>
      </c>
      <c r="Y47" s="88">
        <v>20</v>
      </c>
      <c r="Z47" s="87">
        <v>52</v>
      </c>
      <c r="AA47" s="247" t="s">
        <v>885</v>
      </c>
      <c r="AB47" s="239" t="s">
        <v>880</v>
      </c>
      <c r="AC47" s="96">
        <v>4.6369999999999996</v>
      </c>
      <c r="AE47" s="97">
        <v>100.39</v>
      </c>
      <c r="AF47" s="97">
        <v>526.14</v>
      </c>
      <c r="AG47" s="435">
        <v>775</v>
      </c>
      <c r="AH47" s="30">
        <v>574.97249999999997</v>
      </c>
      <c r="AI47" s="435">
        <v>8883</v>
      </c>
      <c r="AJ47" s="30">
        <v>6348.6800999999996</v>
      </c>
      <c r="AK47" s="435">
        <v>1576</v>
      </c>
      <c r="AL47" s="30">
        <v>950.32799999999997</v>
      </c>
      <c r="AM47" s="238">
        <v>9.5176591717736052</v>
      </c>
      <c r="AN47" s="238" t="s">
        <v>1000</v>
      </c>
      <c r="AO47" s="87">
        <v>0.83</v>
      </c>
      <c r="AP47" s="87">
        <v>18.63</v>
      </c>
      <c r="AQ47" s="87">
        <v>3.35</v>
      </c>
      <c r="AR47" s="87">
        <v>2.34</v>
      </c>
      <c r="AV47" s="96">
        <v>1.31</v>
      </c>
      <c r="AW47" s="448">
        <v>1.855928661000418</v>
      </c>
      <c r="AX47" s="98"/>
      <c r="AY47" s="99"/>
      <c r="AZ47" s="87">
        <v>1.1168700767263426</v>
      </c>
      <c r="BA47" s="87">
        <v>2.4998804347826082</v>
      </c>
      <c r="BB47" s="87">
        <v>31.725000000000001</v>
      </c>
      <c r="BC47" s="87">
        <v>7.821629629629629</v>
      </c>
      <c r="BD47" s="87">
        <v>0.56218531503453661</v>
      </c>
      <c r="BE47" s="87" t="s">
        <v>1125</v>
      </c>
      <c r="BF47" s="87">
        <v>1.1170046393861892</v>
      </c>
      <c r="BG47" s="87">
        <v>2.4945628534145281</v>
      </c>
      <c r="BH47" s="87">
        <v>31.680040419161674</v>
      </c>
      <c r="BI47" s="87">
        <v>5.57904</v>
      </c>
      <c r="BJ47" s="395">
        <v>6.1035559279313423E-2</v>
      </c>
      <c r="BK47" s="87" t="s">
        <v>1126</v>
      </c>
      <c r="BL47" s="87" t="s">
        <v>1136</v>
      </c>
    </row>
    <row r="48" spans="1:64" s="87" customFormat="1" ht="20.25" customHeight="1" thickBot="1" x14ac:dyDescent="0.35">
      <c r="A48" s="82" t="s">
        <v>265</v>
      </c>
      <c r="B48" s="87" t="s">
        <v>81</v>
      </c>
      <c r="C48" s="87" t="s">
        <v>266</v>
      </c>
      <c r="D48" s="87" t="s">
        <v>1240</v>
      </c>
      <c r="E48" s="87" t="s">
        <v>267</v>
      </c>
      <c r="F48" s="87" t="s">
        <v>268</v>
      </c>
      <c r="G48" s="87" t="s">
        <v>269</v>
      </c>
      <c r="H48" s="87" t="s">
        <v>270</v>
      </c>
      <c r="I48" s="87" t="s">
        <v>83</v>
      </c>
      <c r="J48" s="87" t="s">
        <v>84</v>
      </c>
      <c r="L48" s="94">
        <v>44725</v>
      </c>
      <c r="M48" s="95">
        <v>44746</v>
      </c>
      <c r="N48" s="87">
        <v>8.39</v>
      </c>
      <c r="O48" s="87">
        <v>0.13</v>
      </c>
      <c r="U48" s="356">
        <f t="shared" si="6"/>
        <v>1.6159000000000001</v>
      </c>
      <c r="V48" s="356"/>
      <c r="W48" s="356"/>
      <c r="X48" s="88">
        <v>20</v>
      </c>
      <c r="Y48" s="88">
        <v>18</v>
      </c>
      <c r="Z48" s="87">
        <v>62</v>
      </c>
      <c r="AA48" s="247" t="s">
        <v>886</v>
      </c>
      <c r="AB48" s="239" t="s">
        <v>881</v>
      </c>
      <c r="AC48" s="96">
        <v>1.4359999999999999</v>
      </c>
      <c r="AE48" s="97">
        <v>88.95</v>
      </c>
      <c r="AF48" s="97">
        <v>288.11</v>
      </c>
      <c r="AG48" s="436">
        <v>98</v>
      </c>
      <c r="AH48" s="30">
        <v>72.706199999999995</v>
      </c>
      <c r="AI48" s="436">
        <v>2621</v>
      </c>
      <c r="AJ48" s="30">
        <v>1873.2287000000001</v>
      </c>
      <c r="AK48" s="436">
        <v>415</v>
      </c>
      <c r="AL48" s="30">
        <v>250.245</v>
      </c>
      <c r="AM48" s="238">
        <v>2.2313258735769574</v>
      </c>
      <c r="AN48" s="238" t="s">
        <v>1000</v>
      </c>
      <c r="AO48" s="87">
        <v>0.44</v>
      </c>
      <c r="AP48" s="87">
        <v>8.11</v>
      </c>
      <c r="AQ48" s="87">
        <v>2.2200000000000002</v>
      </c>
      <c r="AR48" s="87">
        <v>0.52</v>
      </c>
      <c r="AV48" s="96">
        <v>0.68</v>
      </c>
      <c r="AW48" s="448">
        <v>1.6699137211244084E-2</v>
      </c>
      <c r="AX48" s="98"/>
      <c r="AY48" s="99"/>
      <c r="AZ48" s="87">
        <v>0.61158900255754478</v>
      </c>
      <c r="BA48" s="87">
        <v>0.31611391304347825</v>
      </c>
      <c r="BB48" s="87">
        <v>9.3607142857142858</v>
      </c>
      <c r="BC48" s="87">
        <v>2.0596296296296295</v>
      </c>
      <c r="BD48" s="87">
        <v>0.13228756340889211</v>
      </c>
      <c r="BE48" s="87" t="s">
        <v>1125</v>
      </c>
      <c r="BF48" s="87">
        <v>0.6116626879795396</v>
      </c>
      <c r="BG48" s="87">
        <v>0.31544149630274032</v>
      </c>
      <c r="BH48" s="87">
        <v>9.3474486027944117</v>
      </c>
      <c r="BI48" s="87">
        <v>1.4691000000000001</v>
      </c>
      <c r="BJ48" s="395">
        <v>2.6860594571551714E-2</v>
      </c>
      <c r="BK48" s="87" t="s">
        <v>1126</v>
      </c>
      <c r="BL48" s="87" t="s">
        <v>1135</v>
      </c>
    </row>
    <row r="49" spans="1:64" s="87" customFormat="1" ht="20.25" customHeight="1" thickBot="1" x14ac:dyDescent="0.35">
      <c r="A49" s="82" t="s">
        <v>271</v>
      </c>
      <c r="B49" s="87" t="s">
        <v>81</v>
      </c>
      <c r="C49" s="87" t="s">
        <v>272</v>
      </c>
      <c r="D49" s="87" t="s">
        <v>1240</v>
      </c>
      <c r="E49" s="87" t="s">
        <v>267</v>
      </c>
      <c r="F49" s="87" t="s">
        <v>268</v>
      </c>
      <c r="G49" s="87" t="s">
        <v>273</v>
      </c>
      <c r="H49" s="87" t="s">
        <v>274</v>
      </c>
      <c r="I49" s="87" t="s">
        <v>83</v>
      </c>
      <c r="J49" s="87" t="s">
        <v>84</v>
      </c>
      <c r="L49" s="94">
        <v>44725</v>
      </c>
      <c r="M49" s="95">
        <v>44746</v>
      </c>
      <c r="N49" s="87">
        <v>8.15</v>
      </c>
      <c r="O49" s="87">
        <v>0.17</v>
      </c>
      <c r="U49" s="356">
        <f t="shared" si="6"/>
        <v>2.1131000000000002</v>
      </c>
      <c r="V49" s="356"/>
      <c r="W49" s="356"/>
      <c r="X49" s="88">
        <v>12</v>
      </c>
      <c r="Y49" s="88">
        <v>18</v>
      </c>
      <c r="Z49" s="87">
        <v>70</v>
      </c>
      <c r="AA49" s="247" t="s">
        <v>886</v>
      </c>
      <c r="AB49" s="239" t="s">
        <v>881</v>
      </c>
      <c r="AC49" s="96">
        <v>2.0910000000000002</v>
      </c>
      <c r="AE49" s="97">
        <v>179.33</v>
      </c>
      <c r="AF49" s="97">
        <v>275.75</v>
      </c>
      <c r="AG49" s="436">
        <v>143</v>
      </c>
      <c r="AH49" s="30">
        <v>106.0917</v>
      </c>
      <c r="AI49" s="436">
        <v>2282</v>
      </c>
      <c r="AJ49" s="30">
        <v>1630.9454000000001</v>
      </c>
      <c r="AK49" s="436">
        <v>335</v>
      </c>
      <c r="AL49" s="30">
        <v>202.005</v>
      </c>
      <c r="AM49" s="238">
        <v>3.5044595365436821</v>
      </c>
      <c r="AN49" s="238" t="s">
        <v>1000</v>
      </c>
      <c r="AO49" s="87">
        <v>0.28000000000000003</v>
      </c>
      <c r="AP49" s="87">
        <v>6.65</v>
      </c>
      <c r="AQ49" s="87">
        <v>2.0299999999999998</v>
      </c>
      <c r="AR49" s="87">
        <v>0.76</v>
      </c>
      <c r="AV49" s="96">
        <v>0.53</v>
      </c>
      <c r="AW49" s="448">
        <v>3.3542976939203349E-2</v>
      </c>
      <c r="AX49" s="98"/>
      <c r="AY49" s="99"/>
      <c r="AZ49" s="87">
        <v>0.58535166240409209</v>
      </c>
      <c r="BA49" s="87">
        <v>0.46126826086956524</v>
      </c>
      <c r="BB49" s="87">
        <v>8.15</v>
      </c>
      <c r="BC49" s="87">
        <v>1.6625925925925924</v>
      </c>
      <c r="BD49" s="87">
        <v>0.20824600874776131</v>
      </c>
      <c r="BE49" s="87" t="s">
        <v>1125</v>
      </c>
      <c r="BF49" s="87">
        <v>0.58542218670076718</v>
      </c>
      <c r="BG49" s="87">
        <v>0.46028708133971286</v>
      </c>
      <c r="BH49" s="87">
        <v>8.1384500998003997</v>
      </c>
      <c r="BI49" s="87">
        <v>1.1859</v>
      </c>
      <c r="BJ49" s="395">
        <v>4.4386156820580273E-2</v>
      </c>
      <c r="BK49" s="87" t="s">
        <v>1126</v>
      </c>
      <c r="BL49" s="87" t="s">
        <v>1135</v>
      </c>
    </row>
    <row r="50" spans="1:64" s="87" customFormat="1" ht="20.25" customHeight="1" thickBot="1" x14ac:dyDescent="0.35">
      <c r="A50" s="82" t="s">
        <v>275</v>
      </c>
      <c r="B50" s="87" t="s">
        <v>81</v>
      </c>
      <c r="C50" s="87" t="s">
        <v>276</v>
      </c>
      <c r="D50" s="87" t="s">
        <v>1240</v>
      </c>
      <c r="E50" s="87" t="s">
        <v>267</v>
      </c>
      <c r="F50" s="87" t="s">
        <v>268</v>
      </c>
      <c r="G50" s="87" t="s">
        <v>277</v>
      </c>
      <c r="H50" s="93" t="s">
        <v>702</v>
      </c>
      <c r="I50" s="87" t="s">
        <v>83</v>
      </c>
      <c r="J50" s="87" t="s">
        <v>84</v>
      </c>
      <c r="L50" s="94">
        <v>44725</v>
      </c>
      <c r="M50" s="95">
        <v>44746</v>
      </c>
      <c r="N50" s="87">
        <v>8.2799999999999994</v>
      </c>
      <c r="O50" s="87">
        <v>0.13</v>
      </c>
      <c r="U50" s="356">
        <f t="shared" si="6"/>
        <v>1.6159000000000001</v>
      </c>
      <c r="V50" s="356"/>
      <c r="W50" s="356"/>
      <c r="X50" s="88">
        <v>14</v>
      </c>
      <c r="Y50" s="88">
        <v>16</v>
      </c>
      <c r="Z50" s="87">
        <v>70</v>
      </c>
      <c r="AA50" s="247" t="s">
        <v>886</v>
      </c>
      <c r="AB50" s="239" t="s">
        <v>881</v>
      </c>
      <c r="AC50" s="96">
        <v>0.85599999999999998</v>
      </c>
      <c r="AE50" s="97">
        <v>35.450000000000003</v>
      </c>
      <c r="AF50" s="97">
        <v>102.34</v>
      </c>
      <c r="AG50" s="435">
        <v>62</v>
      </c>
      <c r="AH50" s="30">
        <v>45.997799999999998</v>
      </c>
      <c r="AI50" s="435">
        <v>1497</v>
      </c>
      <c r="AJ50" s="30">
        <v>1069.9059</v>
      </c>
      <c r="AK50" s="435">
        <v>227</v>
      </c>
      <c r="AL50" s="30">
        <v>136.881</v>
      </c>
      <c r="AM50" s="238">
        <v>1.8725644096648362</v>
      </c>
      <c r="AN50" s="238" t="s">
        <v>1000</v>
      </c>
      <c r="AO50" s="87">
        <v>0.25</v>
      </c>
      <c r="AP50" s="87">
        <v>3.81</v>
      </c>
      <c r="AQ50" s="87">
        <v>1.31</v>
      </c>
      <c r="AR50" s="87">
        <v>0.27</v>
      </c>
      <c r="AV50" s="96">
        <v>0.44</v>
      </c>
      <c r="AW50" s="448">
        <v>0</v>
      </c>
      <c r="AX50" s="98"/>
      <c r="AY50" s="99"/>
      <c r="AZ50" s="87">
        <v>0.21724347826086957</v>
      </c>
      <c r="BA50" s="87">
        <v>0.19999043478260869</v>
      </c>
      <c r="BB50" s="87">
        <v>5.3464285714285706</v>
      </c>
      <c r="BC50" s="87">
        <v>1.1265925925925926</v>
      </c>
      <c r="BD50" s="87">
        <v>0.11116567487971662</v>
      </c>
      <c r="BE50" s="87" t="s">
        <v>1125</v>
      </c>
      <c r="BF50" s="87">
        <v>0.21726965217391303</v>
      </c>
      <c r="BG50" s="87">
        <v>0.19956502827316225</v>
      </c>
      <c r="BH50" s="87">
        <v>5.3388517964071855</v>
      </c>
      <c r="BI50" s="87">
        <v>0.80358000000000007</v>
      </c>
      <c r="BJ50" s="395">
        <v>3.0424900250259544E-2</v>
      </c>
      <c r="BK50" s="87" t="s">
        <v>1126</v>
      </c>
      <c r="BL50" s="87" t="s">
        <v>1135</v>
      </c>
    </row>
    <row r="51" spans="1:64" s="87" customFormat="1" ht="20.25" customHeight="1" thickBot="1" x14ac:dyDescent="0.35">
      <c r="A51" s="82" t="s">
        <v>278</v>
      </c>
      <c r="B51" s="87" t="s">
        <v>81</v>
      </c>
      <c r="C51" s="87" t="s">
        <v>279</v>
      </c>
      <c r="D51" s="87" t="s">
        <v>1240</v>
      </c>
      <c r="E51" s="87" t="s">
        <v>267</v>
      </c>
      <c r="F51" s="87" t="s">
        <v>268</v>
      </c>
      <c r="G51" s="87" t="s">
        <v>277</v>
      </c>
      <c r="H51" s="87" t="s">
        <v>280</v>
      </c>
      <c r="I51" s="87" t="s">
        <v>83</v>
      </c>
      <c r="J51" s="87" t="s">
        <v>84</v>
      </c>
      <c r="L51" s="94">
        <v>44725</v>
      </c>
      <c r="M51" s="95">
        <v>44746</v>
      </c>
      <c r="N51" s="87">
        <v>8.07</v>
      </c>
      <c r="O51" s="87">
        <v>0.33</v>
      </c>
      <c r="U51" s="356">
        <f t="shared" si="6"/>
        <v>4.1018999999999997</v>
      </c>
      <c r="V51" s="356"/>
      <c r="W51" s="356"/>
      <c r="X51" s="88">
        <v>14</v>
      </c>
      <c r="Y51" s="88">
        <v>16</v>
      </c>
      <c r="Z51" s="87">
        <v>70</v>
      </c>
      <c r="AA51" s="247" t="s">
        <v>886</v>
      </c>
      <c r="AB51" s="239" t="s">
        <v>881</v>
      </c>
      <c r="AC51" s="96">
        <v>1.2809999999999999</v>
      </c>
      <c r="AE51" s="97">
        <v>51.85</v>
      </c>
      <c r="AF51" s="97">
        <v>198.89</v>
      </c>
      <c r="AG51" s="435">
        <v>241</v>
      </c>
      <c r="AH51" s="30">
        <v>178.7979</v>
      </c>
      <c r="AI51" s="435">
        <v>2148</v>
      </c>
      <c r="AJ51" s="30">
        <v>1535.1756</v>
      </c>
      <c r="AK51" s="435">
        <v>423</v>
      </c>
      <c r="AL51" s="30">
        <v>255.06899999999999</v>
      </c>
      <c r="AM51" s="238">
        <v>5.9761463622878734</v>
      </c>
      <c r="AN51" s="238" t="s">
        <v>1000</v>
      </c>
      <c r="AO51" s="87">
        <v>0.31</v>
      </c>
      <c r="AP51" s="87">
        <v>7.03</v>
      </c>
      <c r="AQ51" s="87">
        <v>1.25</v>
      </c>
      <c r="AR51" s="87">
        <v>0.28000000000000003</v>
      </c>
      <c r="AV51" s="96">
        <v>0.73</v>
      </c>
      <c r="AW51" s="448">
        <v>8.334490901514098E-2</v>
      </c>
      <c r="AX51" s="98"/>
      <c r="AY51" s="99"/>
      <c r="AZ51" s="87">
        <v>0.42219616368286433</v>
      </c>
      <c r="BA51" s="87">
        <v>0.77738217391304343</v>
      </c>
      <c r="BB51" s="87">
        <v>7.6714285714285708</v>
      </c>
      <c r="BC51" s="87">
        <v>2.0993333333333331</v>
      </c>
      <c r="BD51" s="87">
        <v>0.35171052126306884</v>
      </c>
      <c r="BE51" s="87" t="s">
        <v>1125</v>
      </c>
      <c r="BF51" s="87">
        <v>0.42224703069053704</v>
      </c>
      <c r="BG51" s="87">
        <v>0.77572857764245329</v>
      </c>
      <c r="BH51" s="87">
        <v>7.6605568862275453</v>
      </c>
      <c r="BI51" s="87">
        <v>1.49742</v>
      </c>
      <c r="BJ51" s="395">
        <v>7.4906540760002985E-2</v>
      </c>
      <c r="BK51" s="87" t="s">
        <v>1126</v>
      </c>
      <c r="BL51" s="87" t="s">
        <v>1135</v>
      </c>
    </row>
    <row r="52" spans="1:64" s="87" customFormat="1" ht="20.25" customHeight="1" thickBot="1" x14ac:dyDescent="0.35">
      <c r="A52" s="82" t="s">
        <v>281</v>
      </c>
      <c r="B52" s="87" t="s">
        <v>81</v>
      </c>
      <c r="C52" s="87" t="s">
        <v>282</v>
      </c>
      <c r="D52" s="87" t="s">
        <v>1240</v>
      </c>
      <c r="E52" s="87" t="s">
        <v>283</v>
      </c>
      <c r="F52" s="87" t="s">
        <v>284</v>
      </c>
      <c r="G52" s="87" t="s">
        <v>285</v>
      </c>
      <c r="H52" s="87" t="s">
        <v>286</v>
      </c>
      <c r="I52" s="87" t="s">
        <v>83</v>
      </c>
      <c r="J52" s="87" t="s">
        <v>84</v>
      </c>
      <c r="L52" s="94">
        <v>44725</v>
      </c>
      <c r="M52" s="95">
        <v>44746</v>
      </c>
      <c r="N52" s="87">
        <v>8.2200000000000006</v>
      </c>
      <c r="O52" s="87">
        <v>0.12</v>
      </c>
      <c r="U52" s="356">
        <f t="shared" si="6"/>
        <v>1.4915999999999998</v>
      </c>
      <c r="V52" s="356"/>
      <c r="W52" s="356"/>
      <c r="X52" s="88">
        <v>22</v>
      </c>
      <c r="Y52" s="88">
        <v>24</v>
      </c>
      <c r="Z52" s="87">
        <v>54</v>
      </c>
      <c r="AA52" s="247" t="s">
        <v>885</v>
      </c>
      <c r="AB52" s="239" t="s">
        <v>880</v>
      </c>
      <c r="AC52" s="96">
        <v>1.726</v>
      </c>
      <c r="AE52" s="97">
        <v>56.21</v>
      </c>
      <c r="AF52" s="97">
        <v>342.55</v>
      </c>
      <c r="AG52" s="436">
        <v>88</v>
      </c>
      <c r="AH52" s="30">
        <v>65.287199999999999</v>
      </c>
      <c r="AI52" s="436">
        <v>3034</v>
      </c>
      <c r="AJ52" s="30">
        <v>2168.3998000000001</v>
      </c>
      <c r="AK52" s="436">
        <v>687</v>
      </c>
      <c r="AL52" s="30">
        <v>414.26099999999997</v>
      </c>
      <c r="AM52" s="238">
        <v>1.8168093474803706</v>
      </c>
      <c r="AN52" s="238" t="s">
        <v>1000</v>
      </c>
      <c r="AO52" s="87">
        <v>0.6</v>
      </c>
      <c r="AP52" s="87">
        <v>10.210000000000001</v>
      </c>
      <c r="AQ52" s="87">
        <v>2.73</v>
      </c>
      <c r="AR52" s="87">
        <v>0.37</v>
      </c>
      <c r="AV52" s="96">
        <v>0.76</v>
      </c>
      <c r="AW52" s="448">
        <v>3.3328704346618519E-2</v>
      </c>
      <c r="AX52" s="98"/>
      <c r="AY52" s="99"/>
      <c r="AZ52" s="87">
        <v>0.72715217391304343</v>
      </c>
      <c r="BA52" s="87">
        <v>0.28385739130434784</v>
      </c>
      <c r="BB52" s="87">
        <v>10.835714285714285</v>
      </c>
      <c r="BC52" s="87">
        <v>3.4095555555555555</v>
      </c>
      <c r="BD52" s="87">
        <v>0.10636037623133665</v>
      </c>
      <c r="BE52" s="87" t="s">
        <v>1125</v>
      </c>
      <c r="BF52" s="87">
        <v>0.7272397826086956</v>
      </c>
      <c r="BG52" s="87">
        <v>0.28325358851674642</v>
      </c>
      <c r="BH52" s="87">
        <v>10.820358283433134</v>
      </c>
      <c r="BI52" s="87">
        <v>2.4319800000000003</v>
      </c>
      <c r="BJ52" s="395">
        <v>1.9859561928308615E-2</v>
      </c>
      <c r="BK52" s="87" t="s">
        <v>1126</v>
      </c>
      <c r="BL52" s="87" t="s">
        <v>1135</v>
      </c>
    </row>
    <row r="53" spans="1:64" s="87" customFormat="1" ht="20.25" customHeight="1" thickBot="1" x14ac:dyDescent="0.35">
      <c r="A53" s="82" t="s">
        <v>287</v>
      </c>
      <c r="B53" s="87" t="s">
        <v>81</v>
      </c>
      <c r="C53" s="87" t="s">
        <v>288</v>
      </c>
      <c r="D53" s="87" t="s">
        <v>1240</v>
      </c>
      <c r="E53" s="87" t="s">
        <v>283</v>
      </c>
      <c r="F53" s="87" t="s">
        <v>284</v>
      </c>
      <c r="G53" s="87" t="s">
        <v>1244</v>
      </c>
      <c r="H53" s="87" t="s">
        <v>289</v>
      </c>
      <c r="I53" s="87" t="s">
        <v>83</v>
      </c>
      <c r="J53" s="87" t="s">
        <v>84</v>
      </c>
      <c r="L53" s="94">
        <v>44725</v>
      </c>
      <c r="M53" s="95">
        <v>44746</v>
      </c>
      <c r="N53" s="87">
        <v>8.3000000000000007</v>
      </c>
      <c r="O53" s="87">
        <v>0.11</v>
      </c>
      <c r="U53" s="356">
        <f t="shared" si="6"/>
        <v>1.3673</v>
      </c>
      <c r="V53" s="356"/>
      <c r="W53" s="356"/>
      <c r="X53" s="88">
        <v>26</v>
      </c>
      <c r="Y53" s="88">
        <v>20</v>
      </c>
      <c r="Z53" s="87">
        <v>54</v>
      </c>
      <c r="AA53" s="247" t="s">
        <v>885</v>
      </c>
      <c r="AB53" s="239" t="s">
        <v>880</v>
      </c>
      <c r="AC53" s="96">
        <v>1.853</v>
      </c>
      <c r="AE53" s="97">
        <v>56.1</v>
      </c>
      <c r="AF53" s="97">
        <v>363.05</v>
      </c>
      <c r="AG53" s="436">
        <v>59</v>
      </c>
      <c r="AH53" s="30">
        <v>43.772100000000002</v>
      </c>
      <c r="AI53" s="436">
        <v>3924</v>
      </c>
      <c r="AJ53" s="30">
        <v>2804.4828000000002</v>
      </c>
      <c r="AK53" s="436">
        <v>830</v>
      </c>
      <c r="AL53" s="30">
        <v>500.49</v>
      </c>
      <c r="AM53" s="238">
        <v>1.0767836083666882</v>
      </c>
      <c r="AN53" s="238" t="s">
        <v>1000</v>
      </c>
      <c r="AO53" s="87">
        <v>0.65</v>
      </c>
      <c r="AP53" s="87">
        <v>10.220000000000001</v>
      </c>
      <c r="AQ53" s="87">
        <v>3.13</v>
      </c>
      <c r="AR53" s="87">
        <v>0.41</v>
      </c>
      <c r="AV53" s="96">
        <v>1.03</v>
      </c>
      <c r="AW53" s="448">
        <v>0.16613595458950575</v>
      </c>
      <c r="AX53" s="98"/>
      <c r="AY53" s="99"/>
      <c r="AZ53" s="87">
        <v>0.77066879795396415</v>
      </c>
      <c r="BA53" s="87">
        <v>0.19031347826086956</v>
      </c>
      <c r="BB53" s="87">
        <v>14.014285714285714</v>
      </c>
      <c r="BC53" s="87">
        <v>4.119259259259259</v>
      </c>
      <c r="BD53" s="87">
        <v>6.3203799639736949E-2</v>
      </c>
      <c r="BE53" s="87" t="s">
        <v>1125</v>
      </c>
      <c r="BF53" s="87">
        <v>0.77076164961636817</v>
      </c>
      <c r="BG53" s="87">
        <v>0.18990865593736406</v>
      </c>
      <c r="BH53" s="87">
        <v>13.9944251497006</v>
      </c>
      <c r="BI53" s="87">
        <v>2.9382000000000001</v>
      </c>
      <c r="BJ53" s="395">
        <v>1.0613397426553851E-2</v>
      </c>
      <c r="BK53" s="87" t="s">
        <v>1126</v>
      </c>
      <c r="BL53" s="87" t="s">
        <v>1135</v>
      </c>
    </row>
    <row r="54" spans="1:64" s="87" customFormat="1" ht="20.25" customHeight="1" thickBot="1" x14ac:dyDescent="0.35">
      <c r="A54" s="82" t="s">
        <v>290</v>
      </c>
      <c r="B54" s="87" t="s">
        <v>81</v>
      </c>
      <c r="C54" s="87" t="s">
        <v>291</v>
      </c>
      <c r="D54" s="87" t="s">
        <v>1240</v>
      </c>
      <c r="E54" s="87" t="s">
        <v>283</v>
      </c>
      <c r="F54" s="87" t="s">
        <v>284</v>
      </c>
      <c r="G54" s="87" t="s">
        <v>292</v>
      </c>
      <c r="H54" s="93" t="s">
        <v>703</v>
      </c>
      <c r="I54" s="87" t="s">
        <v>83</v>
      </c>
      <c r="J54" s="87" t="s">
        <v>84</v>
      </c>
      <c r="L54" s="94">
        <v>44725</v>
      </c>
      <c r="M54" s="95">
        <v>44746</v>
      </c>
      <c r="N54" s="87">
        <v>8.36</v>
      </c>
      <c r="O54" s="87">
        <v>0.1</v>
      </c>
      <c r="U54" s="356">
        <f t="shared" si="6"/>
        <v>1.2430000000000001</v>
      </c>
      <c r="V54" s="356"/>
      <c r="W54" s="356"/>
      <c r="X54" s="88">
        <v>24</v>
      </c>
      <c r="Y54" s="88">
        <v>22</v>
      </c>
      <c r="Z54" s="87">
        <v>54</v>
      </c>
      <c r="AA54" s="247" t="s">
        <v>885</v>
      </c>
      <c r="AB54" s="239" t="s">
        <v>880</v>
      </c>
      <c r="AC54" s="96">
        <v>1.6679999999999999</v>
      </c>
      <c r="AE54" s="97">
        <v>54.85</v>
      </c>
      <c r="AF54" s="97">
        <v>294.27</v>
      </c>
      <c r="AG54" s="436">
        <v>81</v>
      </c>
      <c r="AH54" s="30">
        <v>60.093899999999998</v>
      </c>
      <c r="AI54" s="436">
        <v>2746</v>
      </c>
      <c r="AJ54" s="30">
        <v>1962.5662</v>
      </c>
      <c r="AK54" s="436">
        <v>745</v>
      </c>
      <c r="AL54" s="30">
        <v>449.23500000000001</v>
      </c>
      <c r="AM54" s="238">
        <v>1.7305120762688304</v>
      </c>
      <c r="AN54" s="238" t="s">
        <v>1000</v>
      </c>
      <c r="AO54" s="87">
        <v>0.51</v>
      </c>
      <c r="AP54" s="87">
        <v>9.67</v>
      </c>
      <c r="AQ54" s="87">
        <v>2.5</v>
      </c>
      <c r="AR54" s="87">
        <v>0.39</v>
      </c>
      <c r="AV54" s="96">
        <v>1.0900000000000001</v>
      </c>
      <c r="AW54" s="448">
        <v>6.6852367688022288E-2</v>
      </c>
      <c r="AX54" s="98"/>
      <c r="AY54" s="99"/>
      <c r="AZ54" s="87">
        <v>0.62466521739130432</v>
      </c>
      <c r="BA54" s="87">
        <v>0.26127782608695649</v>
      </c>
      <c r="BB54" s="87">
        <v>9.8071428571428569</v>
      </c>
      <c r="BC54" s="87">
        <v>3.6974074074074075</v>
      </c>
      <c r="BD54" s="87">
        <v>0.10054893823406336</v>
      </c>
      <c r="BE54" s="87" t="s">
        <v>1125</v>
      </c>
      <c r="BF54" s="87">
        <v>0.62474047826086954</v>
      </c>
      <c r="BG54" s="87">
        <v>0.26072205306655066</v>
      </c>
      <c r="BH54" s="87">
        <v>9.7932445109780435</v>
      </c>
      <c r="BI54" s="87">
        <v>2.6373000000000002</v>
      </c>
      <c r="BJ54" s="395">
        <v>1.9579597114827797E-2</v>
      </c>
      <c r="BK54" s="87" t="s">
        <v>1126</v>
      </c>
      <c r="BL54" s="87" t="s">
        <v>1135</v>
      </c>
    </row>
    <row r="55" spans="1:64" s="103" customFormat="1" ht="20.25" customHeight="1" thickBot="1" x14ac:dyDescent="0.35">
      <c r="A55" s="82" t="s">
        <v>293</v>
      </c>
      <c r="B55" s="103" t="s">
        <v>81</v>
      </c>
      <c r="C55" s="103" t="s">
        <v>294</v>
      </c>
      <c r="D55" s="103" t="s">
        <v>1240</v>
      </c>
      <c r="E55" s="103" t="s">
        <v>283</v>
      </c>
      <c r="F55" s="103" t="s">
        <v>284</v>
      </c>
      <c r="G55" s="103" t="s">
        <v>295</v>
      </c>
      <c r="H55" s="103" t="s">
        <v>296</v>
      </c>
      <c r="I55" s="103" t="s">
        <v>83</v>
      </c>
      <c r="J55" s="103" t="s">
        <v>84</v>
      </c>
      <c r="L55" s="104">
        <v>44725</v>
      </c>
      <c r="M55" s="105">
        <v>44746</v>
      </c>
      <c r="N55" s="103">
        <v>8.42</v>
      </c>
      <c r="O55" s="103">
        <v>0.11</v>
      </c>
      <c r="S55" s="370"/>
      <c r="T55" s="370"/>
      <c r="U55" s="356">
        <f t="shared" si="6"/>
        <v>1.3673</v>
      </c>
      <c r="V55" s="359"/>
      <c r="W55" s="359"/>
      <c r="X55" s="106">
        <v>22</v>
      </c>
      <c r="Y55" s="106">
        <v>20</v>
      </c>
      <c r="Z55" s="87">
        <v>58</v>
      </c>
      <c r="AA55" s="247" t="s">
        <v>885</v>
      </c>
      <c r="AB55" s="239" t="s">
        <v>880</v>
      </c>
      <c r="AC55" s="107">
        <v>1.407</v>
      </c>
      <c r="AE55" s="108">
        <v>49.53</v>
      </c>
      <c r="AF55" s="108">
        <v>285</v>
      </c>
      <c r="AG55" s="437">
        <v>73</v>
      </c>
      <c r="AH55" s="30">
        <v>54.158700000000003</v>
      </c>
      <c r="AI55" s="437">
        <v>2804</v>
      </c>
      <c r="AJ55" s="30">
        <v>2004.0188000000001</v>
      </c>
      <c r="AK55" s="437">
        <v>653</v>
      </c>
      <c r="AL55" s="30">
        <v>393.75900000000001</v>
      </c>
      <c r="AM55" s="238">
        <v>1.5641513057798637</v>
      </c>
      <c r="AN55" s="238" t="s">
        <v>1000</v>
      </c>
      <c r="AO55" s="103">
        <v>0.59</v>
      </c>
      <c r="AP55" s="103">
        <v>12.35</v>
      </c>
      <c r="AQ55" s="103">
        <v>2.64</v>
      </c>
      <c r="AR55" s="103">
        <v>0.34</v>
      </c>
      <c r="AV55" s="107">
        <v>0.92</v>
      </c>
      <c r="AW55" s="449">
        <v>8.3495686056220417E-2</v>
      </c>
      <c r="AX55" s="109"/>
      <c r="AY55" s="110"/>
      <c r="AZ55" s="103">
        <v>0.60498721227621477</v>
      </c>
      <c r="BA55" s="103">
        <v>0.23547260869565217</v>
      </c>
      <c r="BB55" s="103">
        <v>10.014285714285714</v>
      </c>
      <c r="BC55" s="103">
        <v>3.240814814814815</v>
      </c>
      <c r="BD55" s="103">
        <v>9.1466883126534018E-2</v>
      </c>
      <c r="BE55" s="103" t="s">
        <v>1125</v>
      </c>
      <c r="BF55" s="103">
        <v>0.6050601023017903</v>
      </c>
      <c r="BG55" s="103">
        <v>0.23497172683775552</v>
      </c>
      <c r="BH55" s="103">
        <v>10.000093812375249</v>
      </c>
      <c r="BI55" s="103">
        <v>2.31162</v>
      </c>
      <c r="BJ55" s="396">
        <v>1.786620067347135E-2</v>
      </c>
      <c r="BK55" s="103" t="s">
        <v>1126</v>
      </c>
      <c r="BL55" s="103" t="s">
        <v>1135</v>
      </c>
    </row>
    <row r="56" spans="1:64" s="112" customFormat="1" ht="20.25" customHeight="1" thickBot="1" x14ac:dyDescent="0.35">
      <c r="A56" s="111" t="s">
        <v>297</v>
      </c>
      <c r="B56" s="112" t="s">
        <v>81</v>
      </c>
      <c r="C56" s="112" t="s">
        <v>298</v>
      </c>
      <c r="D56" s="112" t="s">
        <v>1240</v>
      </c>
      <c r="E56" s="112" t="s">
        <v>299</v>
      </c>
      <c r="F56" s="112" t="s">
        <v>300</v>
      </c>
      <c r="G56" s="112" t="s">
        <v>301</v>
      </c>
      <c r="H56" s="113" t="s">
        <v>704</v>
      </c>
      <c r="I56" s="112" t="s">
        <v>83</v>
      </c>
      <c r="J56" s="112" t="s">
        <v>84</v>
      </c>
      <c r="L56" s="114">
        <v>44726</v>
      </c>
      <c r="M56" s="115">
        <v>44746</v>
      </c>
      <c r="N56" s="112">
        <v>8.5299999999999994</v>
      </c>
      <c r="O56" s="112">
        <v>0.1</v>
      </c>
      <c r="S56" s="371"/>
      <c r="T56" s="371"/>
      <c r="U56" s="356">
        <f t="shared" si="6"/>
        <v>1.2430000000000001</v>
      </c>
      <c r="V56" s="355"/>
      <c r="W56" s="355"/>
      <c r="X56" s="116">
        <v>14</v>
      </c>
      <c r="Y56" s="116">
        <v>14</v>
      </c>
      <c r="Z56" s="117">
        <v>72</v>
      </c>
      <c r="AA56" s="239" t="s">
        <v>886</v>
      </c>
      <c r="AB56" s="247" t="s">
        <v>881</v>
      </c>
      <c r="AC56" s="119">
        <v>1.214</v>
      </c>
      <c r="AE56" s="120">
        <v>35.76</v>
      </c>
      <c r="AF56" s="120">
        <v>263.16000000000003</v>
      </c>
      <c r="AG56" s="438">
        <v>33</v>
      </c>
      <c r="AH56" s="30">
        <v>24.482700000000001</v>
      </c>
      <c r="AI56" s="438">
        <v>2426</v>
      </c>
      <c r="AJ56" s="30">
        <v>1733.8622</v>
      </c>
      <c r="AK56" s="438">
        <v>297</v>
      </c>
      <c r="AL56" s="30">
        <v>179.09100000000001</v>
      </c>
      <c r="AM56" s="238">
        <v>0.79162980330298094</v>
      </c>
      <c r="AN56" s="238" t="s">
        <v>1000</v>
      </c>
      <c r="AO56" s="121">
        <v>0.47</v>
      </c>
      <c r="AP56" s="121">
        <v>5.58</v>
      </c>
      <c r="AQ56" s="121">
        <v>1.72</v>
      </c>
      <c r="AR56" s="121">
        <v>0.26</v>
      </c>
      <c r="AV56" s="119">
        <v>0.54</v>
      </c>
      <c r="AW56" s="447">
        <v>0.16773832820799553</v>
      </c>
      <c r="AX56" s="122"/>
      <c r="AY56" s="123"/>
      <c r="AZ56" s="112">
        <v>0.55862608695652183</v>
      </c>
      <c r="BA56" s="112">
        <v>0.10644652173913043</v>
      </c>
      <c r="BB56" s="112">
        <v>8.6642857142857146</v>
      </c>
      <c r="BC56" s="112">
        <v>1.4740000000000002</v>
      </c>
      <c r="BD56" s="112">
        <v>4.7278556650598755E-2</v>
      </c>
      <c r="BE56" s="112" t="s">
        <v>1125</v>
      </c>
      <c r="BF56" s="112">
        <v>0.55869339130434781</v>
      </c>
      <c r="BG56" s="112">
        <v>0.1062200956937799</v>
      </c>
      <c r="BH56" s="112">
        <v>8.6520069860279438</v>
      </c>
      <c r="BI56" s="112">
        <v>1.05138</v>
      </c>
      <c r="BJ56" s="397">
        <v>1.0244696898022933E-2</v>
      </c>
      <c r="BK56" s="112" t="s">
        <v>1126</v>
      </c>
      <c r="BL56" s="112" t="s">
        <v>1135</v>
      </c>
    </row>
    <row r="57" spans="1:64" s="117" customFormat="1" ht="20.25" customHeight="1" thickBot="1" x14ac:dyDescent="0.35">
      <c r="A57" s="111" t="s">
        <v>302</v>
      </c>
      <c r="B57" s="117" t="s">
        <v>81</v>
      </c>
      <c r="C57" s="117" t="s">
        <v>303</v>
      </c>
      <c r="D57" s="117" t="s">
        <v>1240</v>
      </c>
      <c r="E57" s="117" t="s">
        <v>299</v>
      </c>
      <c r="F57" s="117" t="s">
        <v>300</v>
      </c>
      <c r="G57" s="117" t="s">
        <v>304</v>
      </c>
      <c r="H57" s="124" t="s">
        <v>705</v>
      </c>
      <c r="I57" s="117" t="s">
        <v>83</v>
      </c>
      <c r="J57" s="117" t="s">
        <v>84</v>
      </c>
      <c r="L57" s="125">
        <v>44726</v>
      </c>
      <c r="M57" s="126">
        <v>44746</v>
      </c>
      <c r="N57" s="117">
        <v>8.52</v>
      </c>
      <c r="O57" s="117">
        <v>0.09</v>
      </c>
      <c r="U57" s="356">
        <f t="shared" si="6"/>
        <v>1.1187</v>
      </c>
      <c r="V57" s="356"/>
      <c r="W57" s="356"/>
      <c r="X57" s="118">
        <v>14</v>
      </c>
      <c r="Y57" s="118">
        <v>12</v>
      </c>
      <c r="Z57" s="117">
        <v>74</v>
      </c>
      <c r="AA57" s="239" t="s">
        <v>886</v>
      </c>
      <c r="AB57" s="247" t="s">
        <v>881</v>
      </c>
      <c r="AC57" s="127">
        <v>1.508</v>
      </c>
      <c r="AE57" s="128">
        <v>30.66</v>
      </c>
      <c r="AF57" s="128">
        <v>268.64</v>
      </c>
      <c r="AG57" s="436">
        <v>31</v>
      </c>
      <c r="AH57" s="30">
        <v>22.998899999999999</v>
      </c>
      <c r="AI57" s="436">
        <v>2500</v>
      </c>
      <c r="AJ57" s="30">
        <v>1786.75</v>
      </c>
      <c r="AK57" s="436">
        <v>292</v>
      </c>
      <c r="AL57" s="30">
        <v>176.07599999999999</v>
      </c>
      <c r="AM57" s="238">
        <v>0.73414384439557434</v>
      </c>
      <c r="AN57" s="238" t="s">
        <v>1000</v>
      </c>
      <c r="AO57" s="129">
        <v>0.54</v>
      </c>
      <c r="AP57" s="129">
        <v>6.57</v>
      </c>
      <c r="AQ57" s="129">
        <v>1.87</v>
      </c>
      <c r="AR57" s="129">
        <v>0.28999999999999998</v>
      </c>
      <c r="AV57" s="127">
        <v>0.77</v>
      </c>
      <c r="AW57" s="448">
        <v>8.343763037129745E-2</v>
      </c>
      <c r="AX57" s="130"/>
      <c r="AY57" s="131"/>
      <c r="AZ57" s="117">
        <v>0.57025882352941171</v>
      </c>
      <c r="BA57" s="117">
        <v>9.9995217391304347E-2</v>
      </c>
      <c r="BB57" s="117">
        <v>8.9285714285714288</v>
      </c>
      <c r="BC57" s="117">
        <v>1.4491851851851849</v>
      </c>
      <c r="BD57" s="117">
        <v>4.3897772776296522E-2</v>
      </c>
      <c r="BE57" s="117" t="s">
        <v>1125</v>
      </c>
      <c r="BF57" s="117">
        <v>0.57032752941176468</v>
      </c>
      <c r="BG57" s="117">
        <v>9.9782514136581124E-2</v>
      </c>
      <c r="BH57" s="117">
        <v>8.9159181636726537</v>
      </c>
      <c r="BI57" s="117">
        <v>1.0336800000000002</v>
      </c>
      <c r="BJ57" s="398">
        <v>9.3959751237546046E-3</v>
      </c>
      <c r="BK57" s="117" t="s">
        <v>1126</v>
      </c>
      <c r="BL57" s="117" t="s">
        <v>1135</v>
      </c>
    </row>
    <row r="58" spans="1:64" s="117" customFormat="1" ht="20.25" customHeight="1" thickBot="1" x14ac:dyDescent="0.35">
      <c r="A58" s="111" t="s">
        <v>305</v>
      </c>
      <c r="B58" s="117" t="s">
        <v>81</v>
      </c>
      <c r="C58" s="117" t="s">
        <v>306</v>
      </c>
      <c r="D58" s="117" t="s">
        <v>1240</v>
      </c>
      <c r="E58" s="117" t="s">
        <v>299</v>
      </c>
      <c r="F58" s="117" t="s">
        <v>300</v>
      </c>
      <c r="G58" s="117" t="s">
        <v>307</v>
      </c>
      <c r="H58" s="124" t="s">
        <v>706</v>
      </c>
      <c r="I58" s="117" t="s">
        <v>83</v>
      </c>
      <c r="J58" s="117" t="s">
        <v>84</v>
      </c>
      <c r="L58" s="125">
        <v>44726</v>
      </c>
      <c r="M58" s="126">
        <v>44746</v>
      </c>
      <c r="N58" s="117">
        <v>7.86</v>
      </c>
      <c r="O58" s="117">
        <v>19.13</v>
      </c>
      <c r="U58" s="356">
        <f t="shared" ref="U58:U60" si="7">10.92*O58</f>
        <v>208.89959999999999</v>
      </c>
      <c r="V58" s="356"/>
      <c r="W58" s="356"/>
      <c r="X58" s="118">
        <v>12</v>
      </c>
      <c r="Y58" s="118">
        <v>36</v>
      </c>
      <c r="Z58" s="117">
        <v>52</v>
      </c>
      <c r="AA58" s="239" t="s">
        <v>883</v>
      </c>
      <c r="AB58" s="247" t="s">
        <v>888</v>
      </c>
      <c r="AC58" s="127">
        <v>3.7269999999999999</v>
      </c>
      <c r="AE58" s="128">
        <v>122.75</v>
      </c>
      <c r="AF58" s="128">
        <v>685.48</v>
      </c>
      <c r="AG58" s="436">
        <v>27681</v>
      </c>
      <c r="AH58" s="30">
        <v>20536.533899999999</v>
      </c>
      <c r="AI58" s="436">
        <v>17891</v>
      </c>
      <c r="AJ58" s="30">
        <v>12786.697700000001</v>
      </c>
      <c r="AK58" s="436">
        <v>6578</v>
      </c>
      <c r="AL58" s="30">
        <v>3966.5339999999997</v>
      </c>
      <c r="AM58" s="238">
        <v>224.38449654056467</v>
      </c>
      <c r="AN58" s="339" t="s">
        <v>997</v>
      </c>
      <c r="AO58" s="129">
        <v>0.97</v>
      </c>
      <c r="AP58" s="129">
        <v>27.47</v>
      </c>
      <c r="AQ58" s="129">
        <v>1.84</v>
      </c>
      <c r="AR58" s="129">
        <v>2.92</v>
      </c>
      <c r="AV58" s="127">
        <v>2.37</v>
      </c>
      <c r="AW58" s="448">
        <v>8.476454293628807</v>
      </c>
      <c r="AX58" s="130"/>
      <c r="AY58" s="131"/>
      <c r="AZ58" s="117">
        <v>1.4551109974424552</v>
      </c>
      <c r="BA58" s="117">
        <v>89.289277826086959</v>
      </c>
      <c r="BB58" s="117">
        <v>63.896428571428565</v>
      </c>
      <c r="BC58" s="117">
        <v>32.64637037037037</v>
      </c>
      <c r="BD58" s="117">
        <v>12.85151612330041</v>
      </c>
      <c r="BE58" s="117" t="s">
        <v>1133</v>
      </c>
      <c r="BF58" s="117">
        <v>1.4552863120204602</v>
      </c>
      <c r="BG58" s="117">
        <v>89.099347542409731</v>
      </c>
      <c r="BH58" s="117">
        <v>63.805876746506989</v>
      </c>
      <c r="BI58" s="117">
        <v>23.28612</v>
      </c>
      <c r="BJ58" s="398">
        <v>0.50155382762401624</v>
      </c>
      <c r="BK58" s="117" t="s">
        <v>1129</v>
      </c>
      <c r="BL58" s="117" t="s">
        <v>1136</v>
      </c>
    </row>
    <row r="59" spans="1:64" s="117" customFormat="1" ht="20.25" customHeight="1" thickBot="1" x14ac:dyDescent="0.35">
      <c r="A59" s="111" t="s">
        <v>308</v>
      </c>
      <c r="B59" s="117" t="s">
        <v>81</v>
      </c>
      <c r="C59" s="117" t="s">
        <v>309</v>
      </c>
      <c r="D59" s="117" t="s">
        <v>1240</v>
      </c>
      <c r="E59" s="117" t="s">
        <v>299</v>
      </c>
      <c r="F59" s="117" t="s">
        <v>300</v>
      </c>
      <c r="G59" s="117" t="s">
        <v>310</v>
      </c>
      <c r="H59" s="124" t="s">
        <v>707</v>
      </c>
      <c r="I59" s="117" t="s">
        <v>83</v>
      </c>
      <c r="J59" s="117" t="s">
        <v>84</v>
      </c>
      <c r="L59" s="125">
        <v>44726</v>
      </c>
      <c r="M59" s="126">
        <v>44746</v>
      </c>
      <c r="N59" s="117">
        <v>7.89</v>
      </c>
      <c r="O59" s="117">
        <v>19.16</v>
      </c>
      <c r="U59" s="356">
        <f t="shared" si="7"/>
        <v>209.22720000000001</v>
      </c>
      <c r="V59" s="356"/>
      <c r="W59" s="356"/>
      <c r="X59" s="118">
        <v>10</v>
      </c>
      <c r="Y59" s="118">
        <v>40</v>
      </c>
      <c r="Z59" s="117">
        <v>50</v>
      </c>
      <c r="AA59" s="239" t="s">
        <v>883</v>
      </c>
      <c r="AB59" s="247" t="s">
        <v>888</v>
      </c>
      <c r="AC59" s="127">
        <v>3.4630000000000001</v>
      </c>
      <c r="AE59" s="128">
        <v>102.53</v>
      </c>
      <c r="AF59" s="128">
        <v>659.73</v>
      </c>
      <c r="AG59" s="436">
        <v>30252</v>
      </c>
      <c r="AH59" s="30">
        <v>22443.9588</v>
      </c>
      <c r="AI59" s="436">
        <v>17927</v>
      </c>
      <c r="AJ59" s="30">
        <v>12812.4269</v>
      </c>
      <c r="AK59" s="436">
        <v>6669</v>
      </c>
      <c r="AL59" s="30">
        <v>4021.4069999999997</v>
      </c>
      <c r="AM59" s="238">
        <v>244.63745034952993</v>
      </c>
      <c r="AN59" s="339" t="s">
        <v>997</v>
      </c>
      <c r="AO59" s="129">
        <v>0.96</v>
      </c>
      <c r="AP59" s="129">
        <v>32.909999999999997</v>
      </c>
      <c r="AQ59" s="129">
        <v>1.76</v>
      </c>
      <c r="AR59" s="129">
        <v>2.97</v>
      </c>
      <c r="AV59" s="127">
        <v>3.1</v>
      </c>
      <c r="AW59" s="448">
        <v>8.3728718950600047</v>
      </c>
      <c r="AX59" s="130"/>
      <c r="AY59" s="131"/>
      <c r="AZ59" s="117">
        <v>1.4004498721227618</v>
      </c>
      <c r="BA59" s="117">
        <v>97.582429565217396</v>
      </c>
      <c r="BB59" s="117">
        <v>64.025000000000006</v>
      </c>
      <c r="BC59" s="117">
        <v>33.097999999999999</v>
      </c>
      <c r="BD59" s="117">
        <v>14.003144819001891</v>
      </c>
      <c r="BE59" s="117" t="s">
        <v>1133</v>
      </c>
      <c r="BF59" s="117">
        <v>1.4006186010230179</v>
      </c>
      <c r="BG59" s="117">
        <v>97.374858634188769</v>
      </c>
      <c r="BH59" s="117">
        <v>63.934265968063869</v>
      </c>
      <c r="BI59" s="117">
        <v>23.608260000000001</v>
      </c>
      <c r="BJ59" s="398">
        <v>0.52262721240067922</v>
      </c>
      <c r="BK59" s="117" t="s">
        <v>1129</v>
      </c>
      <c r="BL59" s="117" t="s">
        <v>1136</v>
      </c>
    </row>
    <row r="60" spans="1:64" s="117" customFormat="1" ht="20.25" customHeight="1" thickBot="1" x14ac:dyDescent="0.35">
      <c r="A60" s="111" t="s">
        <v>311</v>
      </c>
      <c r="B60" s="117" t="s">
        <v>81</v>
      </c>
      <c r="C60" s="117" t="s">
        <v>312</v>
      </c>
      <c r="D60" s="117" t="s">
        <v>1240</v>
      </c>
      <c r="E60" s="117" t="s">
        <v>299</v>
      </c>
      <c r="F60" s="117" t="s">
        <v>300</v>
      </c>
      <c r="G60" s="117" t="s">
        <v>313</v>
      </c>
      <c r="H60" s="124" t="s">
        <v>708</v>
      </c>
      <c r="I60" s="117" t="s">
        <v>83</v>
      </c>
      <c r="J60" s="117" t="s">
        <v>84</v>
      </c>
      <c r="L60" s="125">
        <v>44726</v>
      </c>
      <c r="M60" s="126">
        <v>44746</v>
      </c>
      <c r="N60" s="117">
        <v>7.91</v>
      </c>
      <c r="O60" s="117">
        <v>15.57</v>
      </c>
      <c r="U60" s="356">
        <f t="shared" si="7"/>
        <v>170.02440000000001</v>
      </c>
      <c r="V60" s="356"/>
      <c r="W60" s="356"/>
      <c r="X60" s="118">
        <v>10</v>
      </c>
      <c r="Y60" s="118">
        <v>38</v>
      </c>
      <c r="Z60" s="117">
        <v>52</v>
      </c>
      <c r="AA60" s="239" t="s">
        <v>883</v>
      </c>
      <c r="AB60" s="247" t="s">
        <v>888</v>
      </c>
      <c r="AC60" s="127">
        <v>3.36</v>
      </c>
      <c r="AE60" s="128">
        <v>100.94</v>
      </c>
      <c r="AF60" s="128">
        <v>566.51</v>
      </c>
      <c r="AG60" s="436">
        <v>22507</v>
      </c>
      <c r="AH60" s="30">
        <v>16697.943299999999</v>
      </c>
      <c r="AI60" s="436">
        <v>18206</v>
      </c>
      <c r="AJ60" s="30">
        <v>13011.8282</v>
      </c>
      <c r="AK60" s="436">
        <v>5543</v>
      </c>
      <c r="AL60" s="30">
        <v>3342.4290000000001</v>
      </c>
      <c r="AM60" s="238">
        <v>184.65563621236245</v>
      </c>
      <c r="AN60" s="339" t="s">
        <v>997</v>
      </c>
      <c r="AO60" s="129">
        <v>1.02</v>
      </c>
      <c r="AP60" s="129">
        <v>30.01</v>
      </c>
      <c r="AQ60" s="129">
        <v>1.72</v>
      </c>
      <c r="AR60" s="129">
        <v>3.05</v>
      </c>
      <c r="AV60" s="127">
        <v>2.4</v>
      </c>
      <c r="AW60" s="448">
        <v>8.3904349042092026</v>
      </c>
      <c r="AX60" s="130"/>
      <c r="AY60" s="131"/>
      <c r="AZ60" s="117">
        <v>1.2025659846547312</v>
      </c>
      <c r="BA60" s="117">
        <v>72.599753478260865</v>
      </c>
      <c r="BB60" s="117">
        <v>65.021428571428572</v>
      </c>
      <c r="BC60" s="117">
        <v>27.509703703703703</v>
      </c>
      <c r="BD60" s="117">
        <v>10.673484053321509</v>
      </c>
      <c r="BE60" s="117" t="s">
        <v>1133</v>
      </c>
      <c r="BF60" s="117">
        <v>1.202710872122762</v>
      </c>
      <c r="BG60" s="117">
        <v>72.445324053936488</v>
      </c>
      <c r="BH60" s="117">
        <v>64.929282435129736</v>
      </c>
      <c r="BI60" s="117">
        <v>19.622220000000002</v>
      </c>
      <c r="BJ60" s="398">
        <v>0.45793638377421364</v>
      </c>
      <c r="BK60" s="117" t="s">
        <v>1130</v>
      </c>
      <c r="BL60" s="117" t="s">
        <v>1136</v>
      </c>
    </row>
    <row r="61" spans="1:64" s="117" customFormat="1" ht="20.25" customHeight="1" thickBot="1" x14ac:dyDescent="0.35">
      <c r="A61" s="111" t="s">
        <v>314</v>
      </c>
      <c r="B61" s="117" t="s">
        <v>81</v>
      </c>
      <c r="C61" s="117" t="s">
        <v>315</v>
      </c>
      <c r="D61" s="117" t="s">
        <v>1240</v>
      </c>
      <c r="E61" s="117" t="s">
        <v>39</v>
      </c>
      <c r="F61" s="117" t="s">
        <v>316</v>
      </c>
      <c r="G61" s="117" t="s">
        <v>317</v>
      </c>
      <c r="H61" s="124" t="s">
        <v>709</v>
      </c>
      <c r="I61" s="117" t="s">
        <v>83</v>
      </c>
      <c r="J61" s="117" t="s">
        <v>84</v>
      </c>
      <c r="L61" s="125">
        <v>44726</v>
      </c>
      <c r="M61" s="126">
        <v>44746</v>
      </c>
      <c r="N61" s="117">
        <v>8.7100000000000009</v>
      </c>
      <c r="O61" s="117">
        <v>0.24</v>
      </c>
      <c r="U61" s="356">
        <f t="shared" ref="U61:U63" si="8">O61*12.43</f>
        <v>2.9831999999999996</v>
      </c>
      <c r="V61" s="356"/>
      <c r="W61" s="356"/>
      <c r="X61" s="118">
        <v>24</v>
      </c>
      <c r="Y61" s="118">
        <v>26</v>
      </c>
      <c r="Z61" s="117">
        <v>50</v>
      </c>
      <c r="AA61" s="239" t="s">
        <v>885</v>
      </c>
      <c r="AB61" s="247" t="s">
        <v>880</v>
      </c>
      <c r="AC61" s="127">
        <v>4.7510000000000003</v>
      </c>
      <c r="AE61" s="128">
        <v>66.180000000000007</v>
      </c>
      <c r="AF61" s="128">
        <v>455.07</v>
      </c>
      <c r="AG61" s="435">
        <v>401</v>
      </c>
      <c r="AH61" s="30">
        <v>297.50189999999998</v>
      </c>
      <c r="AI61" s="435">
        <v>9640</v>
      </c>
      <c r="AJ61" s="30">
        <v>6889.7079999999996</v>
      </c>
      <c r="AK61" s="435">
        <v>1463</v>
      </c>
      <c r="AL61" s="30">
        <v>882.18899999999996</v>
      </c>
      <c r="AM61" s="238">
        <v>4.7724482011332334</v>
      </c>
      <c r="AN61" s="238" t="s">
        <v>1000</v>
      </c>
      <c r="AO61" s="117" t="s">
        <v>318</v>
      </c>
      <c r="AV61" s="127">
        <v>1.17</v>
      </c>
      <c r="AW61" s="448">
        <v>7.5041922861934038</v>
      </c>
      <c r="AX61" s="130"/>
      <c r="AY61" s="131"/>
      <c r="AZ61" s="117">
        <v>0.96600537084398963</v>
      </c>
      <c r="BA61" s="117">
        <v>1.2934865217391303</v>
      </c>
      <c r="BB61" s="117">
        <v>34.428571428571431</v>
      </c>
      <c r="BC61" s="117">
        <v>7.2608148148148137</v>
      </c>
      <c r="BD61" s="117">
        <v>0.2833114682408811</v>
      </c>
      <c r="BE61" s="117" t="s">
        <v>1125</v>
      </c>
      <c r="BF61" s="117">
        <v>0.9661217570332481</v>
      </c>
      <c r="BG61" s="117">
        <v>1.2907351022183557</v>
      </c>
      <c r="BH61" s="117">
        <v>34.379780439121753</v>
      </c>
      <c r="BI61" s="117">
        <v>5.1790200000000004</v>
      </c>
      <c r="BJ61" s="398">
        <v>3.0867268042886073E-2</v>
      </c>
      <c r="BK61" s="117" t="s">
        <v>1126</v>
      </c>
      <c r="BL61" s="117" t="s">
        <v>1135</v>
      </c>
    </row>
    <row r="62" spans="1:64" s="117" customFormat="1" ht="20.25" customHeight="1" thickBot="1" x14ac:dyDescent="0.35">
      <c r="A62" s="111" t="s">
        <v>319</v>
      </c>
      <c r="B62" s="117" t="s">
        <v>81</v>
      </c>
      <c r="C62" s="117" t="s">
        <v>320</v>
      </c>
      <c r="D62" s="117" t="s">
        <v>1240</v>
      </c>
      <c r="E62" s="117" t="s">
        <v>39</v>
      </c>
      <c r="F62" s="117" t="s">
        <v>316</v>
      </c>
      <c r="G62" s="117" t="s">
        <v>321</v>
      </c>
      <c r="H62" s="124" t="s">
        <v>710</v>
      </c>
      <c r="I62" s="117" t="s">
        <v>83</v>
      </c>
      <c r="J62" s="117" t="s">
        <v>84</v>
      </c>
      <c r="L62" s="125">
        <v>44726</v>
      </c>
      <c r="M62" s="126">
        <v>44746</v>
      </c>
      <c r="N62" s="117">
        <v>8.6300000000000008</v>
      </c>
      <c r="O62" s="117">
        <v>0.54</v>
      </c>
      <c r="U62" s="356">
        <f t="shared" si="8"/>
        <v>6.7122000000000002</v>
      </c>
      <c r="V62" s="356"/>
      <c r="W62" s="356"/>
      <c r="X62" s="118">
        <v>24</v>
      </c>
      <c r="Y62" s="118">
        <v>22</v>
      </c>
      <c r="Z62" s="117">
        <v>54</v>
      </c>
      <c r="AA62" s="239" t="s">
        <v>885</v>
      </c>
      <c r="AB62" s="247" t="s">
        <v>880</v>
      </c>
      <c r="AC62" s="127">
        <v>4.5069999999999997</v>
      </c>
      <c r="AE62" s="128">
        <v>50.49</v>
      </c>
      <c r="AF62" s="128">
        <v>351.53</v>
      </c>
      <c r="AG62" s="435">
        <v>787</v>
      </c>
      <c r="AH62" s="30">
        <v>583.87530000000004</v>
      </c>
      <c r="AI62" s="435">
        <v>9612</v>
      </c>
      <c r="AJ62" s="30">
        <v>6869.6963999999998</v>
      </c>
      <c r="AK62" s="435">
        <v>1682</v>
      </c>
      <c r="AL62" s="30">
        <v>1014.246</v>
      </c>
      <c r="AM62" s="238">
        <v>9.2995809662887989</v>
      </c>
      <c r="AN62" s="238" t="s">
        <v>1000</v>
      </c>
      <c r="AO62" s="117">
        <v>0.69</v>
      </c>
      <c r="AP62" s="117">
        <v>6.05</v>
      </c>
      <c r="AQ62" s="117">
        <v>4.99</v>
      </c>
      <c r="AR62" s="117">
        <v>20.56</v>
      </c>
      <c r="AV62" s="127">
        <v>1.21</v>
      </c>
      <c r="AW62" s="448">
        <v>9.0326177864510733</v>
      </c>
      <c r="AX62" s="130"/>
      <c r="AY62" s="131"/>
      <c r="AZ62" s="117">
        <v>0.74621457800511493</v>
      </c>
      <c r="BA62" s="117">
        <v>2.5385882608695653</v>
      </c>
      <c r="BB62" s="117">
        <v>34.328571428571429</v>
      </c>
      <c r="BC62" s="117">
        <v>8.3477037037037025</v>
      </c>
      <c r="BD62" s="117">
        <v>0.54955860453620664</v>
      </c>
      <c r="BE62" s="117" t="s">
        <v>1125</v>
      </c>
      <c r="BF62" s="117">
        <v>0.746304483375959</v>
      </c>
      <c r="BG62" s="117">
        <v>2.5331883427577209</v>
      </c>
      <c r="BH62" s="117">
        <v>34.279922155688624</v>
      </c>
      <c r="BI62" s="117">
        <v>5.9542800000000007</v>
      </c>
      <c r="BJ62" s="398">
        <v>5.8215886833236107E-2</v>
      </c>
      <c r="BK62" s="117" t="s">
        <v>1126</v>
      </c>
      <c r="BL62" s="117" t="s">
        <v>1136</v>
      </c>
    </row>
    <row r="63" spans="1:64" s="117" customFormat="1" ht="20.25" customHeight="1" thickBot="1" x14ac:dyDescent="0.35">
      <c r="A63" s="111" t="s">
        <v>322</v>
      </c>
      <c r="B63" s="117" t="s">
        <v>81</v>
      </c>
      <c r="C63" s="117" t="s">
        <v>323</v>
      </c>
      <c r="D63" s="117" t="s">
        <v>1240</v>
      </c>
      <c r="E63" s="117" t="s">
        <v>39</v>
      </c>
      <c r="F63" s="117" t="s">
        <v>316</v>
      </c>
      <c r="G63" s="117" t="s">
        <v>324</v>
      </c>
      <c r="H63" s="124" t="s">
        <v>711</v>
      </c>
      <c r="I63" s="117" t="s">
        <v>83</v>
      </c>
      <c r="J63" s="117" t="s">
        <v>84</v>
      </c>
      <c r="L63" s="125">
        <v>44726</v>
      </c>
      <c r="M63" s="126">
        <v>44746</v>
      </c>
      <c r="N63" s="117">
        <v>8.77</v>
      </c>
      <c r="O63" s="117">
        <v>0.28999999999999998</v>
      </c>
      <c r="U63" s="356">
        <f t="shared" si="8"/>
        <v>3.6046999999999998</v>
      </c>
      <c r="V63" s="356"/>
      <c r="W63" s="356"/>
      <c r="X63" s="118">
        <v>28</v>
      </c>
      <c r="Y63" s="118">
        <v>26</v>
      </c>
      <c r="Z63" s="117">
        <v>46</v>
      </c>
      <c r="AA63" s="239" t="s">
        <v>885</v>
      </c>
      <c r="AB63" s="247" t="s">
        <v>880</v>
      </c>
      <c r="AC63" s="127">
        <v>5.3710000000000004</v>
      </c>
      <c r="AE63" s="128">
        <v>60.6</v>
      </c>
      <c r="AF63" s="128">
        <v>473.89</v>
      </c>
      <c r="AG63" s="435">
        <v>466</v>
      </c>
      <c r="AH63" s="30">
        <v>345.72539999999998</v>
      </c>
      <c r="AI63" s="435">
        <v>10130</v>
      </c>
      <c r="AJ63" s="30">
        <v>7239.9110000000001</v>
      </c>
      <c r="AK63" s="435">
        <v>1721</v>
      </c>
      <c r="AL63" s="30">
        <v>1037.7629999999999</v>
      </c>
      <c r="AM63" s="238">
        <v>5.3739315002383519</v>
      </c>
      <c r="AN63" s="238" t="s">
        <v>1000</v>
      </c>
      <c r="AO63" s="117" t="s">
        <v>318</v>
      </c>
      <c r="AV63" s="127">
        <v>1.17</v>
      </c>
      <c r="AW63" s="448">
        <v>6.3162297824874516</v>
      </c>
      <c r="AX63" s="130"/>
      <c r="AY63" s="131"/>
      <c r="AZ63" s="117">
        <v>1.0059557544757032</v>
      </c>
      <c r="BA63" s="117">
        <v>1.5031539130434781</v>
      </c>
      <c r="BB63" s="117">
        <v>36.178571428571431</v>
      </c>
      <c r="BC63" s="117">
        <v>8.5412592592592578</v>
      </c>
      <c r="BD63" s="117">
        <v>0.31788378413319096</v>
      </c>
      <c r="BE63" s="117" t="s">
        <v>1125</v>
      </c>
      <c r="BF63" s="117">
        <v>1.0060769539641943</v>
      </c>
      <c r="BG63" s="117">
        <v>1.4999565028273161</v>
      </c>
      <c r="BH63" s="117">
        <v>36.127300399201594</v>
      </c>
      <c r="BI63" s="117">
        <v>6.0923400000000001</v>
      </c>
      <c r="BJ63" s="398">
        <v>3.3536811712593713E-2</v>
      </c>
      <c r="BK63" s="117" t="s">
        <v>1126</v>
      </c>
      <c r="BL63" s="117" t="s">
        <v>1135</v>
      </c>
    </row>
    <row r="64" spans="1:64" s="117" customFormat="1" ht="20.25" customHeight="1" thickBot="1" x14ac:dyDescent="0.35">
      <c r="A64" s="111" t="s">
        <v>325</v>
      </c>
      <c r="B64" s="117" t="s">
        <v>81</v>
      </c>
      <c r="C64" s="117" t="s">
        <v>326</v>
      </c>
      <c r="D64" s="117" t="s">
        <v>1240</v>
      </c>
      <c r="E64" s="117" t="s">
        <v>39</v>
      </c>
      <c r="F64" s="117" t="s">
        <v>316</v>
      </c>
      <c r="G64" s="117" t="s">
        <v>327</v>
      </c>
      <c r="H64" s="124" t="s">
        <v>712</v>
      </c>
      <c r="I64" s="117" t="s">
        <v>83</v>
      </c>
      <c r="J64" s="117" t="s">
        <v>84</v>
      </c>
      <c r="L64" s="125">
        <v>44726</v>
      </c>
      <c r="M64" s="126">
        <v>44746</v>
      </c>
      <c r="N64" s="117">
        <v>8.68</v>
      </c>
      <c r="O64" s="117">
        <v>0.28999999999999998</v>
      </c>
      <c r="U64" s="356">
        <f>10.92*O64</f>
        <v>3.1667999999999998</v>
      </c>
      <c r="V64" s="356"/>
      <c r="W64" s="356"/>
      <c r="X64" s="118">
        <v>24</v>
      </c>
      <c r="Y64" s="118">
        <v>28</v>
      </c>
      <c r="Z64" s="117">
        <v>48</v>
      </c>
      <c r="AA64" s="239" t="s">
        <v>883</v>
      </c>
      <c r="AB64" s="247" t="s">
        <v>888</v>
      </c>
      <c r="AC64" s="127">
        <v>5.2130000000000001</v>
      </c>
      <c r="AE64" s="128">
        <v>65.36</v>
      </c>
      <c r="AF64" s="128">
        <v>454.3</v>
      </c>
      <c r="AG64" s="435">
        <v>434</v>
      </c>
      <c r="AH64" s="30">
        <v>321.9846</v>
      </c>
      <c r="AI64" s="435">
        <v>9992</v>
      </c>
      <c r="AJ64" s="30">
        <v>7141.2824000000001</v>
      </c>
      <c r="AK64" s="435">
        <v>1586</v>
      </c>
      <c r="AL64" s="30">
        <v>956.35799999999995</v>
      </c>
      <c r="AM64" s="238">
        <v>5.0602369679007388</v>
      </c>
      <c r="AN64" s="238" t="s">
        <v>1000</v>
      </c>
      <c r="AO64" s="117" t="s">
        <v>318</v>
      </c>
      <c r="AV64" s="127">
        <v>0.88</v>
      </c>
      <c r="AW64" s="448">
        <v>6.6167290886392003</v>
      </c>
      <c r="AX64" s="130"/>
      <c r="AY64" s="131"/>
      <c r="AZ64" s="117">
        <v>0.96437084398976991</v>
      </c>
      <c r="BA64" s="117">
        <v>1.3999330434782606</v>
      </c>
      <c r="BB64" s="117">
        <v>35.685714285714283</v>
      </c>
      <c r="BC64" s="117">
        <v>7.8712592592592578</v>
      </c>
      <c r="BD64" s="117">
        <v>0.29998076914477001</v>
      </c>
      <c r="BE64" s="117" t="s">
        <v>1125</v>
      </c>
      <c r="BF64" s="117">
        <v>0.96448703324808172</v>
      </c>
      <c r="BG64" s="117">
        <v>1.3969551979121355</v>
      </c>
      <c r="BH64" s="117">
        <v>35.635141716566864</v>
      </c>
      <c r="BI64" s="117">
        <v>5.6144400000000001</v>
      </c>
      <c r="BJ64" s="398">
        <v>3.203215773118627E-2</v>
      </c>
      <c r="BK64" s="117" t="s">
        <v>1126</v>
      </c>
      <c r="BL64" s="117" t="s">
        <v>1135</v>
      </c>
    </row>
    <row r="65" spans="1:64" s="117" customFormat="1" ht="20.25" customHeight="1" thickBot="1" x14ac:dyDescent="0.35">
      <c r="A65" s="132" t="s">
        <v>328</v>
      </c>
      <c r="B65" s="117" t="s">
        <v>81</v>
      </c>
      <c r="C65" s="117" t="s">
        <v>329</v>
      </c>
      <c r="D65" s="117" t="s">
        <v>1240</v>
      </c>
      <c r="E65" s="117" t="s">
        <v>330</v>
      </c>
      <c r="F65" s="117" t="s">
        <v>331</v>
      </c>
      <c r="G65" s="117" t="s">
        <v>332</v>
      </c>
      <c r="H65" s="117" t="s">
        <v>333</v>
      </c>
      <c r="I65" s="117" t="s">
        <v>83</v>
      </c>
      <c r="J65" s="117" t="s">
        <v>84</v>
      </c>
      <c r="L65" s="125">
        <v>44726</v>
      </c>
      <c r="M65" s="126">
        <v>44746</v>
      </c>
      <c r="N65" s="117">
        <v>8.2200000000000006</v>
      </c>
      <c r="O65" s="117">
        <v>1.1000000000000001</v>
      </c>
      <c r="U65" s="356">
        <f>O65*12.43</f>
        <v>13.673</v>
      </c>
      <c r="V65" s="356"/>
      <c r="W65" s="356"/>
      <c r="X65" s="118">
        <v>26</v>
      </c>
      <c r="Y65" s="118">
        <v>20</v>
      </c>
      <c r="Z65" s="117">
        <v>54</v>
      </c>
      <c r="AA65" s="239" t="s">
        <v>885</v>
      </c>
      <c r="AB65" s="247" t="s">
        <v>880</v>
      </c>
      <c r="AC65" s="127">
        <v>4.4589999999999996</v>
      </c>
      <c r="AD65" s="133"/>
      <c r="AE65" s="118">
        <v>180.21</v>
      </c>
      <c r="AF65" s="128">
        <v>266.10000000000002</v>
      </c>
      <c r="AG65" s="435">
        <v>742</v>
      </c>
      <c r="AH65" s="30">
        <v>550.48980000000006</v>
      </c>
      <c r="AI65" s="435">
        <v>7449</v>
      </c>
      <c r="AJ65" s="30">
        <v>5323.8002999999999</v>
      </c>
      <c r="AK65" s="435">
        <v>1477</v>
      </c>
      <c r="AL65" s="30">
        <v>890.63099999999997</v>
      </c>
      <c r="AM65" s="238">
        <v>9.8756019905162553</v>
      </c>
      <c r="AN65" s="238" t="s">
        <v>1000</v>
      </c>
      <c r="AO65" s="129">
        <v>1.51</v>
      </c>
      <c r="AP65" s="129">
        <v>5.94</v>
      </c>
      <c r="AQ65" s="129">
        <v>3.4</v>
      </c>
      <c r="AR65" s="129">
        <v>4.9400000000000004</v>
      </c>
      <c r="AS65" s="133"/>
      <c r="AV65" s="127">
        <v>1.29</v>
      </c>
      <c r="AW65" s="448">
        <v>2</v>
      </c>
      <c r="AX65" s="130"/>
      <c r="AY65" s="131"/>
      <c r="AZ65" s="117">
        <v>0.56486700767263431</v>
      </c>
      <c r="BA65" s="117">
        <v>2.3934339130434785</v>
      </c>
      <c r="BB65" s="117">
        <v>26.603571428571428</v>
      </c>
      <c r="BC65" s="117">
        <v>7.3302962962962956</v>
      </c>
      <c r="BD65" s="117">
        <v>0.58105836383920328</v>
      </c>
      <c r="BE65" s="117" t="s">
        <v>1125</v>
      </c>
      <c r="BF65" s="117">
        <v>0.56493506393861892</v>
      </c>
      <c r="BG65" s="117">
        <v>2.3883427577207481</v>
      </c>
      <c r="BH65" s="117">
        <v>26.565869760479039</v>
      </c>
      <c r="BI65" s="117">
        <v>5.22858</v>
      </c>
      <c r="BJ65" s="398">
        <v>6.8733782722195713E-2</v>
      </c>
      <c r="BK65" s="117" t="s">
        <v>1126</v>
      </c>
      <c r="BL65" s="117" t="s">
        <v>1136</v>
      </c>
    </row>
    <row r="66" spans="1:64" s="117" customFormat="1" ht="20.25" customHeight="1" thickBot="1" x14ac:dyDescent="0.35">
      <c r="A66" s="111" t="s">
        <v>334</v>
      </c>
      <c r="B66" s="117" t="s">
        <v>81</v>
      </c>
      <c r="C66" s="117" t="s">
        <v>335</v>
      </c>
      <c r="D66" s="117" t="s">
        <v>1240</v>
      </c>
      <c r="E66" s="117" t="s">
        <v>330</v>
      </c>
      <c r="F66" s="117" t="s">
        <v>331</v>
      </c>
      <c r="G66" s="117" t="s">
        <v>831</v>
      </c>
      <c r="H66" s="117" t="s">
        <v>336</v>
      </c>
      <c r="I66" s="117" t="s">
        <v>83</v>
      </c>
      <c r="J66" s="117" t="s">
        <v>84</v>
      </c>
      <c r="L66" s="125">
        <v>44726</v>
      </c>
      <c r="M66" s="126">
        <v>44746</v>
      </c>
      <c r="N66" s="117">
        <v>7.78</v>
      </c>
      <c r="O66" s="117">
        <v>10.49</v>
      </c>
      <c r="U66" s="356">
        <f>10.92*O66</f>
        <v>114.5508</v>
      </c>
      <c r="V66" s="356"/>
      <c r="W66" s="356"/>
      <c r="X66" s="118">
        <v>18</v>
      </c>
      <c r="Y66" s="118">
        <v>30</v>
      </c>
      <c r="Z66" s="117">
        <v>52</v>
      </c>
      <c r="AA66" s="239" t="s">
        <v>883</v>
      </c>
      <c r="AB66" s="247" t="s">
        <v>888</v>
      </c>
      <c r="AC66" s="127">
        <v>4.4630000000000001</v>
      </c>
      <c r="AD66" s="133"/>
      <c r="AE66" s="118">
        <v>158.91</v>
      </c>
      <c r="AF66" s="128">
        <v>450.7</v>
      </c>
      <c r="AG66" s="436">
        <v>5792</v>
      </c>
      <c r="AH66" s="30">
        <v>4297.0847999999996</v>
      </c>
      <c r="AI66" s="436">
        <v>10503</v>
      </c>
      <c r="AJ66" s="30">
        <v>7506.4940999999999</v>
      </c>
      <c r="AK66" s="436">
        <v>4524</v>
      </c>
      <c r="AL66" s="30">
        <v>2727.9719999999998</v>
      </c>
      <c r="AM66" s="238">
        <v>60.069819393853059</v>
      </c>
      <c r="AN66" s="339" t="s">
        <v>997</v>
      </c>
      <c r="AO66" s="129">
        <v>2.04</v>
      </c>
      <c r="AP66" s="129">
        <v>28.79</v>
      </c>
      <c r="AQ66" s="129">
        <v>1.4</v>
      </c>
      <c r="AR66" s="129">
        <v>4.33</v>
      </c>
      <c r="AS66" s="133"/>
      <c r="AV66" s="127">
        <v>1.97</v>
      </c>
      <c r="AW66" s="448">
        <v>0.49951436103787994</v>
      </c>
      <c r="AX66" s="130"/>
      <c r="AY66" s="131"/>
      <c r="AZ66" s="117">
        <v>0.95672890025575441</v>
      </c>
      <c r="BA66" s="117">
        <v>18.682977391304345</v>
      </c>
      <c r="BB66" s="117">
        <v>37.510714285714286</v>
      </c>
      <c r="BC66" s="117">
        <v>22.452444444444442</v>
      </c>
      <c r="BD66" s="117">
        <v>3.4120770908185536</v>
      </c>
      <c r="BE66" s="117" t="s">
        <v>1125</v>
      </c>
      <c r="BF66" s="117">
        <v>0.95684416879795386</v>
      </c>
      <c r="BG66" s="117">
        <v>18.643236189647673</v>
      </c>
      <c r="BH66" s="117">
        <v>37.457555389221554</v>
      </c>
      <c r="BI66" s="117">
        <v>16.014960000000002</v>
      </c>
      <c r="BJ66" s="398">
        <v>0.25513307689282205</v>
      </c>
      <c r="BK66" s="117" t="s">
        <v>1127</v>
      </c>
      <c r="BL66" s="117" t="s">
        <v>1136</v>
      </c>
    </row>
    <row r="67" spans="1:64" s="117" customFormat="1" ht="20.25" customHeight="1" thickBot="1" x14ac:dyDescent="0.35">
      <c r="A67" s="111" t="s">
        <v>337</v>
      </c>
      <c r="B67" s="117" t="s">
        <v>81</v>
      </c>
      <c r="C67" s="117" t="s">
        <v>338</v>
      </c>
      <c r="D67" s="117" t="s">
        <v>1240</v>
      </c>
      <c r="E67" s="117" t="s">
        <v>330</v>
      </c>
      <c r="F67" s="117" t="s">
        <v>331</v>
      </c>
      <c r="G67" s="117" t="s">
        <v>339</v>
      </c>
      <c r="H67" s="117" t="s">
        <v>340</v>
      </c>
      <c r="I67" s="117" t="s">
        <v>83</v>
      </c>
      <c r="J67" s="117" t="s">
        <v>84</v>
      </c>
      <c r="L67" s="125">
        <v>44726</v>
      </c>
      <c r="M67" s="126">
        <v>44746</v>
      </c>
      <c r="N67" s="117">
        <v>7.94</v>
      </c>
      <c r="O67" s="117">
        <v>3.7</v>
      </c>
      <c r="U67" s="356">
        <f>O67*12.43</f>
        <v>45.991</v>
      </c>
      <c r="V67" s="356"/>
      <c r="W67" s="356"/>
      <c r="X67" s="118">
        <v>28</v>
      </c>
      <c r="Y67" s="118">
        <v>24</v>
      </c>
      <c r="Z67" s="117">
        <v>48</v>
      </c>
      <c r="AA67" s="239" t="s">
        <v>885</v>
      </c>
      <c r="AB67" s="247" t="s">
        <v>880</v>
      </c>
      <c r="AC67" s="127">
        <v>11.26</v>
      </c>
      <c r="AD67" s="133"/>
      <c r="AE67" s="128">
        <v>891.76</v>
      </c>
      <c r="AF67" s="128">
        <v>594.9</v>
      </c>
      <c r="AG67" s="435">
        <v>2711</v>
      </c>
      <c r="AH67" s="30">
        <v>2011.2909</v>
      </c>
      <c r="AI67" s="435">
        <v>8705</v>
      </c>
      <c r="AJ67" s="30">
        <v>6221.4634999999998</v>
      </c>
      <c r="AK67" s="435">
        <v>2954</v>
      </c>
      <c r="AL67" s="30">
        <v>1781.2619999999999</v>
      </c>
      <c r="AM67" s="238">
        <v>31.795885636687778</v>
      </c>
      <c r="AN67" s="339" t="s">
        <v>999</v>
      </c>
      <c r="AO67" s="129">
        <v>0.53</v>
      </c>
      <c r="AP67" s="129">
        <v>10.64</v>
      </c>
      <c r="AQ67" s="129">
        <v>2.23</v>
      </c>
      <c r="AR67" s="129">
        <v>5.32</v>
      </c>
      <c r="AS67" s="133"/>
      <c r="AV67" s="127">
        <v>2.69</v>
      </c>
      <c r="AW67" s="448">
        <v>1.0986267166042445</v>
      </c>
      <c r="AX67" s="130"/>
      <c r="AY67" s="131"/>
      <c r="AZ67" s="117">
        <v>1.2628312020460355</v>
      </c>
      <c r="BA67" s="117">
        <v>8.7447430434782607</v>
      </c>
      <c r="BB67" s="117">
        <v>31.089285714285715</v>
      </c>
      <c r="BC67" s="117">
        <v>14.660592592592591</v>
      </c>
      <c r="BD67" s="117">
        <v>1.8283825968483534</v>
      </c>
      <c r="BE67" s="117" t="s">
        <v>1125</v>
      </c>
      <c r="BF67" s="117">
        <v>1.2629833503836316</v>
      </c>
      <c r="BG67" s="117">
        <v>8.7261418007829477</v>
      </c>
      <c r="BH67" s="117">
        <v>31.045227045908181</v>
      </c>
      <c r="BI67" s="117">
        <v>10.45716</v>
      </c>
      <c r="BJ67" s="398">
        <v>0.16946757685781622</v>
      </c>
      <c r="BK67" s="117" t="s">
        <v>1127</v>
      </c>
      <c r="BL67" s="117" t="s">
        <v>1136</v>
      </c>
    </row>
    <row r="68" spans="1:64" s="117" customFormat="1" ht="20.25" customHeight="1" thickBot="1" x14ac:dyDescent="0.35">
      <c r="A68" s="111" t="s">
        <v>341</v>
      </c>
      <c r="B68" s="117" t="s">
        <v>81</v>
      </c>
      <c r="C68" s="117" t="s">
        <v>342</v>
      </c>
      <c r="D68" s="117" t="s">
        <v>1240</v>
      </c>
      <c r="E68" s="117" t="s">
        <v>330</v>
      </c>
      <c r="F68" s="117" t="s">
        <v>331</v>
      </c>
      <c r="G68" s="117" t="s">
        <v>343</v>
      </c>
      <c r="H68" s="124" t="s">
        <v>713</v>
      </c>
      <c r="I68" s="117" t="s">
        <v>83</v>
      </c>
      <c r="J68" s="117" t="s">
        <v>84</v>
      </c>
      <c r="L68" s="125">
        <v>44726</v>
      </c>
      <c r="M68" s="126">
        <v>44746</v>
      </c>
      <c r="N68" s="117">
        <v>8.06</v>
      </c>
      <c r="O68" s="117">
        <v>12.66</v>
      </c>
      <c r="U68" s="356">
        <f>10.92*O68</f>
        <v>138.24719999999999</v>
      </c>
      <c r="V68" s="356"/>
      <c r="W68" s="356"/>
      <c r="X68" s="118">
        <v>22</v>
      </c>
      <c r="Y68" s="118">
        <v>28</v>
      </c>
      <c r="Z68" s="117">
        <v>50</v>
      </c>
      <c r="AA68" s="239" t="s">
        <v>883</v>
      </c>
      <c r="AB68" s="247" t="s">
        <v>888</v>
      </c>
      <c r="AC68" s="127">
        <v>3.5640000000000001</v>
      </c>
      <c r="AD68" s="133"/>
      <c r="AE68" s="128">
        <v>117.64</v>
      </c>
      <c r="AF68" s="128">
        <v>506.77</v>
      </c>
      <c r="AG68" s="435">
        <v>7309</v>
      </c>
      <c r="AH68" s="30">
        <v>5422.5470999999998</v>
      </c>
      <c r="AI68" s="435">
        <v>11991</v>
      </c>
      <c r="AJ68" s="30">
        <v>8569.9676999999992</v>
      </c>
      <c r="AK68" s="435">
        <v>5403</v>
      </c>
      <c r="AL68" s="30">
        <v>3258.009</v>
      </c>
      <c r="AM68" s="238">
        <v>70.512010953322687</v>
      </c>
      <c r="AN68" s="339" t="s">
        <v>997</v>
      </c>
      <c r="AO68" s="129">
        <v>0.55000000000000004</v>
      </c>
      <c r="AP68" s="129">
        <v>7.42</v>
      </c>
      <c r="AQ68" s="129">
        <v>1.26</v>
      </c>
      <c r="AR68" s="129">
        <v>1.71</v>
      </c>
      <c r="AS68" s="133"/>
      <c r="AV68" s="127">
        <v>1.4</v>
      </c>
      <c r="AW68" s="448">
        <v>0.40212231220329508</v>
      </c>
      <c r="AX68" s="130"/>
      <c r="AY68" s="131"/>
      <c r="AZ68" s="117">
        <v>1.0757521739130433</v>
      </c>
      <c r="BA68" s="117">
        <v>23.576291739130433</v>
      </c>
      <c r="BB68" s="117">
        <v>42.825000000000003</v>
      </c>
      <c r="BC68" s="117">
        <v>26.814888888888888</v>
      </c>
      <c r="BD68" s="117">
        <v>3.9954109913292979</v>
      </c>
      <c r="BE68" s="117" t="s">
        <v>1125</v>
      </c>
      <c r="BF68" s="117">
        <v>1.0758817826086955</v>
      </c>
      <c r="BG68" s="117">
        <v>23.526141800782948</v>
      </c>
      <c r="BH68" s="117">
        <v>42.764309880239516</v>
      </c>
      <c r="BI68" s="117">
        <v>19.126620000000003</v>
      </c>
      <c r="BJ68" s="398">
        <v>0.27200067587789445</v>
      </c>
      <c r="BK68" s="117" t="s">
        <v>1127</v>
      </c>
      <c r="BL68" s="117" t="s">
        <v>1136</v>
      </c>
    </row>
    <row r="69" spans="1:64" s="117" customFormat="1" ht="20.25" customHeight="1" thickBot="1" x14ac:dyDescent="0.35">
      <c r="A69" s="111" t="s">
        <v>344</v>
      </c>
      <c r="B69" s="117" t="s">
        <v>81</v>
      </c>
      <c r="C69" s="117" t="s">
        <v>345</v>
      </c>
      <c r="D69" s="117" t="s">
        <v>1240</v>
      </c>
      <c r="E69" s="117" t="s">
        <v>267</v>
      </c>
      <c r="F69" s="117" t="s">
        <v>346</v>
      </c>
      <c r="G69" s="117" t="s">
        <v>347</v>
      </c>
      <c r="H69" s="117" t="s">
        <v>348</v>
      </c>
      <c r="I69" s="117" t="s">
        <v>83</v>
      </c>
      <c r="J69" s="117" t="s">
        <v>84</v>
      </c>
      <c r="L69" s="125">
        <v>44726</v>
      </c>
      <c r="M69" s="126">
        <v>44746</v>
      </c>
      <c r="N69" s="117">
        <v>8.2799999999999994</v>
      </c>
      <c r="O69" s="117">
        <v>1.3</v>
      </c>
      <c r="S69" s="371"/>
      <c r="T69" s="371"/>
      <c r="U69" s="354">
        <f t="shared" ref="U69:U70" si="9">O69*9.63</f>
        <v>12.519000000000002</v>
      </c>
      <c r="V69" s="355"/>
      <c r="W69" s="355"/>
      <c r="X69" s="118">
        <v>38</v>
      </c>
      <c r="Y69" s="118">
        <v>28</v>
      </c>
      <c r="Z69" s="117">
        <v>34</v>
      </c>
      <c r="AA69" s="239" t="s">
        <v>882</v>
      </c>
      <c r="AB69" s="247" t="s">
        <v>878</v>
      </c>
      <c r="AC69" s="127">
        <v>2.29</v>
      </c>
      <c r="AD69" s="133"/>
      <c r="AE69" s="128">
        <v>49.87</v>
      </c>
      <c r="AF69" s="128">
        <v>539.92999999999995</v>
      </c>
      <c r="AG69" s="435">
        <v>1218</v>
      </c>
      <c r="AH69" s="30">
        <v>903.63419999999996</v>
      </c>
      <c r="AI69" s="435">
        <v>10611</v>
      </c>
      <c r="AJ69" s="30">
        <v>7583.6817000000001</v>
      </c>
      <c r="AK69" s="435">
        <v>1333</v>
      </c>
      <c r="AL69" s="30">
        <v>803.79899999999998</v>
      </c>
      <c r="AM69" s="238">
        <v>13.953780604783917</v>
      </c>
      <c r="AN69" s="339" t="s">
        <v>999</v>
      </c>
      <c r="AO69" s="117">
        <v>0.67</v>
      </c>
      <c r="AP69" s="117">
        <v>5.22</v>
      </c>
      <c r="AQ69" s="117">
        <v>2.2400000000000002</v>
      </c>
      <c r="AR69" s="117">
        <v>0.5</v>
      </c>
      <c r="AS69" s="133"/>
      <c r="AV69" s="127">
        <v>1.2</v>
      </c>
      <c r="AW69" s="448">
        <v>5.015324602953469</v>
      </c>
      <c r="AX69" s="130"/>
      <c r="AY69" s="131"/>
      <c r="AZ69" s="117">
        <v>1.1461429667519181</v>
      </c>
      <c r="BA69" s="117">
        <v>3.9288443478260864</v>
      </c>
      <c r="BB69" s="117">
        <v>37.896428571428572</v>
      </c>
      <c r="BC69" s="117">
        <v>6.6156296296296286</v>
      </c>
      <c r="BD69" s="117">
        <v>0.8328005112419814</v>
      </c>
      <c r="BE69" s="117" t="s">
        <v>1125</v>
      </c>
      <c r="BF69" s="117">
        <v>1.1462810562659846</v>
      </c>
      <c r="BG69" s="117">
        <v>3.9204871683340579</v>
      </c>
      <c r="BH69" s="117">
        <v>37.842723053892215</v>
      </c>
      <c r="BI69" s="117">
        <v>4.71882</v>
      </c>
      <c r="BJ69" s="398">
        <v>8.2314217386591476E-2</v>
      </c>
      <c r="BK69" s="117" t="s">
        <v>1126</v>
      </c>
      <c r="BL69" s="117" t="s">
        <v>1136</v>
      </c>
    </row>
    <row r="70" spans="1:64" s="117" customFormat="1" ht="20.25" customHeight="1" thickBot="1" x14ac:dyDescent="0.35">
      <c r="A70" s="134" t="s">
        <v>349</v>
      </c>
      <c r="B70" s="117" t="s">
        <v>81</v>
      </c>
      <c r="C70" s="117" t="s">
        <v>350</v>
      </c>
      <c r="D70" s="117" t="s">
        <v>1240</v>
      </c>
      <c r="E70" s="117" t="s">
        <v>267</v>
      </c>
      <c r="F70" s="117" t="s">
        <v>346</v>
      </c>
      <c r="G70" s="117" t="s">
        <v>351</v>
      </c>
      <c r="H70" s="117" t="s">
        <v>352</v>
      </c>
      <c r="I70" s="117" t="s">
        <v>83</v>
      </c>
      <c r="J70" s="117" t="s">
        <v>84</v>
      </c>
      <c r="L70" s="125">
        <v>44726</v>
      </c>
      <c r="M70" s="126">
        <v>44746</v>
      </c>
      <c r="N70" s="117">
        <v>8.3800000000000008</v>
      </c>
      <c r="O70" s="117">
        <v>0.82</v>
      </c>
      <c r="S70" s="371"/>
      <c r="T70" s="371"/>
      <c r="U70" s="354">
        <f t="shared" si="9"/>
        <v>7.8966000000000003</v>
      </c>
      <c r="V70" s="355"/>
      <c r="W70" s="355"/>
      <c r="X70" s="118">
        <v>32</v>
      </c>
      <c r="Y70" s="118">
        <v>34</v>
      </c>
      <c r="Z70" s="117">
        <v>34</v>
      </c>
      <c r="AA70" s="239" t="s">
        <v>882</v>
      </c>
      <c r="AB70" s="247" t="s">
        <v>878</v>
      </c>
      <c r="AC70" s="127">
        <v>1.9670000000000001</v>
      </c>
      <c r="AD70" s="133"/>
      <c r="AE70" s="128">
        <v>35.76</v>
      </c>
      <c r="AF70" s="128">
        <v>512.04</v>
      </c>
      <c r="AG70" s="436">
        <v>853</v>
      </c>
      <c r="AH70" s="30">
        <v>632.84069999999997</v>
      </c>
      <c r="AI70" s="436">
        <v>10606</v>
      </c>
      <c r="AJ70" s="30">
        <v>7580.1081999999997</v>
      </c>
      <c r="AK70" s="436">
        <v>1109</v>
      </c>
      <c r="AL70" s="30">
        <v>668.72699999999998</v>
      </c>
      <c r="AM70" s="238">
        <v>9.8540119935297295</v>
      </c>
      <c r="AN70" s="238" t="s">
        <v>1000</v>
      </c>
      <c r="AO70" s="117">
        <v>0.57999999999999996</v>
      </c>
      <c r="AP70" s="117">
        <v>4.3099999999999996</v>
      </c>
      <c r="AQ70" s="117">
        <v>1.79</v>
      </c>
      <c r="AR70" s="117">
        <v>0.31</v>
      </c>
      <c r="AS70" s="133"/>
      <c r="AV70" s="127">
        <v>0.97</v>
      </c>
      <c r="AW70" s="448">
        <v>5.1193118756936746</v>
      </c>
      <c r="AX70" s="130"/>
      <c r="AY70" s="131"/>
      <c r="AZ70" s="117">
        <v>1.0869391304347824</v>
      </c>
      <c r="BA70" s="117">
        <v>2.7514813043478261</v>
      </c>
      <c r="BB70" s="117">
        <v>37.878571428571426</v>
      </c>
      <c r="BC70" s="117">
        <v>5.503925925925925</v>
      </c>
      <c r="BD70" s="117">
        <v>0.59077796645745673</v>
      </c>
      <c r="BE70" s="117" t="s">
        <v>1125</v>
      </c>
      <c r="BF70" s="117">
        <v>1.0870700869565215</v>
      </c>
      <c r="BG70" s="117">
        <v>2.7456285341452804</v>
      </c>
      <c r="BH70" s="117">
        <v>37.824891217564868</v>
      </c>
      <c r="BI70" s="117">
        <v>3.9258600000000001</v>
      </c>
      <c r="BJ70" s="398">
        <v>6.0233013162954388E-2</v>
      </c>
      <c r="BK70" s="117" t="s">
        <v>1126</v>
      </c>
      <c r="BL70" s="117" t="s">
        <v>1136</v>
      </c>
    </row>
    <row r="71" spans="1:64" s="117" customFormat="1" ht="20.25" customHeight="1" thickBot="1" x14ac:dyDescent="0.35">
      <c r="A71" s="132" t="s">
        <v>353</v>
      </c>
      <c r="B71" s="117" t="s">
        <v>81</v>
      </c>
      <c r="C71" s="117" t="s">
        <v>354</v>
      </c>
      <c r="D71" s="117" t="s">
        <v>1240</v>
      </c>
      <c r="E71" s="117" t="s">
        <v>267</v>
      </c>
      <c r="F71" s="117" t="s">
        <v>346</v>
      </c>
      <c r="G71" s="117" t="s">
        <v>355</v>
      </c>
      <c r="H71" s="117" t="s">
        <v>356</v>
      </c>
      <c r="I71" s="117" t="s">
        <v>83</v>
      </c>
      <c r="J71" s="117" t="s">
        <v>84</v>
      </c>
      <c r="L71" s="125">
        <v>44726</v>
      </c>
      <c r="M71" s="126">
        <v>44746</v>
      </c>
      <c r="N71" s="117">
        <v>8.75</v>
      </c>
      <c r="O71" s="117">
        <v>0.2</v>
      </c>
      <c r="U71" s="356">
        <f>10.92*O71</f>
        <v>2.1840000000000002</v>
      </c>
      <c r="V71" s="356"/>
      <c r="W71" s="356"/>
      <c r="X71" s="118">
        <v>26</v>
      </c>
      <c r="Y71" s="118">
        <v>34</v>
      </c>
      <c r="Z71" s="117">
        <v>40</v>
      </c>
      <c r="AA71" s="239" t="s">
        <v>883</v>
      </c>
      <c r="AB71" s="247" t="s">
        <v>888</v>
      </c>
      <c r="AC71" s="127">
        <v>1.7569999999999999</v>
      </c>
      <c r="AD71" s="133"/>
      <c r="AE71" s="128">
        <v>52.98</v>
      </c>
      <c r="AF71" s="128">
        <v>697.57</v>
      </c>
      <c r="AG71" s="435">
        <v>207</v>
      </c>
      <c r="AH71" s="30">
        <v>153.57329999999999</v>
      </c>
      <c r="AI71" s="435">
        <v>10045</v>
      </c>
      <c r="AJ71" s="30">
        <v>7179.1615000000002</v>
      </c>
      <c r="AK71" s="435">
        <v>681</v>
      </c>
      <c r="AL71" s="30">
        <v>410.64299999999997</v>
      </c>
      <c r="AM71" s="238">
        <v>2.4929606283024941</v>
      </c>
      <c r="AN71" s="238" t="s">
        <v>1000</v>
      </c>
      <c r="AO71" s="117">
        <v>0.51</v>
      </c>
      <c r="AP71" s="117">
        <v>2.99</v>
      </c>
      <c r="AQ71" s="117">
        <v>1.67</v>
      </c>
      <c r="AR71" s="117">
        <v>0.32</v>
      </c>
      <c r="AS71" s="133"/>
      <c r="AV71" s="127">
        <v>0.95</v>
      </c>
      <c r="AW71" s="448">
        <v>6.8941504178272961</v>
      </c>
      <c r="AX71" s="130"/>
      <c r="AY71" s="131"/>
      <c r="AZ71" s="117">
        <v>1.4807751918158567</v>
      </c>
      <c r="BA71" s="117">
        <v>0.66770999999999991</v>
      </c>
      <c r="BB71" s="117">
        <v>35.875</v>
      </c>
      <c r="BC71" s="117">
        <v>3.3797777777777775</v>
      </c>
      <c r="BD71" s="117">
        <v>0.1507150482011024</v>
      </c>
      <c r="BE71" s="117" t="s">
        <v>1125</v>
      </c>
      <c r="BF71" s="117">
        <v>1.4809535984654731</v>
      </c>
      <c r="BG71" s="117">
        <v>0.66628969117007397</v>
      </c>
      <c r="BH71" s="117">
        <v>35.824159181636723</v>
      </c>
      <c r="BI71" s="117">
        <v>2.4107400000000001</v>
      </c>
      <c r="BJ71" s="398">
        <v>1.6499612214583969E-2</v>
      </c>
      <c r="BK71" s="117" t="s">
        <v>1126</v>
      </c>
      <c r="BL71" s="117" t="s">
        <v>1135</v>
      </c>
    </row>
    <row r="72" spans="1:64" s="117" customFormat="1" ht="20.25" customHeight="1" thickBot="1" x14ac:dyDescent="0.35">
      <c r="A72" s="111" t="s">
        <v>357</v>
      </c>
      <c r="B72" s="117" t="s">
        <v>81</v>
      </c>
      <c r="C72" s="117" t="s">
        <v>358</v>
      </c>
      <c r="D72" s="117" t="s">
        <v>1240</v>
      </c>
      <c r="E72" s="117" t="s">
        <v>267</v>
      </c>
      <c r="F72" s="117" t="s">
        <v>346</v>
      </c>
      <c r="G72" s="117" t="s">
        <v>359</v>
      </c>
      <c r="H72" s="117" t="s">
        <v>360</v>
      </c>
      <c r="I72" s="117" t="s">
        <v>83</v>
      </c>
      <c r="J72" s="117" t="s">
        <v>84</v>
      </c>
      <c r="L72" s="125">
        <v>44726</v>
      </c>
      <c r="M72" s="126">
        <v>44746</v>
      </c>
      <c r="N72" s="117">
        <v>8.81</v>
      </c>
      <c r="O72" s="117">
        <v>0.27</v>
      </c>
      <c r="S72" s="371"/>
      <c r="T72" s="371"/>
      <c r="U72" s="354">
        <f t="shared" ref="U72:U74" si="10">O72*9.63</f>
        <v>2.6001000000000003</v>
      </c>
      <c r="V72" s="355"/>
      <c r="W72" s="355"/>
      <c r="X72" s="118">
        <v>32</v>
      </c>
      <c r="Y72" s="118">
        <v>28</v>
      </c>
      <c r="Z72" s="117">
        <v>40</v>
      </c>
      <c r="AA72" s="239" t="s">
        <v>882</v>
      </c>
      <c r="AB72" s="247" t="s">
        <v>878</v>
      </c>
      <c r="AC72" s="127">
        <v>1.946</v>
      </c>
      <c r="AD72" s="133"/>
      <c r="AE72" s="128">
        <v>55.64</v>
      </c>
      <c r="AF72" s="128">
        <v>987.53</v>
      </c>
      <c r="AG72" s="435">
        <v>358</v>
      </c>
      <c r="AH72" s="30">
        <v>265.60020000000003</v>
      </c>
      <c r="AI72" s="435">
        <v>10124</v>
      </c>
      <c r="AJ72" s="30">
        <v>7235.6228000000001</v>
      </c>
      <c r="AK72" s="435">
        <v>739</v>
      </c>
      <c r="AL72" s="30">
        <v>445.61699999999996</v>
      </c>
      <c r="AM72" s="238">
        <v>4.2857588813100653</v>
      </c>
      <c r="AN72" s="238" t="s">
        <v>1000</v>
      </c>
      <c r="AO72" s="117">
        <v>0.56000000000000005</v>
      </c>
      <c r="AP72" s="117">
        <v>5.59</v>
      </c>
      <c r="AQ72" s="117">
        <v>1.99</v>
      </c>
      <c r="AR72" s="117">
        <v>0.39</v>
      </c>
      <c r="AS72" s="133"/>
      <c r="AV72" s="127">
        <v>0.82</v>
      </c>
      <c r="AW72" s="448">
        <v>5.2785923753665687</v>
      </c>
      <c r="AX72" s="130"/>
      <c r="AY72" s="131"/>
      <c r="AZ72" s="117">
        <v>2.0962913043478255</v>
      </c>
      <c r="BA72" s="117">
        <v>1.1547834782608697</v>
      </c>
      <c r="BB72" s="117">
        <v>36.157142857142858</v>
      </c>
      <c r="BC72" s="117">
        <v>3.6676296296296291</v>
      </c>
      <c r="BD72" s="117">
        <v>0.25878488570574759</v>
      </c>
      <c r="BE72" s="117" t="s">
        <v>1125</v>
      </c>
      <c r="BF72" s="117">
        <v>2.0965438695652172</v>
      </c>
      <c r="BG72" s="117">
        <v>1.1523270987385821</v>
      </c>
      <c r="BH72" s="117">
        <v>36.105902195608785</v>
      </c>
      <c r="BI72" s="117">
        <v>2.6160600000000001</v>
      </c>
      <c r="BJ72" s="398">
        <v>2.7455425872493222E-2</v>
      </c>
      <c r="BK72" s="117" t="s">
        <v>1126</v>
      </c>
      <c r="BL72" s="117" t="s">
        <v>1135</v>
      </c>
    </row>
    <row r="73" spans="1:64" s="117" customFormat="1" ht="20.25" customHeight="1" thickBot="1" x14ac:dyDescent="0.35">
      <c r="A73" s="111" t="s">
        <v>361</v>
      </c>
      <c r="B73" s="117" t="s">
        <v>81</v>
      </c>
      <c r="C73" s="117" t="s">
        <v>362</v>
      </c>
      <c r="D73" s="117" t="s">
        <v>1240</v>
      </c>
      <c r="E73" s="117" t="s">
        <v>363</v>
      </c>
      <c r="F73" s="117" t="s">
        <v>364</v>
      </c>
      <c r="G73" s="117" t="s">
        <v>365</v>
      </c>
      <c r="H73" s="124" t="s">
        <v>714</v>
      </c>
      <c r="I73" s="117" t="s">
        <v>83</v>
      </c>
      <c r="J73" s="117" t="s">
        <v>84</v>
      </c>
      <c r="L73" s="125">
        <v>44726</v>
      </c>
      <c r="M73" s="126">
        <v>44746</v>
      </c>
      <c r="N73" s="117">
        <v>8.42</v>
      </c>
      <c r="O73" s="117">
        <v>6.7</v>
      </c>
      <c r="S73" s="371"/>
      <c r="T73" s="371"/>
      <c r="U73" s="354">
        <f t="shared" si="10"/>
        <v>64.521000000000001</v>
      </c>
      <c r="V73" s="355"/>
      <c r="W73" s="355"/>
      <c r="X73" s="118">
        <v>30</v>
      </c>
      <c r="Y73" s="118">
        <v>26</v>
      </c>
      <c r="Z73" s="117">
        <v>44</v>
      </c>
      <c r="AA73" s="239" t="s">
        <v>882</v>
      </c>
      <c r="AB73" s="247" t="s">
        <v>878</v>
      </c>
      <c r="AC73" s="127">
        <v>2.2330000000000001</v>
      </c>
      <c r="AE73" s="118">
        <v>57.28</v>
      </c>
      <c r="AF73" s="128">
        <v>1005.88</v>
      </c>
      <c r="AG73" s="435">
        <v>7566</v>
      </c>
      <c r="AH73" s="30">
        <v>5613.2154</v>
      </c>
      <c r="AI73" s="435">
        <v>12224</v>
      </c>
      <c r="AJ73" s="30">
        <v>8736.4928</v>
      </c>
      <c r="AK73" s="435">
        <v>1234</v>
      </c>
      <c r="AL73" s="30">
        <v>744.10199999999998</v>
      </c>
      <c r="AM73" s="238">
        <v>81.528398853191959</v>
      </c>
      <c r="AN73" s="339" t="s">
        <v>997</v>
      </c>
      <c r="AO73" s="129">
        <v>0.54</v>
      </c>
      <c r="AP73" s="129">
        <v>2.4700000000000002</v>
      </c>
      <c r="AQ73" s="129">
        <v>2.92</v>
      </c>
      <c r="AR73" s="129">
        <v>0.33</v>
      </c>
      <c r="AV73" s="127">
        <v>2.56</v>
      </c>
      <c r="AW73" s="448">
        <v>18.453795610233463</v>
      </c>
      <c r="AX73" s="130">
        <v>5.6</v>
      </c>
      <c r="AY73" s="131"/>
      <c r="AZ73" s="117">
        <v>2.1352439897698208</v>
      </c>
      <c r="BA73" s="117">
        <v>24.40528434782609</v>
      </c>
      <c r="BB73" s="117">
        <v>43.657142857142858</v>
      </c>
      <c r="BC73" s="117">
        <v>6.1242962962962961</v>
      </c>
      <c r="BD73" s="117">
        <v>4.8917600510364831</v>
      </c>
      <c r="BE73" s="117" t="s">
        <v>1125</v>
      </c>
      <c r="BF73" s="117">
        <v>2.1355012480818414</v>
      </c>
      <c r="BG73" s="117">
        <v>24.353371030882993</v>
      </c>
      <c r="BH73" s="117">
        <v>43.59527345309381</v>
      </c>
      <c r="BI73" s="117">
        <v>4.36836</v>
      </c>
      <c r="BJ73" s="398">
        <v>0.32709941447137392</v>
      </c>
      <c r="BK73" s="117" t="s">
        <v>1130</v>
      </c>
      <c r="BL73" s="117" t="s">
        <v>1136</v>
      </c>
    </row>
    <row r="74" spans="1:64" s="117" customFormat="1" ht="20.25" customHeight="1" thickBot="1" x14ac:dyDescent="0.35">
      <c r="A74" s="111" t="s">
        <v>366</v>
      </c>
      <c r="B74" s="117" t="s">
        <v>81</v>
      </c>
      <c r="C74" s="117" t="s">
        <v>367</v>
      </c>
      <c r="D74" s="117" t="s">
        <v>1240</v>
      </c>
      <c r="E74" s="117" t="s">
        <v>363</v>
      </c>
      <c r="F74" s="117" t="s">
        <v>364</v>
      </c>
      <c r="G74" s="117" t="s">
        <v>368</v>
      </c>
      <c r="H74" s="124" t="s">
        <v>715</v>
      </c>
      <c r="I74" s="117" t="s">
        <v>83</v>
      </c>
      <c r="J74" s="117" t="s">
        <v>84</v>
      </c>
      <c r="L74" s="125">
        <v>44726</v>
      </c>
      <c r="M74" s="126">
        <v>44746</v>
      </c>
      <c r="N74" s="117">
        <v>8.42</v>
      </c>
      <c r="O74" s="117">
        <v>7.8</v>
      </c>
      <c r="S74" s="371"/>
      <c r="T74" s="371"/>
      <c r="U74" s="354">
        <f t="shared" si="10"/>
        <v>75.114000000000004</v>
      </c>
      <c r="V74" s="355"/>
      <c r="W74" s="355"/>
      <c r="X74" s="118">
        <v>30</v>
      </c>
      <c r="Y74" s="118">
        <v>28</v>
      </c>
      <c r="Z74" s="117">
        <v>42</v>
      </c>
      <c r="AA74" s="239" t="s">
        <v>882</v>
      </c>
      <c r="AB74" s="247" t="s">
        <v>878</v>
      </c>
      <c r="AC74" s="127">
        <v>2.2000000000000002</v>
      </c>
      <c r="AE74" s="118">
        <v>58.47</v>
      </c>
      <c r="AF74" s="128">
        <v>931.41</v>
      </c>
      <c r="AG74" s="436">
        <v>7847</v>
      </c>
      <c r="AH74" s="30">
        <v>5821.6893</v>
      </c>
      <c r="AI74" s="436">
        <v>11735</v>
      </c>
      <c r="AJ74" s="30">
        <v>8387.0045000000009</v>
      </c>
      <c r="AK74" s="436">
        <v>1206</v>
      </c>
      <c r="AL74" s="30">
        <v>727.21799999999996</v>
      </c>
      <c r="AM74" s="238">
        <v>86.239098555384444</v>
      </c>
      <c r="AN74" s="339" t="s">
        <v>997</v>
      </c>
      <c r="AO74" s="129">
        <v>0.61</v>
      </c>
      <c r="AP74" s="129">
        <v>3.3</v>
      </c>
      <c r="AQ74" s="129">
        <v>1.26</v>
      </c>
      <c r="AR74" s="129">
        <v>0.35</v>
      </c>
      <c r="AV74" s="127">
        <v>2.4900000000000002</v>
      </c>
      <c r="AW74" s="448">
        <v>20.11173184357542</v>
      </c>
      <c r="AX74" s="130">
        <v>5.9</v>
      </c>
      <c r="AY74" s="131"/>
      <c r="AZ74" s="117">
        <v>1.97716189258312</v>
      </c>
      <c r="BA74" s="117">
        <v>25.311692608695655</v>
      </c>
      <c r="BB74" s="117">
        <v>41.910714285714285</v>
      </c>
      <c r="BC74" s="117">
        <v>5.9853333333333332</v>
      </c>
      <c r="BD74" s="117">
        <v>5.1723314472126534</v>
      </c>
      <c r="BE74" s="117" t="s">
        <v>1125</v>
      </c>
      <c r="BF74" s="117">
        <v>1.9774001048593348</v>
      </c>
      <c r="BG74" s="117">
        <v>25.257851239669421</v>
      </c>
      <c r="BH74" s="117">
        <v>41.851319860279446</v>
      </c>
      <c r="BI74" s="117">
        <v>4.2692399999999999</v>
      </c>
      <c r="BJ74" s="398">
        <v>0.34431970453097338</v>
      </c>
      <c r="BK74" s="117" t="s">
        <v>1130</v>
      </c>
      <c r="BL74" s="117" t="s">
        <v>1136</v>
      </c>
    </row>
    <row r="75" spans="1:64" s="117" customFormat="1" ht="20.25" customHeight="1" thickBot="1" x14ac:dyDescent="0.35">
      <c r="A75" s="111" t="s">
        <v>369</v>
      </c>
      <c r="B75" s="117" t="s">
        <v>81</v>
      </c>
      <c r="C75" s="117" t="s">
        <v>370</v>
      </c>
      <c r="D75" s="117" t="s">
        <v>1240</v>
      </c>
      <c r="E75" s="117" t="s">
        <v>363</v>
      </c>
      <c r="F75" s="117" t="s">
        <v>364</v>
      </c>
      <c r="G75" s="117" t="s">
        <v>371</v>
      </c>
      <c r="H75" s="124" t="s">
        <v>716</v>
      </c>
      <c r="I75" s="117" t="s">
        <v>83</v>
      </c>
      <c r="J75" s="117" t="s">
        <v>84</v>
      </c>
      <c r="L75" s="125">
        <v>44726</v>
      </c>
      <c r="M75" s="126">
        <v>44746</v>
      </c>
      <c r="N75" s="117">
        <v>7.95</v>
      </c>
      <c r="O75" s="117">
        <v>15.4</v>
      </c>
      <c r="U75" s="356">
        <f>10.92*O75</f>
        <v>168.16800000000001</v>
      </c>
      <c r="V75" s="356"/>
      <c r="W75" s="356"/>
      <c r="X75" s="118">
        <v>10</v>
      </c>
      <c r="Y75" s="118">
        <v>44</v>
      </c>
      <c r="Z75" s="117">
        <v>46</v>
      </c>
      <c r="AA75" s="239" t="s">
        <v>883</v>
      </c>
      <c r="AB75" s="247" t="s">
        <v>888</v>
      </c>
      <c r="AC75" s="127">
        <v>4.4779999999999998</v>
      </c>
      <c r="AE75" s="128">
        <v>219.42</v>
      </c>
      <c r="AF75" s="128">
        <v>661.33</v>
      </c>
      <c r="AG75" s="435">
        <v>17174</v>
      </c>
      <c r="AH75" s="30">
        <v>12741.390600000001</v>
      </c>
      <c r="AI75" s="435">
        <v>16686</v>
      </c>
      <c r="AJ75" s="30">
        <v>11925.484200000001</v>
      </c>
      <c r="AK75" s="435">
        <v>5650</v>
      </c>
      <c r="AL75" s="30">
        <v>3406.95</v>
      </c>
      <c r="AM75" s="238">
        <v>145.52120178758773</v>
      </c>
      <c r="AN75" s="339" t="s">
        <v>997</v>
      </c>
      <c r="AO75" s="129">
        <v>1.03</v>
      </c>
      <c r="AP75" s="129">
        <v>31.25</v>
      </c>
      <c r="AQ75" s="129">
        <v>2.19</v>
      </c>
      <c r="AR75" s="129">
        <v>3.56</v>
      </c>
      <c r="AV75" s="127">
        <v>3.81</v>
      </c>
      <c r="AW75" s="448">
        <v>8.3263946711074102</v>
      </c>
      <c r="AX75" s="130"/>
      <c r="AY75" s="131"/>
      <c r="AZ75" s="117">
        <v>1.4038462915601024</v>
      </c>
      <c r="BA75" s="117">
        <v>55.397350434782609</v>
      </c>
      <c r="BB75" s="117">
        <v>59.592857142857142</v>
      </c>
      <c r="BC75" s="117">
        <v>28.040740740740738</v>
      </c>
      <c r="BD75" s="117">
        <v>8.3689056216829698</v>
      </c>
      <c r="BE75" s="117" t="s">
        <v>1125</v>
      </c>
      <c r="BF75" s="117">
        <v>1.4040154296675191</v>
      </c>
      <c r="BG75" s="117">
        <v>55.27951283166594</v>
      </c>
      <c r="BH75" s="117">
        <v>59.508404191616769</v>
      </c>
      <c r="BI75" s="117">
        <v>20.001000000000001</v>
      </c>
      <c r="BJ75" s="398">
        <v>0.40589120034376985</v>
      </c>
      <c r="BK75" s="117" t="s">
        <v>1130</v>
      </c>
      <c r="BL75" s="117" t="s">
        <v>1136</v>
      </c>
    </row>
    <row r="76" spans="1:64" s="117" customFormat="1" ht="20.25" customHeight="1" thickBot="1" x14ac:dyDescent="0.35">
      <c r="A76" s="111" t="s">
        <v>372</v>
      </c>
      <c r="B76" s="117" t="s">
        <v>81</v>
      </c>
      <c r="C76" s="117" t="s">
        <v>373</v>
      </c>
      <c r="D76" s="117" t="s">
        <v>1240</v>
      </c>
      <c r="E76" s="117" t="s">
        <v>363</v>
      </c>
      <c r="F76" s="117" t="s">
        <v>364</v>
      </c>
      <c r="G76" s="117" t="s">
        <v>374</v>
      </c>
      <c r="H76" s="124" t="s">
        <v>717</v>
      </c>
      <c r="I76" s="117" t="s">
        <v>83</v>
      </c>
      <c r="J76" s="117" t="s">
        <v>84</v>
      </c>
      <c r="L76" s="125">
        <v>44726</v>
      </c>
      <c r="M76" s="126">
        <v>44746</v>
      </c>
      <c r="N76" s="117">
        <v>8.44</v>
      </c>
      <c r="O76" s="117">
        <v>4.8</v>
      </c>
      <c r="S76" s="371"/>
      <c r="T76" s="371"/>
      <c r="U76" s="354">
        <f>O76*9.63</f>
        <v>46.224000000000004</v>
      </c>
      <c r="V76" s="355"/>
      <c r="W76" s="355"/>
      <c r="X76" s="118">
        <v>28</v>
      </c>
      <c r="Y76" s="118">
        <v>28</v>
      </c>
      <c r="Z76" s="117">
        <v>44</v>
      </c>
      <c r="AA76" s="239" t="s">
        <v>882</v>
      </c>
      <c r="AB76" s="247" t="s">
        <v>878</v>
      </c>
      <c r="AC76" s="127">
        <v>2.02</v>
      </c>
      <c r="AE76" s="128">
        <v>68.83</v>
      </c>
      <c r="AF76" s="128">
        <v>910.04</v>
      </c>
      <c r="AG76" s="435">
        <v>5877</v>
      </c>
      <c r="AH76" s="30">
        <v>4360.1463000000003</v>
      </c>
      <c r="AI76" s="435">
        <v>12448</v>
      </c>
      <c r="AJ76" s="30">
        <v>8896.5856000000003</v>
      </c>
      <c r="AK76" s="435">
        <v>1142</v>
      </c>
      <c r="AL76" s="30">
        <v>688.62599999999998</v>
      </c>
      <c r="AM76" s="238">
        <v>62.981820131593125</v>
      </c>
      <c r="AN76" s="339" t="s">
        <v>997</v>
      </c>
      <c r="AO76" s="129">
        <v>0.59</v>
      </c>
      <c r="AP76" s="129">
        <v>2.63</v>
      </c>
      <c r="AQ76" s="129">
        <v>1.26</v>
      </c>
      <c r="AR76" s="129">
        <v>0.33</v>
      </c>
      <c r="AV76" s="127">
        <v>2.5499999999999998</v>
      </c>
      <c r="AW76" s="448">
        <v>20.876826722338208</v>
      </c>
      <c r="AX76" s="130">
        <v>6.1</v>
      </c>
      <c r="AY76" s="131"/>
      <c r="AZ76" s="117">
        <v>1.9317984654731455</v>
      </c>
      <c r="BA76" s="117">
        <v>18.957157826086956</v>
      </c>
      <c r="BB76" s="117">
        <v>44.457142857142856</v>
      </c>
      <c r="BC76" s="117">
        <v>5.6677037037037037</v>
      </c>
      <c r="BD76" s="117">
        <v>3.7867069392621593</v>
      </c>
      <c r="BE76" s="117" t="s">
        <v>1125</v>
      </c>
      <c r="BF76" s="117">
        <v>1.9320312122762147</v>
      </c>
      <c r="BG76" s="117">
        <v>18.916833405828619</v>
      </c>
      <c r="BH76" s="117">
        <v>44.394139720558883</v>
      </c>
      <c r="BI76" s="117">
        <v>4.0426799999999998</v>
      </c>
      <c r="BJ76" s="398">
        <v>0.27302657953646559</v>
      </c>
      <c r="BK76" s="117" t="s">
        <v>1127</v>
      </c>
      <c r="BL76" s="117" t="s">
        <v>1136</v>
      </c>
    </row>
    <row r="77" spans="1:64" s="117" customFormat="1" ht="20.25" customHeight="1" thickBot="1" x14ac:dyDescent="0.35">
      <c r="A77" s="111" t="s">
        <v>375</v>
      </c>
      <c r="B77" s="117" t="s">
        <v>81</v>
      </c>
      <c r="C77" s="117" t="s">
        <v>376</v>
      </c>
      <c r="D77" s="117" t="s">
        <v>1240</v>
      </c>
      <c r="E77" s="117" t="s">
        <v>363</v>
      </c>
      <c r="F77" s="117" t="s">
        <v>364</v>
      </c>
      <c r="G77" s="117" t="s">
        <v>377</v>
      </c>
      <c r="H77" s="124" t="s">
        <v>718</v>
      </c>
      <c r="I77" s="117" t="s">
        <v>83</v>
      </c>
      <c r="J77" s="117" t="s">
        <v>84</v>
      </c>
      <c r="L77" s="125">
        <v>44726</v>
      </c>
      <c r="M77" s="126">
        <v>44746</v>
      </c>
      <c r="N77" s="117">
        <v>8.41</v>
      </c>
      <c r="O77" s="117">
        <v>6.3</v>
      </c>
      <c r="U77" s="356">
        <f t="shared" ref="U77:U81" si="11">O77*12.43</f>
        <v>78.308999999999997</v>
      </c>
      <c r="V77" s="356"/>
      <c r="W77" s="356"/>
      <c r="X77" s="118">
        <v>28</v>
      </c>
      <c r="Y77" s="118">
        <v>24</v>
      </c>
      <c r="Z77" s="117">
        <v>48</v>
      </c>
      <c r="AA77" s="239" t="s">
        <v>885</v>
      </c>
      <c r="AB77" s="247" t="s">
        <v>880</v>
      </c>
      <c r="AC77" s="127">
        <v>2.0659999999999998</v>
      </c>
      <c r="AE77" s="128">
        <v>55.07</v>
      </c>
      <c r="AF77" s="128">
        <v>995.79</v>
      </c>
      <c r="AG77" s="435">
        <v>7516</v>
      </c>
      <c r="AH77" s="30">
        <v>5576.1203999999998</v>
      </c>
      <c r="AI77" s="435">
        <v>12917</v>
      </c>
      <c r="AJ77" s="30">
        <v>9231.7798999999995</v>
      </c>
      <c r="AK77" s="435">
        <v>1246</v>
      </c>
      <c r="AL77" s="30">
        <v>751.33799999999997</v>
      </c>
      <c r="AM77" s="238">
        <v>78.924899995040946</v>
      </c>
      <c r="AN77" s="339" t="s">
        <v>997</v>
      </c>
      <c r="AO77" s="117">
        <v>0.53</v>
      </c>
      <c r="AP77" s="117">
        <v>2.1</v>
      </c>
      <c r="AQ77" s="117">
        <v>0.96</v>
      </c>
      <c r="AR77" s="117">
        <v>0.31</v>
      </c>
      <c r="AV77" s="127">
        <v>2.7</v>
      </c>
      <c r="AW77" s="448">
        <v>16.703786191536746</v>
      </c>
      <c r="AX77" s="130">
        <v>4.5999999999999996</v>
      </c>
      <c r="AY77" s="131"/>
      <c r="AZ77" s="117">
        <v>2.1138253196930941</v>
      </c>
      <c r="BA77" s="117">
        <v>24.244001739130432</v>
      </c>
      <c r="BB77" s="117">
        <v>46.132142857142853</v>
      </c>
      <c r="BC77" s="117">
        <v>6.183851851851851</v>
      </c>
      <c r="BD77" s="117">
        <v>4.7402588828841692</v>
      </c>
      <c r="BE77" s="117" t="s">
        <v>1125</v>
      </c>
      <c r="BF77" s="117">
        <v>2.1140799974424551</v>
      </c>
      <c r="BG77" s="117">
        <v>24.192431491953023</v>
      </c>
      <c r="BH77" s="117">
        <v>46.066765968063869</v>
      </c>
      <c r="BI77" s="117">
        <v>4.4108400000000003</v>
      </c>
      <c r="BJ77" s="398">
        <v>0.31507077626250424</v>
      </c>
      <c r="BK77" s="117" t="s">
        <v>1130</v>
      </c>
      <c r="BL77" s="117" t="s">
        <v>1136</v>
      </c>
    </row>
    <row r="78" spans="1:64" s="117" customFormat="1" ht="20.25" customHeight="1" thickBot="1" x14ac:dyDescent="0.35">
      <c r="A78" s="111" t="s">
        <v>378</v>
      </c>
      <c r="B78" s="117" t="s">
        <v>81</v>
      </c>
      <c r="C78" s="117" t="s">
        <v>379</v>
      </c>
      <c r="D78" s="117" t="s">
        <v>1240</v>
      </c>
      <c r="E78" s="117" t="s">
        <v>380</v>
      </c>
      <c r="F78" s="117" t="s">
        <v>381</v>
      </c>
      <c r="G78" s="117" t="s">
        <v>382</v>
      </c>
      <c r="H78" s="117" t="s">
        <v>383</v>
      </c>
      <c r="I78" s="117" t="s">
        <v>83</v>
      </c>
      <c r="J78" s="117" t="s">
        <v>84</v>
      </c>
      <c r="L78" s="125">
        <v>44726</v>
      </c>
      <c r="M78" s="126">
        <v>44746</v>
      </c>
      <c r="N78" s="117">
        <v>8.57</v>
      </c>
      <c r="O78" s="117">
        <v>0.34</v>
      </c>
      <c r="U78" s="356">
        <f t="shared" si="11"/>
        <v>4.2262000000000004</v>
      </c>
      <c r="V78" s="356"/>
      <c r="W78" s="356"/>
      <c r="X78" s="118">
        <v>30</v>
      </c>
      <c r="Y78" s="118">
        <v>24</v>
      </c>
      <c r="Z78" s="117">
        <v>46</v>
      </c>
      <c r="AA78" s="239" t="s">
        <v>885</v>
      </c>
      <c r="AB78" s="247" t="s">
        <v>880</v>
      </c>
      <c r="AC78" s="127">
        <v>3.5950000000000002</v>
      </c>
      <c r="AE78" s="128">
        <v>52.76</v>
      </c>
      <c r="AF78" s="128">
        <v>668.41</v>
      </c>
      <c r="AG78" s="435">
        <v>498</v>
      </c>
      <c r="AH78" s="30">
        <v>369.46620000000001</v>
      </c>
      <c r="AI78" s="435">
        <v>5801</v>
      </c>
      <c r="AJ78" s="30">
        <v>4145.9746999999998</v>
      </c>
      <c r="AK78" s="435">
        <v>1803</v>
      </c>
      <c r="AL78" s="30">
        <v>1087.2090000000001</v>
      </c>
      <c r="AM78" s="238">
        <v>7.2228188313590094</v>
      </c>
      <c r="AN78" s="238" t="s">
        <v>1000</v>
      </c>
      <c r="AO78" s="117">
        <v>2.75</v>
      </c>
      <c r="AP78" s="117">
        <v>14.17</v>
      </c>
      <c r="AQ78" s="117">
        <v>4.63</v>
      </c>
      <c r="AR78" s="117">
        <v>4.57</v>
      </c>
      <c r="AV78" s="127">
        <v>1.25</v>
      </c>
      <c r="AW78" s="448">
        <v>8.3391243919388458E-2</v>
      </c>
      <c r="AX78" s="130"/>
      <c r="AY78" s="131"/>
      <c r="AZ78" s="117">
        <v>1.4188754475703322</v>
      </c>
      <c r="BA78" s="117">
        <v>1.6063747826086958</v>
      </c>
      <c r="BB78" s="117">
        <v>20.717857142857142</v>
      </c>
      <c r="BC78" s="117">
        <v>8.9482222222222223</v>
      </c>
      <c r="BD78" s="117">
        <v>0.41709194098900138</v>
      </c>
      <c r="BE78" s="117" t="s">
        <v>1125</v>
      </c>
      <c r="BF78" s="117">
        <v>1.4190463964194373</v>
      </c>
      <c r="BG78" s="117">
        <v>1.6029578077424966</v>
      </c>
      <c r="BH78" s="117">
        <v>20.688496506986027</v>
      </c>
      <c r="BI78" s="117">
        <v>6.3826200000000002</v>
      </c>
      <c r="BJ78" s="398">
        <v>5.3266586178570802E-2</v>
      </c>
      <c r="BK78" s="117" t="s">
        <v>1126</v>
      </c>
      <c r="BL78" s="117" t="s">
        <v>1135</v>
      </c>
    </row>
    <row r="79" spans="1:64" s="117" customFormat="1" ht="20.25" customHeight="1" thickBot="1" x14ac:dyDescent="0.35">
      <c r="A79" s="111" t="s">
        <v>384</v>
      </c>
      <c r="B79" s="117" t="s">
        <v>81</v>
      </c>
      <c r="C79" s="117" t="s">
        <v>385</v>
      </c>
      <c r="D79" s="117" t="s">
        <v>1240</v>
      </c>
      <c r="E79" s="117" t="s">
        <v>380</v>
      </c>
      <c r="F79" s="117" t="s">
        <v>381</v>
      </c>
      <c r="G79" s="117" t="s">
        <v>386</v>
      </c>
      <c r="H79" s="117" t="s">
        <v>387</v>
      </c>
      <c r="I79" s="117" t="s">
        <v>83</v>
      </c>
      <c r="J79" s="117" t="s">
        <v>84</v>
      </c>
      <c r="L79" s="125">
        <v>44726</v>
      </c>
      <c r="M79" s="126">
        <v>44746</v>
      </c>
      <c r="N79" s="117">
        <v>8.33</v>
      </c>
      <c r="O79" s="117">
        <v>0.74</v>
      </c>
      <c r="U79" s="356">
        <f t="shared" si="11"/>
        <v>9.1981999999999999</v>
      </c>
      <c r="V79" s="356"/>
      <c r="W79" s="356"/>
      <c r="X79" s="118">
        <v>20</v>
      </c>
      <c r="Y79" s="118">
        <v>18</v>
      </c>
      <c r="Z79" s="117">
        <v>62</v>
      </c>
      <c r="AA79" s="239" t="s">
        <v>886</v>
      </c>
      <c r="AB79" s="247" t="s">
        <v>881</v>
      </c>
      <c r="AC79" s="127">
        <v>5.1219999999999999</v>
      </c>
      <c r="AE79" s="128">
        <v>60.32</v>
      </c>
      <c r="AF79" s="128">
        <v>668.51</v>
      </c>
      <c r="AG79" s="435">
        <v>946</v>
      </c>
      <c r="AH79" s="30">
        <v>701.8374</v>
      </c>
      <c r="AI79" s="435">
        <v>8426</v>
      </c>
      <c r="AJ79" s="30">
        <v>6022.0622000000003</v>
      </c>
      <c r="AK79" s="435">
        <v>1680</v>
      </c>
      <c r="AL79" s="30">
        <v>1013.04</v>
      </c>
      <c r="AM79" s="238">
        <v>11.833584052714174</v>
      </c>
      <c r="AN79" s="238" t="s">
        <v>1000</v>
      </c>
      <c r="AO79" s="117">
        <v>0.93</v>
      </c>
      <c r="AP79" s="117">
        <v>22.39</v>
      </c>
      <c r="AQ79" s="117">
        <v>4.21</v>
      </c>
      <c r="AR79" s="117">
        <v>5.32</v>
      </c>
      <c r="AV79" s="127">
        <v>1.95</v>
      </c>
      <c r="AW79" s="448">
        <v>0.28337269065147935</v>
      </c>
      <c r="AX79" s="130"/>
      <c r="AY79" s="131"/>
      <c r="AZ79" s="117">
        <v>1.419087723785166</v>
      </c>
      <c r="BA79" s="117">
        <v>3.0514669565217392</v>
      </c>
      <c r="BB79" s="117">
        <v>30.092857142857145</v>
      </c>
      <c r="BC79" s="117">
        <v>8.3377777777777773</v>
      </c>
      <c r="BD79" s="117">
        <v>0.69612124701375222</v>
      </c>
      <c r="BE79" s="117" t="s">
        <v>1125</v>
      </c>
      <c r="BF79" s="117">
        <v>1.4192586982097184</v>
      </c>
      <c r="BG79" s="117">
        <v>3.0449760765550238</v>
      </c>
      <c r="BH79" s="117">
        <v>30.050210578842314</v>
      </c>
      <c r="BI79" s="117">
        <v>5.9472000000000005</v>
      </c>
      <c r="BJ79" s="398">
        <v>7.525586391616107E-2</v>
      </c>
      <c r="BK79" s="117" t="s">
        <v>1126</v>
      </c>
      <c r="BL79" s="117" t="s">
        <v>1136</v>
      </c>
    </row>
    <row r="80" spans="1:64" s="117" customFormat="1" ht="20.25" customHeight="1" thickBot="1" x14ac:dyDescent="0.35">
      <c r="A80" s="111" t="s">
        <v>388</v>
      </c>
      <c r="B80" s="117" t="s">
        <v>81</v>
      </c>
      <c r="C80" s="117" t="s">
        <v>389</v>
      </c>
      <c r="D80" s="117" t="s">
        <v>1240</v>
      </c>
      <c r="E80" s="117" t="s">
        <v>380</v>
      </c>
      <c r="F80" s="117" t="s">
        <v>381</v>
      </c>
      <c r="G80" s="117" t="s">
        <v>386</v>
      </c>
      <c r="H80" s="117" t="s">
        <v>390</v>
      </c>
      <c r="I80" s="117" t="s">
        <v>83</v>
      </c>
      <c r="J80" s="117" t="s">
        <v>84</v>
      </c>
      <c r="L80" s="125">
        <v>44726</v>
      </c>
      <c r="M80" s="126">
        <v>44746</v>
      </c>
      <c r="N80" s="117">
        <v>8.57</v>
      </c>
      <c r="O80" s="117">
        <v>0.28999999999999998</v>
      </c>
      <c r="U80" s="356">
        <f t="shared" si="11"/>
        <v>3.6046999999999998</v>
      </c>
      <c r="V80" s="356"/>
      <c r="W80" s="356"/>
      <c r="X80" s="118">
        <v>26</v>
      </c>
      <c r="Y80" s="118">
        <v>20</v>
      </c>
      <c r="Z80" s="117">
        <v>54</v>
      </c>
      <c r="AA80" s="239" t="s">
        <v>885</v>
      </c>
      <c r="AB80" s="247" t="s">
        <v>880</v>
      </c>
      <c r="AC80" s="127">
        <v>3.2160000000000002</v>
      </c>
      <c r="AE80" s="128">
        <v>60.15</v>
      </c>
      <c r="AF80" s="128">
        <v>531.37</v>
      </c>
      <c r="AG80" s="435">
        <v>399</v>
      </c>
      <c r="AH80" s="30">
        <v>296.0181</v>
      </c>
      <c r="AI80" s="435">
        <v>5318</v>
      </c>
      <c r="AJ80" s="30">
        <v>3800.7746000000002</v>
      </c>
      <c r="AK80" s="435">
        <v>1339</v>
      </c>
      <c r="AL80" s="30">
        <v>807.41700000000003</v>
      </c>
      <c r="AM80" s="238">
        <v>6.1669155415868566</v>
      </c>
      <c r="AN80" s="238" t="s">
        <v>1000</v>
      </c>
      <c r="AO80" s="117">
        <v>1.22</v>
      </c>
      <c r="AP80" s="117">
        <v>10.81</v>
      </c>
      <c r="AQ80" s="117">
        <v>4.1399999999999997</v>
      </c>
      <c r="AR80" s="117">
        <v>2.95</v>
      </c>
      <c r="AV80" s="127">
        <v>0.86</v>
      </c>
      <c r="AW80" s="448">
        <v>0.66815144766146983</v>
      </c>
      <c r="AX80" s="130"/>
      <c r="AY80" s="131"/>
      <c r="AZ80" s="117">
        <v>1.1279721227621482</v>
      </c>
      <c r="BA80" s="117">
        <v>1.2870352173913044</v>
      </c>
      <c r="BB80" s="117">
        <v>18.99285714285714</v>
      </c>
      <c r="BC80" s="117">
        <v>6.6454074074074079</v>
      </c>
      <c r="BD80" s="117">
        <v>0.35946872918263462</v>
      </c>
      <c r="BE80" s="117" t="s">
        <v>1125</v>
      </c>
      <c r="BF80" s="117">
        <v>1.1281080230179028</v>
      </c>
      <c r="BG80" s="117">
        <v>1.2842975206611569</v>
      </c>
      <c r="BH80" s="117">
        <v>18.965941117764473</v>
      </c>
      <c r="BI80" s="117">
        <v>4.7400600000000006</v>
      </c>
      <c r="BJ80" s="398">
        <v>4.9172123602664486E-2</v>
      </c>
      <c r="BK80" s="117" t="s">
        <v>1126</v>
      </c>
      <c r="BL80" s="117" t="s">
        <v>1135</v>
      </c>
    </row>
    <row r="81" spans="1:64" s="135" customFormat="1" ht="20.25" customHeight="1" thickBot="1" x14ac:dyDescent="0.35">
      <c r="A81" s="111" t="s">
        <v>391</v>
      </c>
      <c r="B81" s="135" t="s">
        <v>81</v>
      </c>
      <c r="C81" s="135" t="s">
        <v>392</v>
      </c>
      <c r="D81" s="135" t="s">
        <v>1240</v>
      </c>
      <c r="E81" s="135" t="s">
        <v>380</v>
      </c>
      <c r="F81" s="135" t="s">
        <v>381</v>
      </c>
      <c r="G81" s="135" t="s">
        <v>393</v>
      </c>
      <c r="H81" s="135" t="s">
        <v>394</v>
      </c>
      <c r="I81" s="135" t="s">
        <v>83</v>
      </c>
      <c r="J81" s="135" t="s">
        <v>84</v>
      </c>
      <c r="L81" s="136">
        <v>44726</v>
      </c>
      <c r="M81" s="137">
        <v>44746</v>
      </c>
      <c r="N81" s="135">
        <v>8.35</v>
      </c>
      <c r="O81" s="135">
        <v>0.39</v>
      </c>
      <c r="S81" s="372"/>
      <c r="T81" s="372"/>
      <c r="U81" s="356">
        <f t="shared" si="11"/>
        <v>4.8476999999999997</v>
      </c>
      <c r="V81" s="359"/>
      <c r="W81" s="359"/>
      <c r="X81" s="138">
        <v>22</v>
      </c>
      <c r="Y81" s="138">
        <v>22</v>
      </c>
      <c r="Z81" s="117">
        <v>56</v>
      </c>
      <c r="AA81" s="239" t="s">
        <v>885</v>
      </c>
      <c r="AB81" s="247" t="s">
        <v>880</v>
      </c>
      <c r="AC81" s="139">
        <v>5.53</v>
      </c>
      <c r="AE81" s="140">
        <v>39.270000000000003</v>
      </c>
      <c r="AF81" s="140">
        <v>517.73</v>
      </c>
      <c r="AG81" s="439">
        <v>538</v>
      </c>
      <c r="AH81" s="30">
        <v>399.1422</v>
      </c>
      <c r="AI81" s="439">
        <v>10031</v>
      </c>
      <c r="AJ81" s="30">
        <v>7169.1557000000003</v>
      </c>
      <c r="AK81" s="439">
        <v>1566</v>
      </c>
      <c r="AL81" s="30">
        <v>944.298</v>
      </c>
      <c r="AM81" s="238">
        <v>6.2667123932895006</v>
      </c>
      <c r="AN81" s="238" t="s">
        <v>1000</v>
      </c>
      <c r="AO81" s="135">
        <v>0.94</v>
      </c>
      <c r="AP81" s="135">
        <v>21.11</v>
      </c>
      <c r="AQ81" s="135">
        <v>5.66</v>
      </c>
      <c r="AR81" s="135">
        <v>11.08</v>
      </c>
      <c r="AV81" s="139">
        <v>1.42</v>
      </c>
      <c r="AW81" s="449">
        <v>9.9020979020978999</v>
      </c>
      <c r="AX81" s="141"/>
      <c r="AY81" s="142"/>
      <c r="AZ81" s="135">
        <v>1.0990176470588235</v>
      </c>
      <c r="BA81" s="135">
        <v>1.7354008695652174</v>
      </c>
      <c r="BB81" s="135">
        <v>35.825000000000003</v>
      </c>
      <c r="BC81" s="135">
        <v>7.7719999999999994</v>
      </c>
      <c r="BD81" s="135">
        <v>0.3716948174552685</v>
      </c>
      <c r="BE81" s="135" t="s">
        <v>1125</v>
      </c>
      <c r="BF81" s="135">
        <v>1.0991500588235295</v>
      </c>
      <c r="BG81" s="135">
        <v>1.7317094388864724</v>
      </c>
      <c r="BH81" s="135">
        <v>35.774230039920162</v>
      </c>
      <c r="BI81" s="135">
        <v>5.5436399999999999</v>
      </c>
      <c r="BJ81" s="399">
        <v>3.9224445573466625E-2</v>
      </c>
      <c r="BK81" s="135" t="s">
        <v>1126</v>
      </c>
      <c r="BL81" s="135" t="s">
        <v>1135</v>
      </c>
    </row>
    <row r="82" spans="1:64" s="144" customFormat="1" ht="20.25" customHeight="1" thickBot="1" x14ac:dyDescent="0.35">
      <c r="A82" s="143" t="s">
        <v>403</v>
      </c>
      <c r="B82" s="144" t="s">
        <v>81</v>
      </c>
      <c r="C82" s="144" t="s">
        <v>404</v>
      </c>
      <c r="D82" s="144" t="s">
        <v>1240</v>
      </c>
      <c r="E82" s="144" t="s">
        <v>50</v>
      </c>
      <c r="G82" s="144" t="s">
        <v>405</v>
      </c>
      <c r="H82" s="145" t="s">
        <v>669</v>
      </c>
      <c r="I82" s="144" t="s">
        <v>89</v>
      </c>
      <c r="J82" s="144" t="s">
        <v>84</v>
      </c>
      <c r="L82" s="146">
        <v>44727</v>
      </c>
      <c r="M82" s="147">
        <v>44746</v>
      </c>
      <c r="N82" s="144">
        <v>7.91</v>
      </c>
      <c r="O82" s="144">
        <v>57.09</v>
      </c>
      <c r="S82" s="373"/>
      <c r="T82" s="373"/>
      <c r="U82" s="356">
        <f t="shared" ref="U82:U90" si="12">O82*5.4</f>
        <v>308.28600000000006</v>
      </c>
      <c r="V82" s="355"/>
      <c r="W82" s="355"/>
      <c r="X82" s="148">
        <v>24</v>
      </c>
      <c r="Y82" s="149">
        <v>64</v>
      </c>
      <c r="Z82" s="149">
        <v>12</v>
      </c>
      <c r="AA82" s="247" t="s">
        <v>884</v>
      </c>
      <c r="AB82" s="247" t="s">
        <v>879</v>
      </c>
      <c r="AC82" s="151">
        <v>3.68</v>
      </c>
      <c r="AE82" s="152">
        <v>47.03</v>
      </c>
      <c r="AF82" s="152">
        <v>1402.98</v>
      </c>
      <c r="AG82" s="438">
        <v>126928</v>
      </c>
      <c r="AH82" s="30">
        <v>94167.883199999997</v>
      </c>
      <c r="AI82" s="438">
        <v>16579</v>
      </c>
      <c r="AJ82" s="30">
        <v>11849.0113</v>
      </c>
      <c r="AK82" s="438">
        <v>9684</v>
      </c>
      <c r="AL82" s="30">
        <v>5839.4520000000002</v>
      </c>
      <c r="AM82" s="238">
        <v>1001.3196835232189</v>
      </c>
      <c r="AN82" s="339" t="s">
        <v>997</v>
      </c>
      <c r="AO82" s="144">
        <v>1.48</v>
      </c>
      <c r="AP82" s="144">
        <v>19.97</v>
      </c>
      <c r="AQ82" s="144">
        <v>5.98</v>
      </c>
      <c r="AR82" s="144">
        <v>1.1499999999999999</v>
      </c>
      <c r="AV82" s="151">
        <v>5.47</v>
      </c>
      <c r="AW82" s="447">
        <v>0.58406341259908212</v>
      </c>
      <c r="AX82" s="153"/>
      <c r="AY82" s="154"/>
      <c r="AZ82" s="144">
        <v>2.9781928388746799</v>
      </c>
      <c r="BA82" s="144">
        <v>409.42557913043476</v>
      </c>
      <c r="BB82" s="144">
        <v>59.210714285714289</v>
      </c>
      <c r="BC82" s="144">
        <v>48.06133333333333</v>
      </c>
      <c r="BD82" s="144">
        <v>55.904489314029476</v>
      </c>
      <c r="BE82" s="144" t="s">
        <v>1131</v>
      </c>
      <c r="BF82" s="144">
        <v>2.9785516572890023</v>
      </c>
      <c r="BG82" s="144">
        <v>408.55467594606353</v>
      </c>
      <c r="BH82" s="144">
        <v>59.126802894211579</v>
      </c>
      <c r="BI82" s="144">
        <v>34.281359999999999</v>
      </c>
      <c r="BJ82" s="400">
        <v>0.80911306467366029</v>
      </c>
      <c r="BK82" s="144" t="s">
        <v>1132</v>
      </c>
      <c r="BL82" s="144" t="s">
        <v>1136</v>
      </c>
    </row>
    <row r="83" spans="1:64" s="149" customFormat="1" ht="20.25" customHeight="1" thickBot="1" x14ac:dyDescent="0.35">
      <c r="A83" s="155" t="s">
        <v>406</v>
      </c>
      <c r="B83" s="149" t="s">
        <v>81</v>
      </c>
      <c r="C83" s="149" t="s">
        <v>407</v>
      </c>
      <c r="D83" s="149" t="s">
        <v>1240</v>
      </c>
      <c r="E83" s="149" t="s">
        <v>50</v>
      </c>
      <c r="G83" s="149" t="s">
        <v>408</v>
      </c>
      <c r="H83" s="156" t="s">
        <v>670</v>
      </c>
      <c r="I83" s="149" t="s">
        <v>89</v>
      </c>
      <c r="J83" s="149" t="s">
        <v>84</v>
      </c>
      <c r="L83" s="157">
        <v>44727</v>
      </c>
      <c r="M83" s="158">
        <v>44746</v>
      </c>
      <c r="N83" s="149">
        <v>7.9</v>
      </c>
      <c r="O83" s="149">
        <v>42.15</v>
      </c>
      <c r="U83" s="356">
        <f t="shared" si="12"/>
        <v>227.61</v>
      </c>
      <c r="V83" s="356"/>
      <c r="W83" s="356"/>
      <c r="X83" s="150">
        <v>22</v>
      </c>
      <c r="Y83" s="149">
        <v>56</v>
      </c>
      <c r="Z83" s="149">
        <v>22</v>
      </c>
      <c r="AA83" s="247" t="s">
        <v>884</v>
      </c>
      <c r="AB83" s="247" t="s">
        <v>879</v>
      </c>
      <c r="AC83" s="159">
        <v>3.1840000000000002</v>
      </c>
      <c r="AE83" s="160">
        <v>40.97</v>
      </c>
      <c r="AF83" s="160">
        <v>714.06</v>
      </c>
      <c r="AG83" s="435">
        <v>84492</v>
      </c>
      <c r="AH83" s="30">
        <v>62684.614800000003</v>
      </c>
      <c r="AI83" s="435">
        <v>20037</v>
      </c>
      <c r="AJ83" s="30">
        <v>14320.4439</v>
      </c>
      <c r="AK83" s="435">
        <v>8511</v>
      </c>
      <c r="AL83" s="30">
        <v>5132.1329999999998</v>
      </c>
      <c r="AM83" s="238">
        <v>635.60512282098352</v>
      </c>
      <c r="AN83" s="339" t="s">
        <v>997</v>
      </c>
      <c r="AO83" s="149">
        <v>1.1599999999999999</v>
      </c>
      <c r="AP83" s="149">
        <v>30.08</v>
      </c>
      <c r="AQ83" s="149">
        <v>3.3</v>
      </c>
      <c r="AR83" s="149">
        <v>1.18</v>
      </c>
      <c r="AV83" s="159">
        <v>1.45</v>
      </c>
      <c r="AW83" s="448">
        <v>0.36799553944800673</v>
      </c>
      <c r="AX83" s="161"/>
      <c r="AY83" s="162"/>
      <c r="AZ83" s="149">
        <v>1.5157795396419433</v>
      </c>
      <c r="BA83" s="149">
        <v>272.54180347826087</v>
      </c>
      <c r="BB83" s="149">
        <v>71.560714285714283</v>
      </c>
      <c r="BC83" s="149">
        <v>42.239777777777775</v>
      </c>
      <c r="BD83" s="149">
        <v>36.130673177184271</v>
      </c>
      <c r="BE83" s="149" t="s">
        <v>1131</v>
      </c>
      <c r="BF83" s="149">
        <v>1.5159621636828642</v>
      </c>
      <c r="BG83" s="149">
        <v>271.96207046541974</v>
      </c>
      <c r="BH83" s="149">
        <v>71.459300898203594</v>
      </c>
      <c r="BI83" s="149">
        <v>30.12894</v>
      </c>
      <c r="BJ83" s="401">
        <v>0.72510404070127599</v>
      </c>
      <c r="BK83" s="149" t="s">
        <v>1132</v>
      </c>
      <c r="BL83" s="149" t="s">
        <v>1136</v>
      </c>
    </row>
    <row r="84" spans="1:64" s="149" customFormat="1" ht="20.25" customHeight="1" thickBot="1" x14ac:dyDescent="0.35">
      <c r="A84" s="155" t="s">
        <v>409</v>
      </c>
      <c r="B84" s="149" t="s">
        <v>81</v>
      </c>
      <c r="C84" s="149" t="s">
        <v>410</v>
      </c>
      <c r="D84" s="149" t="s">
        <v>1240</v>
      </c>
      <c r="E84" s="149" t="s">
        <v>50</v>
      </c>
      <c r="G84" s="149" t="s">
        <v>411</v>
      </c>
      <c r="H84" s="156" t="s">
        <v>671</v>
      </c>
      <c r="I84" s="149" t="s">
        <v>89</v>
      </c>
      <c r="J84" s="149" t="s">
        <v>84</v>
      </c>
      <c r="L84" s="157">
        <v>44727</v>
      </c>
      <c r="M84" s="158">
        <v>44746</v>
      </c>
      <c r="N84" s="149">
        <v>7.88</v>
      </c>
      <c r="O84" s="149">
        <v>36.299999999999997</v>
      </c>
      <c r="U84" s="356">
        <f t="shared" si="12"/>
        <v>196.02</v>
      </c>
      <c r="V84" s="356"/>
      <c r="W84" s="356"/>
      <c r="X84" s="150">
        <v>20</v>
      </c>
      <c r="Y84" s="149">
        <v>68</v>
      </c>
      <c r="Z84" s="149">
        <v>12</v>
      </c>
      <c r="AA84" s="247" t="s">
        <v>884</v>
      </c>
      <c r="AB84" s="247" t="s">
        <v>879</v>
      </c>
      <c r="AC84" s="159">
        <v>3.3239999999999998</v>
      </c>
      <c r="AE84" s="160">
        <v>71.150000000000006</v>
      </c>
      <c r="AF84" s="160">
        <v>942.52</v>
      </c>
      <c r="AG84" s="435">
        <v>90080</v>
      </c>
      <c r="AH84" s="30">
        <v>66830.351999999999</v>
      </c>
      <c r="AI84" s="435">
        <v>33507</v>
      </c>
      <c r="AJ84" s="30">
        <v>23947.4529</v>
      </c>
      <c r="AK84" s="435">
        <v>4444</v>
      </c>
      <c r="AL84" s="30">
        <v>2679.732</v>
      </c>
      <c r="AM84" s="238">
        <v>579.19675416476389</v>
      </c>
      <c r="AN84" s="339" t="s">
        <v>997</v>
      </c>
      <c r="AO84" s="149">
        <v>1.58</v>
      </c>
      <c r="AP84" s="149">
        <v>54.89</v>
      </c>
      <c r="AQ84" s="149">
        <v>5.38</v>
      </c>
      <c r="AR84" s="149">
        <v>1.52</v>
      </c>
      <c r="AV84" s="159">
        <v>5.89</v>
      </c>
      <c r="AW84" s="448">
        <v>8.344923504867871E-2</v>
      </c>
      <c r="AX84" s="161"/>
      <c r="AY84" s="162"/>
      <c r="AZ84" s="149">
        <v>2.0007457800511506</v>
      </c>
      <c r="BA84" s="149">
        <v>290.56674782608695</v>
      </c>
      <c r="BB84" s="149">
        <v>119.66785714285713</v>
      </c>
      <c r="BC84" s="149">
        <v>22.055407407407408</v>
      </c>
      <c r="BD84" s="149">
        <v>34.51757972389899</v>
      </c>
      <c r="BE84" s="149" t="s">
        <v>1131</v>
      </c>
      <c r="BF84" s="149">
        <v>2.0009868337595904</v>
      </c>
      <c r="BG84" s="149">
        <v>289.94867333623313</v>
      </c>
      <c r="BH84" s="149">
        <v>119.49826796407186</v>
      </c>
      <c r="BI84" s="149">
        <v>15.731760000000001</v>
      </c>
      <c r="BJ84" s="401">
        <v>0.67875107686589409</v>
      </c>
      <c r="BK84" s="149" t="s">
        <v>1129</v>
      </c>
      <c r="BL84" s="149" t="s">
        <v>1136</v>
      </c>
    </row>
    <row r="85" spans="1:64" s="149" customFormat="1" ht="20.25" customHeight="1" thickBot="1" x14ac:dyDescent="0.35">
      <c r="A85" s="155" t="s">
        <v>412</v>
      </c>
      <c r="B85" s="149" t="s">
        <v>81</v>
      </c>
      <c r="C85" s="149" t="s">
        <v>413</v>
      </c>
      <c r="D85" s="149" t="s">
        <v>1240</v>
      </c>
      <c r="E85" s="149" t="s">
        <v>50</v>
      </c>
      <c r="G85" s="149" t="s">
        <v>414</v>
      </c>
      <c r="H85" s="156" t="s">
        <v>672</v>
      </c>
      <c r="I85" s="149" t="s">
        <v>89</v>
      </c>
      <c r="J85" s="149" t="s">
        <v>84</v>
      </c>
      <c r="L85" s="157">
        <v>44727</v>
      </c>
      <c r="M85" s="158">
        <v>44746</v>
      </c>
      <c r="N85" s="149">
        <v>7.9</v>
      </c>
      <c r="O85" s="149">
        <v>49.48</v>
      </c>
      <c r="U85" s="356">
        <f t="shared" si="12"/>
        <v>267.19200000000001</v>
      </c>
      <c r="V85" s="356"/>
      <c r="W85" s="356"/>
      <c r="X85" s="150">
        <v>22</v>
      </c>
      <c r="Y85" s="149">
        <v>70</v>
      </c>
      <c r="Z85" s="149">
        <v>8</v>
      </c>
      <c r="AA85" s="247" t="s">
        <v>884</v>
      </c>
      <c r="AB85" s="247" t="s">
        <v>879</v>
      </c>
      <c r="AC85" s="159">
        <v>3.4550000000000001</v>
      </c>
      <c r="AE85" s="160">
        <v>59.88</v>
      </c>
      <c r="AF85" s="160">
        <v>1030.3</v>
      </c>
      <c r="AG85" s="435">
        <v>132284</v>
      </c>
      <c r="AH85" s="30">
        <v>98141.499599999996</v>
      </c>
      <c r="AI85" s="435">
        <v>13595</v>
      </c>
      <c r="AJ85" s="30">
        <v>9716.3464999999997</v>
      </c>
      <c r="AK85" s="435">
        <v>7702</v>
      </c>
      <c r="AL85" s="30">
        <v>4644.3059999999996</v>
      </c>
      <c r="AM85" s="238">
        <v>1158.1921069901334</v>
      </c>
      <c r="AN85" s="339" t="s">
        <v>997</v>
      </c>
      <c r="AO85" s="149">
        <v>1.55</v>
      </c>
      <c r="AP85" s="149">
        <v>33.270000000000003</v>
      </c>
      <c r="AQ85" s="149">
        <v>5.81</v>
      </c>
      <c r="AR85" s="149">
        <v>1.45</v>
      </c>
      <c r="AV85" s="159">
        <v>3.66</v>
      </c>
      <c r="AW85" s="448">
        <v>0</v>
      </c>
      <c r="AX85" s="161"/>
      <c r="AY85" s="162"/>
      <c r="AZ85" s="149">
        <v>2.1870818414322244</v>
      </c>
      <c r="BA85" s="149">
        <v>426.70217217391297</v>
      </c>
      <c r="BB85" s="149">
        <v>48.553571428571431</v>
      </c>
      <c r="BC85" s="149">
        <v>38.224740740740735</v>
      </c>
      <c r="BD85" s="149">
        <v>64.779001879385987</v>
      </c>
      <c r="BE85" s="149" t="s">
        <v>1131</v>
      </c>
      <c r="BF85" s="149">
        <v>2.1873453452685419</v>
      </c>
      <c r="BG85" s="149">
        <v>425.79451935624184</v>
      </c>
      <c r="BH85" s="149">
        <v>48.48476297405189</v>
      </c>
      <c r="BI85" s="149">
        <v>27.265080000000001</v>
      </c>
      <c r="BJ85" s="401">
        <v>0.84528036029545051</v>
      </c>
      <c r="BK85" s="149" t="s">
        <v>1132</v>
      </c>
      <c r="BL85" s="149" t="s">
        <v>1136</v>
      </c>
    </row>
    <row r="86" spans="1:64" s="149" customFormat="1" ht="20.25" customHeight="1" thickBot="1" x14ac:dyDescent="0.35">
      <c r="A86" s="155" t="s">
        <v>415</v>
      </c>
      <c r="B86" s="149" t="s">
        <v>81</v>
      </c>
      <c r="C86" s="149" t="s">
        <v>416</v>
      </c>
      <c r="D86" s="149" t="s">
        <v>1240</v>
      </c>
      <c r="E86" s="149" t="s">
        <v>50</v>
      </c>
      <c r="G86" s="149" t="s">
        <v>417</v>
      </c>
      <c r="H86" s="156" t="s">
        <v>673</v>
      </c>
      <c r="I86" s="149" t="s">
        <v>89</v>
      </c>
      <c r="J86" s="149" t="s">
        <v>84</v>
      </c>
      <c r="L86" s="157">
        <v>44727</v>
      </c>
      <c r="M86" s="158">
        <v>44746</v>
      </c>
      <c r="N86" s="149">
        <v>7.97</v>
      </c>
      <c r="O86" s="149">
        <v>17.72</v>
      </c>
      <c r="U86" s="356">
        <f t="shared" si="12"/>
        <v>95.688000000000002</v>
      </c>
      <c r="V86" s="356"/>
      <c r="W86" s="356"/>
      <c r="X86" s="150">
        <v>10</v>
      </c>
      <c r="Y86" s="149">
        <v>66</v>
      </c>
      <c r="Z86" s="149">
        <v>24</v>
      </c>
      <c r="AA86" s="247" t="s">
        <v>884</v>
      </c>
      <c r="AB86" s="247" t="s">
        <v>879</v>
      </c>
      <c r="AC86" s="159">
        <v>3.8620000000000001</v>
      </c>
      <c r="AE86" s="160">
        <v>82.56</v>
      </c>
      <c r="AF86" s="160">
        <v>755.55</v>
      </c>
      <c r="AG86" s="435">
        <v>30776</v>
      </c>
      <c r="AH86" s="30">
        <v>22832.714400000001</v>
      </c>
      <c r="AI86" s="435">
        <v>20499</v>
      </c>
      <c r="AJ86" s="30">
        <v>14650.6353</v>
      </c>
      <c r="AK86" s="435">
        <v>3506</v>
      </c>
      <c r="AL86" s="30">
        <v>2114.1179999999999</v>
      </c>
      <c r="AM86" s="238">
        <v>249.38708487451549</v>
      </c>
      <c r="AN86" s="339" t="s">
        <v>997</v>
      </c>
      <c r="AO86" s="149">
        <v>1.49</v>
      </c>
      <c r="AP86" s="149">
        <v>21.18</v>
      </c>
      <c r="AQ86" s="149">
        <v>6.58</v>
      </c>
      <c r="AR86" s="149">
        <v>1.4</v>
      </c>
      <c r="AV86" s="159">
        <v>5.94</v>
      </c>
      <c r="AW86" s="448">
        <v>2.1793797150041909</v>
      </c>
      <c r="AX86" s="161"/>
      <c r="AY86" s="162"/>
      <c r="AZ86" s="149">
        <v>1.6038529411764706</v>
      </c>
      <c r="BA86" s="149">
        <v>99.272671304347824</v>
      </c>
      <c r="BB86" s="149">
        <v>73.210714285714289</v>
      </c>
      <c r="BC86" s="149">
        <v>17.400148148148148</v>
      </c>
      <c r="BD86" s="149">
        <v>14.748728266736267</v>
      </c>
      <c r="BE86" s="149" t="s">
        <v>1133</v>
      </c>
      <c r="BF86" s="149">
        <v>1.604046176470588</v>
      </c>
      <c r="BG86" s="149">
        <v>99.06150500217484</v>
      </c>
      <c r="BH86" s="149">
        <v>73.1069625748503</v>
      </c>
      <c r="BI86" s="149">
        <v>12.411240000000001</v>
      </c>
      <c r="BJ86" s="401">
        <v>0.53206309898193738</v>
      </c>
      <c r="BK86" s="149" t="s">
        <v>1129</v>
      </c>
      <c r="BL86" s="149" t="s">
        <v>1136</v>
      </c>
    </row>
    <row r="87" spans="1:64" s="149" customFormat="1" ht="20.25" customHeight="1" thickBot="1" x14ac:dyDescent="0.35">
      <c r="A87" s="155" t="s">
        <v>418</v>
      </c>
      <c r="B87" s="149" t="s">
        <v>81</v>
      </c>
      <c r="C87" s="149" t="s">
        <v>419</v>
      </c>
      <c r="D87" s="149" t="s">
        <v>1240</v>
      </c>
      <c r="E87" s="149" t="s">
        <v>50</v>
      </c>
      <c r="G87" s="149" t="s">
        <v>420</v>
      </c>
      <c r="H87" s="149" t="s">
        <v>421</v>
      </c>
      <c r="I87" s="149" t="s">
        <v>89</v>
      </c>
      <c r="J87" s="149" t="s">
        <v>84</v>
      </c>
      <c r="L87" s="157">
        <v>44727</v>
      </c>
      <c r="M87" s="158">
        <v>44746</v>
      </c>
      <c r="N87" s="149">
        <v>7.99</v>
      </c>
      <c r="O87" s="149">
        <v>42.54</v>
      </c>
      <c r="U87" s="356">
        <f t="shared" si="12"/>
        <v>229.71600000000001</v>
      </c>
      <c r="V87" s="356"/>
      <c r="W87" s="356"/>
      <c r="X87" s="150">
        <v>22</v>
      </c>
      <c r="Y87" s="149">
        <v>68</v>
      </c>
      <c r="Z87" s="149">
        <v>10</v>
      </c>
      <c r="AA87" s="247" t="s">
        <v>884</v>
      </c>
      <c r="AB87" s="247" t="s">
        <v>879</v>
      </c>
      <c r="AC87" s="159">
        <v>3.5830000000000002</v>
      </c>
      <c r="AE87" s="160">
        <v>69.989999999999995</v>
      </c>
      <c r="AF87" s="160">
        <v>958.08</v>
      </c>
      <c r="AG87" s="435">
        <v>102205</v>
      </c>
      <c r="AH87" s="30">
        <v>75825.889500000005</v>
      </c>
      <c r="AI87" s="435">
        <v>12221</v>
      </c>
      <c r="AJ87" s="30">
        <v>8734.3487000000005</v>
      </c>
      <c r="AK87" s="435">
        <v>6919</v>
      </c>
      <c r="AL87" s="30">
        <v>4172.1570000000002</v>
      </c>
      <c r="AM87" s="238">
        <v>943.90475242541049</v>
      </c>
      <c r="AN87" s="339" t="s">
        <v>997</v>
      </c>
      <c r="AO87" s="149">
        <v>1.73</v>
      </c>
      <c r="AP87" s="149">
        <v>41.44</v>
      </c>
      <c r="AQ87" s="149">
        <v>6</v>
      </c>
      <c r="AR87" s="149">
        <v>1.47</v>
      </c>
      <c r="AV87" s="159">
        <v>3.76</v>
      </c>
      <c r="AW87" s="448">
        <v>0.16671297582661848</v>
      </c>
      <c r="AX87" s="161"/>
      <c r="AY87" s="162"/>
      <c r="AZ87" s="149">
        <v>2.0337759590792839</v>
      </c>
      <c r="BA87" s="149">
        <v>329.67778043478262</v>
      </c>
      <c r="BB87" s="149">
        <v>43.646428571428565</v>
      </c>
      <c r="BC87" s="149">
        <v>34.338740740740739</v>
      </c>
      <c r="BD87" s="149">
        <v>52.795713780122782</v>
      </c>
      <c r="BE87" s="149" t="s">
        <v>1131</v>
      </c>
      <c r="BF87" s="149">
        <v>2.0340209923273656</v>
      </c>
      <c r="BG87" s="149">
        <v>328.97651152675076</v>
      </c>
      <c r="BH87" s="149">
        <v>43.584574351297405</v>
      </c>
      <c r="BI87" s="149">
        <v>24.493260000000003</v>
      </c>
      <c r="BJ87" s="401">
        <v>0.82431997230729293</v>
      </c>
      <c r="BK87" s="149" t="s">
        <v>1132</v>
      </c>
      <c r="BL87" s="149" t="s">
        <v>1136</v>
      </c>
    </row>
    <row r="88" spans="1:64" s="149" customFormat="1" ht="20.25" customHeight="1" thickBot="1" x14ac:dyDescent="0.35">
      <c r="A88" s="155" t="s">
        <v>422</v>
      </c>
      <c r="B88" s="149" t="s">
        <v>81</v>
      </c>
      <c r="C88" s="149" t="s">
        <v>423</v>
      </c>
      <c r="D88" s="149" t="s">
        <v>1240</v>
      </c>
      <c r="E88" s="149" t="s">
        <v>50</v>
      </c>
      <c r="G88" s="149" t="s">
        <v>424</v>
      </c>
      <c r="H88" s="156" t="s">
        <v>674</v>
      </c>
      <c r="I88" s="149" t="s">
        <v>89</v>
      </c>
      <c r="J88" s="149" t="s">
        <v>84</v>
      </c>
      <c r="L88" s="157">
        <v>44727</v>
      </c>
      <c r="M88" s="158">
        <v>44746</v>
      </c>
      <c r="N88" s="149">
        <v>7.76</v>
      </c>
      <c r="O88" s="149">
        <v>40.93</v>
      </c>
      <c r="U88" s="356">
        <f t="shared" si="12"/>
        <v>221.02200000000002</v>
      </c>
      <c r="V88" s="356"/>
      <c r="W88" s="356"/>
      <c r="X88" s="150">
        <v>24</v>
      </c>
      <c r="Y88" s="149">
        <v>68</v>
      </c>
      <c r="Z88" s="149">
        <v>8</v>
      </c>
      <c r="AA88" s="247" t="s">
        <v>884</v>
      </c>
      <c r="AB88" s="247" t="s">
        <v>879</v>
      </c>
      <c r="AC88" s="159">
        <v>3.8849999999999998</v>
      </c>
      <c r="AE88" s="160">
        <v>75.459999999999994</v>
      </c>
      <c r="AF88" s="160">
        <v>676.28</v>
      </c>
      <c r="AG88" s="435">
        <v>109066</v>
      </c>
      <c r="AH88" s="30">
        <v>80916.065400000007</v>
      </c>
      <c r="AI88" s="435">
        <v>17697</v>
      </c>
      <c r="AJ88" s="30">
        <v>12648.045899999999</v>
      </c>
      <c r="AK88" s="435">
        <v>5558</v>
      </c>
      <c r="AL88" s="30">
        <v>3351.4739999999997</v>
      </c>
      <c r="AM88" s="238">
        <v>904.6826867003482</v>
      </c>
      <c r="AN88" s="339" t="s">
        <v>997</v>
      </c>
      <c r="AO88" s="149">
        <v>1.86</v>
      </c>
      <c r="AP88" s="149">
        <v>111.93</v>
      </c>
      <c r="AQ88" s="149">
        <v>6.48</v>
      </c>
      <c r="AR88" s="149">
        <v>1.87</v>
      </c>
      <c r="AV88" s="159">
        <v>2.64</v>
      </c>
      <c r="AW88" s="448">
        <v>8.3623693379790948E-2</v>
      </c>
      <c r="AX88" s="161"/>
      <c r="AY88" s="162"/>
      <c r="AZ88" s="149">
        <v>1.4355815856777492</v>
      </c>
      <c r="BA88" s="149">
        <v>351.80898000000002</v>
      </c>
      <c r="BB88" s="149">
        <v>63.203571428571436</v>
      </c>
      <c r="BC88" s="149">
        <v>27.584148148148142</v>
      </c>
      <c r="BD88" s="149">
        <v>52.216572919060532</v>
      </c>
      <c r="BE88" s="149" t="s">
        <v>1131</v>
      </c>
      <c r="BF88" s="149">
        <v>1.4357545473145779</v>
      </c>
      <c r="BG88" s="149">
        <v>351.06063505872118</v>
      </c>
      <c r="BH88" s="149">
        <v>63.11400149700598</v>
      </c>
      <c r="BI88" s="149">
        <v>19.675319999999999</v>
      </c>
      <c r="BJ88" s="401">
        <v>0.80650622362289626</v>
      </c>
      <c r="BK88" s="149" t="s">
        <v>1132</v>
      </c>
      <c r="BL88" s="149" t="s">
        <v>1136</v>
      </c>
    </row>
    <row r="89" spans="1:64" s="149" customFormat="1" ht="20.25" customHeight="1" thickBot="1" x14ac:dyDescent="0.35">
      <c r="A89" s="155" t="s">
        <v>425</v>
      </c>
      <c r="B89" s="149" t="s">
        <v>81</v>
      </c>
      <c r="C89" s="149" t="s">
        <v>426</v>
      </c>
      <c r="D89" s="149" t="s">
        <v>1240</v>
      </c>
      <c r="E89" s="149" t="s">
        <v>50</v>
      </c>
      <c r="G89" s="149" t="s">
        <v>427</v>
      </c>
      <c r="H89" s="149" t="s">
        <v>428</v>
      </c>
      <c r="I89" s="149" t="s">
        <v>89</v>
      </c>
      <c r="J89" s="149" t="s">
        <v>84</v>
      </c>
      <c r="L89" s="157">
        <v>44727</v>
      </c>
      <c r="M89" s="158">
        <v>44746</v>
      </c>
      <c r="N89" s="149">
        <v>7.85</v>
      </c>
      <c r="O89" s="149">
        <v>30.54</v>
      </c>
      <c r="U89" s="356">
        <f t="shared" si="12"/>
        <v>164.916</v>
      </c>
      <c r="V89" s="356"/>
      <c r="W89" s="356"/>
      <c r="X89" s="150">
        <v>16</v>
      </c>
      <c r="Y89" s="149">
        <v>74</v>
      </c>
      <c r="Z89" s="149">
        <v>10</v>
      </c>
      <c r="AA89" s="247" t="s">
        <v>884</v>
      </c>
      <c r="AB89" s="247" t="s">
        <v>879</v>
      </c>
      <c r="AC89" s="159">
        <v>3.415</v>
      </c>
      <c r="AE89" s="160">
        <v>77.67</v>
      </c>
      <c r="AF89" s="160">
        <v>850.88</v>
      </c>
      <c r="AG89" s="435">
        <v>60300</v>
      </c>
      <c r="AH89" s="30">
        <v>44736.57</v>
      </c>
      <c r="AI89" s="435">
        <v>15666</v>
      </c>
      <c r="AJ89" s="30">
        <v>11196.4902</v>
      </c>
      <c r="AK89" s="435">
        <v>4008</v>
      </c>
      <c r="AL89" s="30">
        <v>2416.8240000000001</v>
      </c>
      <c r="AM89" s="238">
        <v>542.24523821959997</v>
      </c>
      <c r="AN89" s="339" t="s">
        <v>997</v>
      </c>
      <c r="AO89" s="149">
        <v>1.9</v>
      </c>
      <c r="AP89" s="149">
        <v>76.39</v>
      </c>
      <c r="AQ89" s="149">
        <v>5.94</v>
      </c>
      <c r="AR89" s="149">
        <v>2.77</v>
      </c>
      <c r="AV89" s="159">
        <v>5.05</v>
      </c>
      <c r="AW89" s="448">
        <v>8.3414430696510486E-2</v>
      </c>
      <c r="AX89" s="161"/>
      <c r="AY89" s="162"/>
      <c r="AZ89" s="149">
        <v>1.8062158567774933</v>
      </c>
      <c r="BA89" s="149">
        <v>194.50682608695652</v>
      </c>
      <c r="BB89" s="149">
        <v>55.95</v>
      </c>
      <c r="BC89" s="149">
        <v>19.891555555555556</v>
      </c>
      <c r="BD89" s="149">
        <v>31.586116219657967</v>
      </c>
      <c r="BE89" s="149" t="s">
        <v>1131</v>
      </c>
      <c r="BF89" s="149">
        <v>1.8064334731457798</v>
      </c>
      <c r="BG89" s="149">
        <v>194.09308394954328</v>
      </c>
      <c r="BH89" s="149">
        <v>55.870709580838323</v>
      </c>
      <c r="BI89" s="149">
        <v>14.188320000000001</v>
      </c>
      <c r="BJ89" s="401">
        <v>0.72978697671622128</v>
      </c>
      <c r="BK89" s="149" t="s">
        <v>1132</v>
      </c>
      <c r="BL89" s="149" t="s">
        <v>1136</v>
      </c>
    </row>
    <row r="90" spans="1:64" s="149" customFormat="1" ht="20.25" customHeight="1" thickBot="1" x14ac:dyDescent="0.35">
      <c r="A90" s="155" t="s">
        <v>429</v>
      </c>
      <c r="B90" s="149" t="s">
        <v>81</v>
      </c>
      <c r="C90" s="149" t="s">
        <v>430</v>
      </c>
      <c r="D90" s="149" t="s">
        <v>1240</v>
      </c>
      <c r="E90" s="149" t="s">
        <v>50</v>
      </c>
      <c r="G90" s="149" t="s">
        <v>431</v>
      </c>
      <c r="H90" s="149" t="s">
        <v>432</v>
      </c>
      <c r="I90" s="149" t="s">
        <v>89</v>
      </c>
      <c r="J90" s="149" t="s">
        <v>84</v>
      </c>
      <c r="L90" s="157">
        <v>44727</v>
      </c>
      <c r="M90" s="158">
        <v>44746</v>
      </c>
      <c r="N90" s="149">
        <v>7.95</v>
      </c>
      <c r="O90" s="149">
        <v>24.46</v>
      </c>
      <c r="U90" s="356">
        <f t="shared" si="12"/>
        <v>132.084</v>
      </c>
      <c r="V90" s="356"/>
      <c r="W90" s="356"/>
      <c r="X90" s="150">
        <v>12</v>
      </c>
      <c r="Y90" s="149">
        <v>74</v>
      </c>
      <c r="Z90" s="149">
        <v>14</v>
      </c>
      <c r="AA90" s="247" t="s">
        <v>884</v>
      </c>
      <c r="AB90" s="247" t="s">
        <v>879</v>
      </c>
      <c r="AC90" s="159">
        <v>3.4089999999999998</v>
      </c>
      <c r="AE90" s="160">
        <v>90.3</v>
      </c>
      <c r="AF90" s="160">
        <v>687.2</v>
      </c>
      <c r="AG90" s="435">
        <v>44279</v>
      </c>
      <c r="AH90" s="30">
        <v>32850.590100000001</v>
      </c>
      <c r="AI90" s="435">
        <v>39845</v>
      </c>
      <c r="AJ90" s="30">
        <v>28477.2215</v>
      </c>
      <c r="AK90" s="435">
        <v>2996</v>
      </c>
      <c r="AL90" s="30">
        <v>1806.588</v>
      </c>
      <c r="AM90" s="238">
        <v>266.9641348905912</v>
      </c>
      <c r="AN90" s="339" t="s">
        <v>997</v>
      </c>
      <c r="AO90" s="149">
        <v>1.97</v>
      </c>
      <c r="AP90" s="149">
        <v>47.08</v>
      </c>
      <c r="AQ90" s="149">
        <v>9.6999999999999993</v>
      </c>
      <c r="AR90" s="149">
        <v>1.92</v>
      </c>
      <c r="AV90" s="159">
        <v>4.8</v>
      </c>
      <c r="AW90" s="448">
        <v>0.18422889043963711</v>
      </c>
      <c r="AX90" s="161"/>
      <c r="AY90" s="162"/>
      <c r="AZ90" s="149">
        <v>1.4587621483375959</v>
      </c>
      <c r="BA90" s="149">
        <v>142.82865260869565</v>
      </c>
      <c r="BB90" s="149">
        <v>142.30357142857142</v>
      </c>
      <c r="BC90" s="149">
        <v>14.869037037037035</v>
      </c>
      <c r="BD90" s="149">
        <v>16.111720030606179</v>
      </c>
      <c r="BE90" s="149" t="s">
        <v>1133</v>
      </c>
      <c r="BF90" s="149">
        <v>1.4589379028132992</v>
      </c>
      <c r="BG90" s="149">
        <v>142.52483688560244</v>
      </c>
      <c r="BH90" s="149">
        <v>142.10190369261477</v>
      </c>
      <c r="BI90" s="149">
        <v>10.605840000000001</v>
      </c>
      <c r="BJ90" s="401">
        <v>0.4803805569343062</v>
      </c>
      <c r="BK90" s="149" t="s">
        <v>1130</v>
      </c>
      <c r="BL90" s="149" t="s">
        <v>1136</v>
      </c>
    </row>
    <row r="91" spans="1:64" s="149" customFormat="1" ht="20.25" customHeight="1" thickBot="1" x14ac:dyDescent="0.35">
      <c r="A91" s="155" t="s">
        <v>433</v>
      </c>
      <c r="B91" s="149" t="s">
        <v>81</v>
      </c>
      <c r="C91" s="149" t="s">
        <v>434</v>
      </c>
      <c r="D91" s="149" t="s">
        <v>1240</v>
      </c>
      <c r="E91" s="149" t="s">
        <v>50</v>
      </c>
      <c r="G91" s="149" t="s">
        <v>435</v>
      </c>
      <c r="H91" s="149" t="s">
        <v>436</v>
      </c>
      <c r="I91" s="149" t="s">
        <v>89</v>
      </c>
      <c r="J91" s="149" t="s">
        <v>84</v>
      </c>
      <c r="L91" s="157">
        <v>44727</v>
      </c>
      <c r="M91" s="158">
        <v>44746</v>
      </c>
      <c r="N91" s="149">
        <v>8.27</v>
      </c>
      <c r="O91" s="149">
        <v>46.65</v>
      </c>
      <c r="U91" s="356">
        <f>10.92*O91</f>
        <v>509.41800000000001</v>
      </c>
      <c r="V91" s="356"/>
      <c r="W91" s="356"/>
      <c r="X91" s="150">
        <v>22</v>
      </c>
      <c r="Y91" s="149">
        <v>32</v>
      </c>
      <c r="Z91" s="149">
        <v>46</v>
      </c>
      <c r="AA91" s="247" t="s">
        <v>883</v>
      </c>
      <c r="AB91" s="247" t="s">
        <v>888</v>
      </c>
      <c r="AC91" s="159">
        <v>2.8679999999999999</v>
      </c>
      <c r="AE91" s="160">
        <v>40.68</v>
      </c>
      <c r="AF91" s="160">
        <v>581.16999999999996</v>
      </c>
      <c r="AG91" s="435">
        <v>95022</v>
      </c>
      <c r="AH91" s="30">
        <v>70496.821800000005</v>
      </c>
      <c r="AI91" s="435">
        <v>19189</v>
      </c>
      <c r="AJ91" s="30">
        <v>13714.3783</v>
      </c>
      <c r="AK91" s="435">
        <v>5231</v>
      </c>
      <c r="AL91" s="30">
        <v>3154.2930000000001</v>
      </c>
      <c r="AM91" s="238">
        <v>767.6161408154926</v>
      </c>
      <c r="AN91" s="339" t="s">
        <v>997</v>
      </c>
      <c r="AO91" s="149">
        <v>1.01</v>
      </c>
      <c r="AP91" s="149">
        <v>11.09</v>
      </c>
      <c r="AQ91" s="149">
        <v>3.99</v>
      </c>
      <c r="AR91" s="149">
        <v>0.77</v>
      </c>
      <c r="AV91" s="159">
        <v>2.2599999999999998</v>
      </c>
      <c r="AW91" s="448">
        <v>8.3310191613440701</v>
      </c>
      <c r="AX91" s="161"/>
      <c r="AY91" s="162"/>
      <c r="AZ91" s="149">
        <v>1.2336856777493603</v>
      </c>
      <c r="BA91" s="149">
        <v>306.50792086956523</v>
      </c>
      <c r="BB91" s="149">
        <v>68.532142857142858</v>
      </c>
      <c r="BC91" s="149">
        <v>25.961259259259261</v>
      </c>
      <c r="BD91" s="149">
        <v>44.591897927076218</v>
      </c>
      <c r="BE91" s="149" t="s">
        <v>1131</v>
      </c>
      <c r="BF91" s="149">
        <v>1.2338343145780049</v>
      </c>
      <c r="BG91" s="149">
        <v>305.85593736407134</v>
      </c>
      <c r="BH91" s="149">
        <v>68.435021457085824</v>
      </c>
      <c r="BI91" s="149">
        <v>18.51774</v>
      </c>
      <c r="BJ91" s="401">
        <v>0.77620031251477528</v>
      </c>
      <c r="BK91" s="149" t="s">
        <v>1132</v>
      </c>
      <c r="BL91" s="149" t="s">
        <v>1136</v>
      </c>
    </row>
    <row r="92" spans="1:64" s="149" customFormat="1" ht="20.25" customHeight="1" thickBot="1" x14ac:dyDescent="0.35">
      <c r="A92" s="155" t="s">
        <v>437</v>
      </c>
      <c r="B92" s="149" t="s">
        <v>81</v>
      </c>
      <c r="C92" s="149" t="s">
        <v>438</v>
      </c>
      <c r="D92" s="149" t="s">
        <v>1240</v>
      </c>
      <c r="E92" s="149" t="s">
        <v>50</v>
      </c>
      <c r="G92" s="149" t="s">
        <v>439</v>
      </c>
      <c r="H92" s="149" t="s">
        <v>440</v>
      </c>
      <c r="I92" s="149" t="s">
        <v>89</v>
      </c>
      <c r="J92" s="149" t="s">
        <v>84</v>
      </c>
      <c r="L92" s="157">
        <v>44727</v>
      </c>
      <c r="M92" s="158">
        <v>44746</v>
      </c>
      <c r="N92" s="149">
        <v>8.08</v>
      </c>
      <c r="O92" s="149">
        <v>44.48</v>
      </c>
      <c r="U92" s="356">
        <f>O92*5.4</f>
        <v>240.19200000000001</v>
      </c>
      <c r="V92" s="356"/>
      <c r="W92" s="356"/>
      <c r="X92" s="150">
        <v>22</v>
      </c>
      <c r="Y92" s="149">
        <v>70</v>
      </c>
      <c r="Z92" s="149">
        <v>8</v>
      </c>
      <c r="AA92" s="247" t="s">
        <v>884</v>
      </c>
      <c r="AB92" s="247" t="s">
        <v>879</v>
      </c>
      <c r="AC92" s="159">
        <v>3.4340000000000002</v>
      </c>
      <c r="AE92" s="160">
        <v>67.73</v>
      </c>
      <c r="AF92" s="160">
        <v>1237.0999999999999</v>
      </c>
      <c r="AG92" s="435">
        <v>102588</v>
      </c>
      <c r="AH92" s="30">
        <v>76110.037200000006</v>
      </c>
      <c r="AI92" s="435">
        <v>14889</v>
      </c>
      <c r="AJ92" s="30">
        <v>10641.168299999999</v>
      </c>
      <c r="AK92" s="435">
        <v>6384</v>
      </c>
      <c r="AL92" s="30">
        <v>3849.5519999999997</v>
      </c>
      <c r="AM92" s="238">
        <v>894.15322061019856</v>
      </c>
      <c r="AN92" s="339" t="s">
        <v>997</v>
      </c>
      <c r="AO92" s="149">
        <v>1.77</v>
      </c>
      <c r="AP92" s="149">
        <v>30.08</v>
      </c>
      <c r="AQ92" s="149">
        <v>6.48</v>
      </c>
      <c r="AR92" s="149">
        <v>1.79</v>
      </c>
      <c r="AV92" s="159">
        <v>4.72</v>
      </c>
      <c r="AW92" s="448">
        <v>2.5076623014767345</v>
      </c>
      <c r="AX92" s="161"/>
      <c r="AY92" s="162"/>
      <c r="AZ92" s="149">
        <v>2.6260690537084392</v>
      </c>
      <c r="BA92" s="149">
        <v>330.91320521739135</v>
      </c>
      <c r="BB92" s="149">
        <v>53.174999999999997</v>
      </c>
      <c r="BC92" s="149">
        <v>31.683555555555554</v>
      </c>
      <c r="BD92" s="149">
        <v>50.802054786493159</v>
      </c>
      <c r="BE92" s="149" t="s">
        <v>1131</v>
      </c>
      <c r="BF92" s="149">
        <v>2.6263854475703323</v>
      </c>
      <c r="BG92" s="149">
        <v>330.20930839495429</v>
      </c>
      <c r="BH92" s="149">
        <v>53.099642215568856</v>
      </c>
      <c r="BI92" s="149">
        <v>22.599360000000001</v>
      </c>
      <c r="BJ92" s="401">
        <v>0.80827726893482421</v>
      </c>
      <c r="BK92" s="149" t="s">
        <v>1132</v>
      </c>
      <c r="BL92" s="149" t="s">
        <v>1136</v>
      </c>
    </row>
    <row r="93" spans="1:64" s="149" customFormat="1" ht="20.25" customHeight="1" thickBot="1" x14ac:dyDescent="0.35">
      <c r="A93" s="155" t="s">
        <v>441</v>
      </c>
      <c r="B93" s="149" t="s">
        <v>81</v>
      </c>
      <c r="C93" s="149" t="s">
        <v>442</v>
      </c>
      <c r="D93" s="149" t="s">
        <v>1240</v>
      </c>
      <c r="E93" s="149" t="s">
        <v>50</v>
      </c>
      <c r="G93" s="149" t="s">
        <v>443</v>
      </c>
      <c r="H93" s="149" t="s">
        <v>444</v>
      </c>
      <c r="I93" s="149" t="s">
        <v>89</v>
      </c>
      <c r="J93" s="149" t="s">
        <v>84</v>
      </c>
      <c r="L93" s="157">
        <v>44727</v>
      </c>
      <c r="M93" s="158">
        <v>44746</v>
      </c>
      <c r="N93" s="149">
        <v>8.33</v>
      </c>
      <c r="O93" s="149">
        <v>14.76</v>
      </c>
      <c r="U93" s="356">
        <f t="shared" ref="U93" si="13">O93*12.86</f>
        <v>189.81359999999998</v>
      </c>
      <c r="V93" s="356"/>
      <c r="W93" s="356"/>
      <c r="X93" s="150">
        <v>44</v>
      </c>
      <c r="Y93" s="149">
        <v>44</v>
      </c>
      <c r="Z93" s="149">
        <v>12</v>
      </c>
      <c r="AA93" s="247" t="s">
        <v>887</v>
      </c>
      <c r="AB93" s="247" t="s">
        <v>891</v>
      </c>
      <c r="AC93" s="159">
        <v>2.117</v>
      </c>
      <c r="AE93" s="160">
        <v>77.069999999999993</v>
      </c>
      <c r="AF93" s="160">
        <v>1149.3499999999999</v>
      </c>
      <c r="AG93" s="435">
        <v>24526</v>
      </c>
      <c r="AH93" s="30">
        <v>18195.839400000001</v>
      </c>
      <c r="AI93" s="435">
        <v>12334</v>
      </c>
      <c r="AJ93" s="30">
        <v>8815.1098000000002</v>
      </c>
      <c r="AK93" s="435">
        <v>1622</v>
      </c>
      <c r="AL93" s="30">
        <v>978.06599999999992</v>
      </c>
      <c r="AM93" s="238">
        <v>260.03111455904298</v>
      </c>
      <c r="AN93" s="339" t="s">
        <v>997</v>
      </c>
      <c r="AO93" s="149">
        <v>1.83</v>
      </c>
      <c r="AP93" s="149">
        <v>7.75</v>
      </c>
      <c r="AQ93" s="149">
        <v>4.66</v>
      </c>
      <c r="AR93" s="149">
        <v>0.93</v>
      </c>
      <c r="AV93" s="159">
        <v>6.43</v>
      </c>
      <c r="AW93" s="448">
        <v>8.3206212730550551</v>
      </c>
      <c r="AX93" s="161"/>
      <c r="AY93" s="162"/>
      <c r="AZ93" s="149">
        <v>2.4397966751918156</v>
      </c>
      <c r="BA93" s="149">
        <v>79.112345217391308</v>
      </c>
      <c r="BB93" s="149">
        <v>44.05</v>
      </c>
      <c r="BC93" s="149">
        <v>8.0499259259259244</v>
      </c>
      <c r="BD93" s="149">
        <v>15.500321418638674</v>
      </c>
      <c r="BE93" s="149" t="s">
        <v>1133</v>
      </c>
      <c r="BF93" s="149">
        <v>2.4400906265984652</v>
      </c>
      <c r="BG93" s="149">
        <v>78.94406263592866</v>
      </c>
      <c r="BH93" s="149">
        <v>43.987573852295412</v>
      </c>
      <c r="BI93" s="149">
        <v>5.7418800000000001</v>
      </c>
      <c r="BJ93" s="401">
        <v>0.60210426951943685</v>
      </c>
      <c r="BK93" s="149" t="s">
        <v>1129</v>
      </c>
      <c r="BL93" s="149" t="s">
        <v>1136</v>
      </c>
    </row>
    <row r="94" spans="1:64" s="149" customFormat="1" ht="20.25" customHeight="1" thickBot="1" x14ac:dyDescent="0.35">
      <c r="A94" s="155" t="s">
        <v>445</v>
      </c>
      <c r="B94" s="149" t="s">
        <v>81</v>
      </c>
      <c r="C94" s="149" t="s">
        <v>446</v>
      </c>
      <c r="D94" s="149" t="s">
        <v>1240</v>
      </c>
      <c r="E94" s="149" t="s">
        <v>50</v>
      </c>
      <c r="G94" s="149" t="s">
        <v>447</v>
      </c>
      <c r="H94" s="149" t="s">
        <v>448</v>
      </c>
      <c r="I94" s="149" t="s">
        <v>89</v>
      </c>
      <c r="J94" s="149" t="s">
        <v>84</v>
      </c>
      <c r="L94" s="157">
        <v>44727</v>
      </c>
      <c r="M94" s="158">
        <v>44746</v>
      </c>
      <c r="N94" s="149">
        <v>8.11</v>
      </c>
      <c r="O94" s="149">
        <v>55.6</v>
      </c>
      <c r="U94" s="356">
        <f>O94*12.43</f>
        <v>691.10799999999995</v>
      </c>
      <c r="V94" s="356"/>
      <c r="W94" s="356"/>
      <c r="X94" s="150">
        <v>22</v>
      </c>
      <c r="Y94" s="149">
        <v>26</v>
      </c>
      <c r="Z94" s="149">
        <v>52</v>
      </c>
      <c r="AA94" s="247" t="s">
        <v>885</v>
      </c>
      <c r="AB94" s="247" t="s">
        <v>880</v>
      </c>
      <c r="AC94" s="159">
        <v>2.5</v>
      </c>
      <c r="AE94" s="160">
        <v>35.700000000000003</v>
      </c>
      <c r="AF94" s="160">
        <v>727.14</v>
      </c>
      <c r="AG94" s="435">
        <v>115966</v>
      </c>
      <c r="AH94" s="30">
        <v>86035.175400000007</v>
      </c>
      <c r="AI94" s="435">
        <v>18851</v>
      </c>
      <c r="AJ94" s="30">
        <v>13472.8097</v>
      </c>
      <c r="AK94" s="435">
        <v>5135</v>
      </c>
      <c r="AL94" s="30">
        <v>3096.4049999999997</v>
      </c>
      <c r="AM94" s="238">
        <v>945.23562965296105</v>
      </c>
      <c r="AN94" s="339" t="s">
        <v>997</v>
      </c>
      <c r="AO94" s="149">
        <v>0.94</v>
      </c>
      <c r="AP94" s="149">
        <v>9.32</v>
      </c>
      <c r="AQ94" s="149">
        <v>3.7</v>
      </c>
      <c r="AR94" s="149">
        <v>0.61</v>
      </c>
      <c r="AV94" s="159">
        <v>4.49</v>
      </c>
      <c r="AW94" s="448">
        <v>2.081309837657833</v>
      </c>
      <c r="AX94" s="161"/>
      <c r="AY94" s="162"/>
      <c r="AZ94" s="149">
        <v>1.5435452685421991</v>
      </c>
      <c r="BA94" s="149">
        <v>374.06598000000002</v>
      </c>
      <c r="BB94" s="149">
        <v>67.325000000000003</v>
      </c>
      <c r="BC94" s="149">
        <v>25.484814814814811</v>
      </c>
      <c r="BD94" s="149">
        <v>54.911872974220678</v>
      </c>
      <c r="BE94" s="149" t="s">
        <v>1131</v>
      </c>
      <c r="BF94" s="149">
        <v>1.5437312378516621</v>
      </c>
      <c r="BG94" s="149">
        <v>373.27029143105693</v>
      </c>
      <c r="BH94" s="149">
        <v>67.229589321357281</v>
      </c>
      <c r="BI94" s="149">
        <v>18.177900000000001</v>
      </c>
      <c r="BJ94" s="401">
        <v>0.81106658794983044</v>
      </c>
      <c r="BK94" s="149" t="s">
        <v>1132</v>
      </c>
      <c r="BL94" s="149" t="s">
        <v>1136</v>
      </c>
    </row>
    <row r="95" spans="1:64" s="149" customFormat="1" ht="20.25" customHeight="1" thickBot="1" x14ac:dyDescent="0.35">
      <c r="A95" s="155" t="s">
        <v>449</v>
      </c>
      <c r="B95" s="149" t="s">
        <v>81</v>
      </c>
      <c r="C95" s="149" t="s">
        <v>450</v>
      </c>
      <c r="D95" s="149" t="s">
        <v>1240</v>
      </c>
      <c r="E95" s="149" t="s">
        <v>50</v>
      </c>
      <c r="G95" s="149" t="s">
        <v>451</v>
      </c>
      <c r="H95" s="149" t="s">
        <v>452</v>
      </c>
      <c r="I95" s="149" t="s">
        <v>89</v>
      </c>
      <c r="J95" s="149" t="s">
        <v>84</v>
      </c>
      <c r="L95" s="157">
        <v>44727</v>
      </c>
      <c r="M95" s="158">
        <v>44746</v>
      </c>
      <c r="N95" s="149">
        <v>7.85</v>
      </c>
      <c r="O95" s="149">
        <v>52.85</v>
      </c>
      <c r="U95" s="356">
        <f t="shared" ref="U95:U97" si="14">O95*5.4</f>
        <v>285.39000000000004</v>
      </c>
      <c r="V95" s="356"/>
      <c r="W95" s="356"/>
      <c r="X95" s="150">
        <v>22</v>
      </c>
      <c r="Y95" s="149">
        <v>70</v>
      </c>
      <c r="Z95" s="149">
        <v>8</v>
      </c>
      <c r="AA95" s="247" t="s">
        <v>884</v>
      </c>
      <c r="AB95" s="247" t="s">
        <v>879</v>
      </c>
      <c r="AC95" s="159">
        <v>3.6589999999999998</v>
      </c>
      <c r="AE95" s="160">
        <v>47.65</v>
      </c>
      <c r="AF95" s="160">
        <v>911.75</v>
      </c>
      <c r="AG95" s="435">
        <v>141713</v>
      </c>
      <c r="AH95" s="30">
        <v>105136.8747</v>
      </c>
      <c r="AI95" s="435">
        <v>15852</v>
      </c>
      <c r="AJ95" s="30">
        <v>11329.4244</v>
      </c>
      <c r="AK95" s="435">
        <v>15475</v>
      </c>
      <c r="AL95" s="30">
        <v>9331.4249999999993</v>
      </c>
      <c r="AM95" s="238">
        <v>1034.4177753652239</v>
      </c>
      <c r="AN95" s="339" t="s">
        <v>997</v>
      </c>
      <c r="AO95" s="149">
        <v>1.5</v>
      </c>
      <c r="AP95" s="149">
        <v>45.36</v>
      </c>
      <c r="AQ95" s="149">
        <v>5</v>
      </c>
      <c r="AR95" s="149">
        <v>1.38</v>
      </c>
      <c r="AV95" s="159">
        <v>1.79</v>
      </c>
      <c r="AW95" s="448">
        <v>0.30096140448655428</v>
      </c>
      <c r="AX95" s="161"/>
      <c r="AY95" s="162"/>
      <c r="AZ95" s="149">
        <v>1.9354283887468027</v>
      </c>
      <c r="BA95" s="149">
        <v>457.11684652173915</v>
      </c>
      <c r="BB95" s="149">
        <v>56.614285714285714</v>
      </c>
      <c r="BC95" s="149">
        <v>76.80185185185185</v>
      </c>
      <c r="BD95" s="149">
        <v>55.967775155228466</v>
      </c>
      <c r="BE95" s="149" t="s">
        <v>1131</v>
      </c>
      <c r="BF95" s="149">
        <v>1.9356615728900255</v>
      </c>
      <c r="BG95" s="149">
        <v>456.14449760765547</v>
      </c>
      <c r="BH95" s="149">
        <v>56.534053892215567</v>
      </c>
      <c r="BI95" s="149">
        <v>54.781500000000001</v>
      </c>
      <c r="BJ95" s="401">
        <v>0.80110279570960941</v>
      </c>
      <c r="BK95" s="149" t="s">
        <v>1132</v>
      </c>
      <c r="BL95" s="149" t="s">
        <v>1136</v>
      </c>
    </row>
    <row r="96" spans="1:64" s="149" customFormat="1" ht="20.25" customHeight="1" thickBot="1" x14ac:dyDescent="0.35">
      <c r="A96" s="155" t="s">
        <v>453</v>
      </c>
      <c r="B96" s="149" t="s">
        <v>81</v>
      </c>
      <c r="C96" s="149" t="s">
        <v>454</v>
      </c>
      <c r="D96" s="149" t="s">
        <v>1240</v>
      </c>
      <c r="E96" s="149" t="s">
        <v>50</v>
      </c>
      <c r="G96" s="149" t="s">
        <v>455</v>
      </c>
      <c r="H96" s="149" t="s">
        <v>456</v>
      </c>
      <c r="I96" s="149" t="s">
        <v>89</v>
      </c>
      <c r="J96" s="149" t="s">
        <v>84</v>
      </c>
      <c r="L96" s="157">
        <v>44727</v>
      </c>
      <c r="M96" s="158">
        <v>44746</v>
      </c>
      <c r="N96" s="149">
        <v>8.08</v>
      </c>
      <c r="O96" s="149">
        <v>42.7</v>
      </c>
      <c r="U96" s="356">
        <f t="shared" si="14"/>
        <v>230.58000000000004</v>
      </c>
      <c r="V96" s="356"/>
      <c r="W96" s="356"/>
      <c r="X96" s="150">
        <v>22</v>
      </c>
      <c r="Y96" s="149">
        <v>76</v>
      </c>
      <c r="Z96" s="149">
        <v>2</v>
      </c>
      <c r="AA96" s="247" t="s">
        <v>884</v>
      </c>
      <c r="AB96" s="247" t="s">
        <v>879</v>
      </c>
      <c r="AC96" s="159">
        <v>3.052</v>
      </c>
      <c r="AE96" s="160">
        <v>59.49</v>
      </c>
      <c r="AF96" s="160">
        <v>1084.99</v>
      </c>
      <c r="AG96" s="435">
        <v>97077</v>
      </c>
      <c r="AH96" s="30">
        <v>72021.426300000006</v>
      </c>
      <c r="AI96" s="435">
        <v>15198</v>
      </c>
      <c r="AJ96" s="30">
        <v>10862.0106</v>
      </c>
      <c r="AK96" s="435">
        <v>4066</v>
      </c>
      <c r="AL96" s="30">
        <v>2451.7979999999998</v>
      </c>
      <c r="AM96" s="238">
        <v>882.725273276895</v>
      </c>
      <c r="AN96" s="339" t="s">
        <v>997</v>
      </c>
      <c r="AO96" s="149">
        <v>1.77</v>
      </c>
      <c r="AP96" s="149">
        <v>18.71</v>
      </c>
      <c r="AQ96" s="149">
        <v>5.97</v>
      </c>
      <c r="AR96" s="149">
        <v>1.0900000000000001</v>
      </c>
      <c r="AV96" s="159">
        <v>4.09</v>
      </c>
      <c r="AW96" s="448">
        <v>0.25059167478769312</v>
      </c>
      <c r="AX96" s="161"/>
      <c r="AY96" s="162"/>
      <c r="AZ96" s="149">
        <v>2.3031757033248081</v>
      </c>
      <c r="BA96" s="149">
        <v>313.13663608695651</v>
      </c>
      <c r="BB96" s="149">
        <v>54.278571428571432</v>
      </c>
      <c r="BC96" s="149">
        <v>20.179407407407403</v>
      </c>
      <c r="BD96" s="149">
        <v>51.320781144859637</v>
      </c>
      <c r="BE96" s="149" t="s">
        <v>1131</v>
      </c>
      <c r="BF96" s="149">
        <v>2.3034531943734016</v>
      </c>
      <c r="BG96" s="149">
        <v>312.47055241409305</v>
      </c>
      <c r="BH96" s="149">
        <v>54.2016497005988</v>
      </c>
      <c r="BI96" s="149">
        <v>14.393640000000001</v>
      </c>
      <c r="BJ96" s="401">
        <v>0.81506410721334643</v>
      </c>
      <c r="BK96" s="149" t="s">
        <v>1132</v>
      </c>
      <c r="BL96" s="149" t="s">
        <v>1136</v>
      </c>
    </row>
    <row r="97" spans="1:64" s="149" customFormat="1" ht="20.25" customHeight="1" thickBot="1" x14ac:dyDescent="0.35">
      <c r="A97" s="155" t="s">
        <v>457</v>
      </c>
      <c r="B97" s="149" t="s">
        <v>81</v>
      </c>
      <c r="C97" s="149" t="s">
        <v>458</v>
      </c>
      <c r="D97" s="149" t="s">
        <v>1240</v>
      </c>
      <c r="E97" s="149" t="s">
        <v>50</v>
      </c>
      <c r="G97" s="149" t="s">
        <v>459</v>
      </c>
      <c r="H97" s="156" t="s">
        <v>668</v>
      </c>
      <c r="I97" s="149" t="s">
        <v>89</v>
      </c>
      <c r="J97" s="149" t="s">
        <v>84</v>
      </c>
      <c r="L97" s="157">
        <v>44727</v>
      </c>
      <c r="M97" s="158">
        <v>44746</v>
      </c>
      <c r="N97" s="149">
        <v>7.91</v>
      </c>
      <c r="O97" s="149">
        <v>56.96</v>
      </c>
      <c r="U97" s="356">
        <f t="shared" si="14"/>
        <v>307.584</v>
      </c>
      <c r="V97" s="356"/>
      <c r="W97" s="356"/>
      <c r="X97" s="150">
        <v>26</v>
      </c>
      <c r="Y97" s="149">
        <v>54</v>
      </c>
      <c r="Z97" s="149">
        <v>20</v>
      </c>
      <c r="AA97" s="247" t="s">
        <v>884</v>
      </c>
      <c r="AB97" s="247" t="s">
        <v>879</v>
      </c>
      <c r="AC97" s="159">
        <v>3.653</v>
      </c>
      <c r="AE97" s="160">
        <v>63.42</v>
      </c>
      <c r="AF97" s="160">
        <v>1675.07</v>
      </c>
      <c r="AG97" s="435">
        <v>146207</v>
      </c>
      <c r="AH97" s="30">
        <v>108470.9733</v>
      </c>
      <c r="AI97" s="435">
        <v>18591</v>
      </c>
      <c r="AJ97" s="30">
        <v>13286.9877</v>
      </c>
      <c r="AK97" s="435">
        <v>7401</v>
      </c>
      <c r="AL97" s="30">
        <v>4462.8029999999999</v>
      </c>
      <c r="AM97" s="238">
        <v>1151.4150896308995</v>
      </c>
      <c r="AN97" s="339" t="s">
        <v>997</v>
      </c>
      <c r="AO97" s="149">
        <v>1.89</v>
      </c>
      <c r="AP97" s="149">
        <v>26.92</v>
      </c>
      <c r="AQ97" s="149">
        <v>8.89</v>
      </c>
      <c r="AR97" s="149">
        <v>2.1800000000000002</v>
      </c>
      <c r="AV97" s="159">
        <v>6.81</v>
      </c>
      <c r="AW97" s="448">
        <v>0.36712557363370879</v>
      </c>
      <c r="AX97" s="161"/>
      <c r="AY97" s="162"/>
      <c r="AZ97" s="149">
        <v>3.5557751918158567</v>
      </c>
      <c r="BA97" s="149">
        <v>471.61292739130437</v>
      </c>
      <c r="BB97" s="149">
        <v>66.396428571428572</v>
      </c>
      <c r="BC97" s="149">
        <v>36.730888888888892</v>
      </c>
      <c r="BD97" s="149">
        <v>65.677080380170807</v>
      </c>
      <c r="BE97" s="149" t="s">
        <v>1131</v>
      </c>
      <c r="BF97" s="149">
        <v>3.5562035984654727</v>
      </c>
      <c r="BG97" s="149">
        <v>470.60974336668113</v>
      </c>
      <c r="BH97" s="149">
        <v>66.302333832335322</v>
      </c>
      <c r="BI97" s="149">
        <v>26.199540000000002</v>
      </c>
      <c r="BJ97" s="401">
        <v>0.83048609095957393</v>
      </c>
      <c r="BK97" s="149" t="s">
        <v>1132</v>
      </c>
      <c r="BL97" s="149" t="s">
        <v>1136</v>
      </c>
    </row>
    <row r="98" spans="1:64" s="149" customFormat="1" ht="20.25" customHeight="1" thickBot="1" x14ac:dyDescent="0.35">
      <c r="A98" s="155" t="s">
        <v>460</v>
      </c>
      <c r="B98" s="149" t="s">
        <v>81</v>
      </c>
      <c r="C98" s="149" t="s">
        <v>461</v>
      </c>
      <c r="D98" s="149" t="s">
        <v>1240</v>
      </c>
      <c r="E98" s="149" t="s">
        <v>50</v>
      </c>
      <c r="G98" s="149" t="s">
        <v>462</v>
      </c>
      <c r="H98" s="156" t="s">
        <v>651</v>
      </c>
      <c r="I98" s="149" t="s">
        <v>89</v>
      </c>
      <c r="J98" s="149" t="s">
        <v>84</v>
      </c>
      <c r="L98" s="157">
        <v>44727</v>
      </c>
      <c r="M98" s="158">
        <v>44746</v>
      </c>
      <c r="N98" s="149">
        <v>8.09</v>
      </c>
      <c r="O98" s="149">
        <v>4.7</v>
      </c>
      <c r="U98" s="360">
        <f>O98*5.25</f>
        <v>24.675000000000001</v>
      </c>
      <c r="V98" s="360"/>
      <c r="W98" s="360"/>
      <c r="X98" s="150">
        <v>46</v>
      </c>
      <c r="Y98" s="149">
        <v>30</v>
      </c>
      <c r="Z98" s="149">
        <v>24</v>
      </c>
      <c r="AA98" s="247" t="s">
        <v>876</v>
      </c>
      <c r="AB98" s="247" t="s">
        <v>877</v>
      </c>
      <c r="AC98" s="159">
        <v>1.5569999999999999</v>
      </c>
      <c r="AE98" s="160">
        <v>56.37</v>
      </c>
      <c r="AF98" s="160">
        <v>525.44000000000005</v>
      </c>
      <c r="AG98" s="435">
        <v>3089</v>
      </c>
      <c r="AH98" s="30">
        <v>2291.7291</v>
      </c>
      <c r="AI98" s="435">
        <v>12014</v>
      </c>
      <c r="AJ98" s="30">
        <v>8586.4058000000005</v>
      </c>
      <c r="AK98" s="435">
        <v>1687</v>
      </c>
      <c r="AL98" s="30">
        <v>1017.261</v>
      </c>
      <c r="AM98" s="238">
        <v>33.071944870398134</v>
      </c>
      <c r="AN98" s="339" t="s">
        <v>997</v>
      </c>
      <c r="AO98" s="149">
        <v>1.55</v>
      </c>
      <c r="AP98" s="149">
        <v>12.78</v>
      </c>
      <c r="AQ98" s="149">
        <v>2.5099999999999998</v>
      </c>
      <c r="AR98" s="149">
        <v>0.75</v>
      </c>
      <c r="AV98" s="159">
        <v>1.37</v>
      </c>
      <c r="AW98" s="448">
        <v>4.0451316339323027</v>
      </c>
      <c r="AX98" s="161"/>
      <c r="AY98" s="162"/>
      <c r="AZ98" s="149">
        <v>1.1153841432225062</v>
      </c>
      <c r="BA98" s="149">
        <v>9.9640395652173908</v>
      </c>
      <c r="BB98" s="149">
        <v>42.907142857142858</v>
      </c>
      <c r="BC98" s="149">
        <v>8.3725185185185182</v>
      </c>
      <c r="BD98" s="149">
        <v>1.9677860020321483</v>
      </c>
      <c r="BE98" s="149" t="s">
        <v>1125</v>
      </c>
      <c r="BF98" s="149">
        <v>1.11551852685422</v>
      </c>
      <c r="BG98" s="149">
        <v>9.9428447150935195</v>
      </c>
      <c r="BH98" s="149">
        <v>42.846336327345313</v>
      </c>
      <c r="BI98" s="149">
        <v>5.9719800000000003</v>
      </c>
      <c r="BJ98" s="401">
        <v>0.16605537893241115</v>
      </c>
      <c r="BK98" s="149" t="s">
        <v>1127</v>
      </c>
      <c r="BL98" s="149" t="s">
        <v>1136</v>
      </c>
    </row>
    <row r="99" spans="1:64" s="149" customFormat="1" ht="20.25" customHeight="1" thickBot="1" x14ac:dyDescent="0.35">
      <c r="A99" s="155" t="s">
        <v>463</v>
      </c>
      <c r="B99" s="149" t="s">
        <v>81</v>
      </c>
      <c r="C99" s="149" t="s">
        <v>464</v>
      </c>
      <c r="D99" s="149" t="s">
        <v>1240</v>
      </c>
      <c r="E99" s="149" t="s">
        <v>50</v>
      </c>
      <c r="G99" s="149" t="s">
        <v>465</v>
      </c>
      <c r="H99" s="156" t="s">
        <v>652</v>
      </c>
      <c r="I99" s="149" t="s">
        <v>89</v>
      </c>
      <c r="J99" s="149" t="s">
        <v>84</v>
      </c>
      <c r="L99" s="157">
        <v>44727</v>
      </c>
      <c r="M99" s="158">
        <v>44746</v>
      </c>
      <c r="N99" s="149">
        <v>8.08</v>
      </c>
      <c r="O99" s="149">
        <v>4.2</v>
      </c>
      <c r="U99" s="360">
        <f t="shared" ref="U99:U114" si="15">O99*5.25</f>
        <v>22.05</v>
      </c>
      <c r="V99" s="360"/>
      <c r="W99" s="360"/>
      <c r="X99" s="150">
        <v>44</v>
      </c>
      <c r="Y99" s="149">
        <v>34</v>
      </c>
      <c r="Z99" s="149">
        <v>22</v>
      </c>
      <c r="AA99" s="247" t="s">
        <v>876</v>
      </c>
      <c r="AB99" s="247" t="s">
        <v>877</v>
      </c>
      <c r="AC99" s="159">
        <v>1.3979999999999999</v>
      </c>
      <c r="AE99" s="160">
        <v>54.56</v>
      </c>
      <c r="AF99" s="160">
        <v>522.95000000000005</v>
      </c>
      <c r="AG99" s="435">
        <v>2835</v>
      </c>
      <c r="AH99" s="30">
        <v>2103.2865000000002</v>
      </c>
      <c r="AI99" s="435">
        <v>11598</v>
      </c>
      <c r="AJ99" s="30">
        <v>8289.0905999999995</v>
      </c>
      <c r="AK99" s="435">
        <v>1670</v>
      </c>
      <c r="AL99" s="30">
        <v>1007.01</v>
      </c>
      <c r="AM99" s="238">
        <v>30.850558077159995</v>
      </c>
      <c r="AN99" s="339" t="s">
        <v>997</v>
      </c>
      <c r="AO99" s="149">
        <v>1.49</v>
      </c>
      <c r="AP99" s="149">
        <v>11.33</v>
      </c>
      <c r="AQ99" s="149">
        <v>2.4900000000000002</v>
      </c>
      <c r="AR99" s="149">
        <v>0.65</v>
      </c>
      <c r="AV99" s="159">
        <v>1.4</v>
      </c>
      <c r="AW99" s="448">
        <v>2.5542570951585977</v>
      </c>
      <c r="AX99" s="161"/>
      <c r="AY99" s="162"/>
      <c r="AZ99" s="149">
        <v>1.1100984654731456</v>
      </c>
      <c r="BA99" s="149">
        <v>9.1447239130434781</v>
      </c>
      <c r="BB99" s="149">
        <v>41.421428571428564</v>
      </c>
      <c r="BC99" s="149">
        <v>8.2881481481481476</v>
      </c>
      <c r="BD99" s="149">
        <v>1.8342797161592725</v>
      </c>
      <c r="BE99" s="149" t="s">
        <v>1125</v>
      </c>
      <c r="BF99" s="149">
        <v>1.1102322122762149</v>
      </c>
      <c r="BG99" s="149">
        <v>9.1252718573292739</v>
      </c>
      <c r="BH99" s="149">
        <v>41.362727544910179</v>
      </c>
      <c r="BI99" s="149">
        <v>5.9118000000000004</v>
      </c>
      <c r="BJ99" s="401">
        <v>0.15867269763465117</v>
      </c>
      <c r="BK99" s="149" t="s">
        <v>1127</v>
      </c>
      <c r="BL99" s="149" t="s">
        <v>1136</v>
      </c>
    </row>
    <row r="100" spans="1:64" s="149" customFormat="1" ht="20.25" customHeight="1" thickBot="1" x14ac:dyDescent="0.35">
      <c r="A100" s="155" t="s">
        <v>466</v>
      </c>
      <c r="B100" s="149" t="s">
        <v>81</v>
      </c>
      <c r="C100" s="149" t="s">
        <v>467</v>
      </c>
      <c r="D100" s="149" t="s">
        <v>1240</v>
      </c>
      <c r="E100" s="149" t="s">
        <v>50</v>
      </c>
      <c r="G100" s="149" t="s">
        <v>468</v>
      </c>
      <c r="H100" s="156" t="s">
        <v>653</v>
      </c>
      <c r="I100" s="149" t="s">
        <v>89</v>
      </c>
      <c r="J100" s="149" t="s">
        <v>84</v>
      </c>
      <c r="L100" s="157">
        <v>44727</v>
      </c>
      <c r="M100" s="158">
        <v>44746</v>
      </c>
      <c r="N100" s="149">
        <v>8.06</v>
      </c>
      <c r="O100" s="149">
        <v>4.2</v>
      </c>
      <c r="U100" s="360">
        <f t="shared" si="15"/>
        <v>22.05</v>
      </c>
      <c r="V100" s="360"/>
      <c r="W100" s="360"/>
      <c r="X100" s="150">
        <v>44</v>
      </c>
      <c r="Y100" s="149">
        <v>34</v>
      </c>
      <c r="Z100" s="149">
        <v>22</v>
      </c>
      <c r="AA100" s="247" t="s">
        <v>876</v>
      </c>
      <c r="AB100" s="247" t="s">
        <v>877</v>
      </c>
      <c r="AC100" s="159">
        <v>1.5880000000000001</v>
      </c>
      <c r="AE100" s="160">
        <v>61.21</v>
      </c>
      <c r="AF100" s="160">
        <v>508.77</v>
      </c>
      <c r="AG100" s="435">
        <v>2618</v>
      </c>
      <c r="AH100" s="30">
        <v>1942.2942</v>
      </c>
      <c r="AI100" s="435">
        <v>12041</v>
      </c>
      <c r="AJ100" s="30">
        <v>8605.7026999999998</v>
      </c>
      <c r="AK100" s="435">
        <v>1549</v>
      </c>
      <c r="AL100" s="30">
        <v>934.04700000000003</v>
      </c>
      <c r="AM100" s="238">
        <v>28.122991857767531</v>
      </c>
      <c r="AN100" s="339" t="s">
        <v>997</v>
      </c>
      <c r="AO100" s="149">
        <v>1.28</v>
      </c>
      <c r="AP100" s="149">
        <v>15.62</v>
      </c>
      <c r="AQ100" s="149">
        <v>1.89</v>
      </c>
      <c r="AR100" s="149">
        <v>0.83</v>
      </c>
      <c r="AV100" s="159">
        <v>1.33</v>
      </c>
      <c r="AW100" s="448">
        <v>8.0710026348634027</v>
      </c>
      <c r="AX100" s="161"/>
      <c r="AY100" s="162"/>
      <c r="AZ100" s="149">
        <v>1.0799976982097186</v>
      </c>
      <c r="BA100" s="149">
        <v>8.4447573913043481</v>
      </c>
      <c r="BB100" s="149">
        <v>43.003571428571433</v>
      </c>
      <c r="BC100" s="149">
        <v>7.6876296296296296</v>
      </c>
      <c r="BD100" s="149">
        <v>1.6773970868248371</v>
      </c>
      <c r="BE100" s="149" t="s">
        <v>1125</v>
      </c>
      <c r="BF100" s="149">
        <v>1.0801278184143221</v>
      </c>
      <c r="BG100" s="149">
        <v>8.4267942583732047</v>
      </c>
      <c r="BH100" s="149">
        <v>42.942628243512971</v>
      </c>
      <c r="BI100" s="149">
        <v>5.48346</v>
      </c>
      <c r="BJ100" s="401">
        <v>0.14545755885604902</v>
      </c>
      <c r="BK100" s="149" t="s">
        <v>1126</v>
      </c>
      <c r="BL100" s="149" t="s">
        <v>1136</v>
      </c>
    </row>
    <row r="101" spans="1:64" s="149" customFormat="1" ht="20.25" customHeight="1" thickBot="1" x14ac:dyDescent="0.35">
      <c r="A101" s="155" t="s">
        <v>469</v>
      </c>
      <c r="B101" s="149" t="s">
        <v>81</v>
      </c>
      <c r="C101" s="149" t="s">
        <v>470</v>
      </c>
      <c r="D101" s="149" t="s">
        <v>1240</v>
      </c>
      <c r="E101" s="149" t="s">
        <v>50</v>
      </c>
      <c r="G101" s="149" t="s">
        <v>471</v>
      </c>
      <c r="H101" s="156" t="s">
        <v>654</v>
      </c>
      <c r="I101" s="149" t="s">
        <v>89</v>
      </c>
      <c r="J101" s="149" t="s">
        <v>84</v>
      </c>
      <c r="L101" s="157">
        <v>44727</v>
      </c>
      <c r="M101" s="158">
        <v>44746</v>
      </c>
      <c r="N101" s="149">
        <v>8.1199999999999992</v>
      </c>
      <c r="O101" s="149">
        <v>3.3</v>
      </c>
      <c r="U101" s="360">
        <f t="shared" si="15"/>
        <v>17.324999999999999</v>
      </c>
      <c r="V101" s="360"/>
      <c r="W101" s="360"/>
      <c r="X101" s="150">
        <v>46</v>
      </c>
      <c r="Y101" s="149">
        <v>34</v>
      </c>
      <c r="Z101" s="149">
        <v>20</v>
      </c>
      <c r="AA101" s="247" t="s">
        <v>876</v>
      </c>
      <c r="AB101" s="247" t="s">
        <v>877</v>
      </c>
      <c r="AC101" s="159">
        <v>1.417</v>
      </c>
      <c r="AE101" s="160">
        <v>59.85</v>
      </c>
      <c r="AF101" s="160">
        <v>515.75</v>
      </c>
      <c r="AG101" s="435">
        <v>2431</v>
      </c>
      <c r="AH101" s="30">
        <v>1803.5589</v>
      </c>
      <c r="AI101" s="435">
        <v>12164</v>
      </c>
      <c r="AJ101" s="30">
        <v>8693.6108000000004</v>
      </c>
      <c r="AK101" s="435">
        <v>1505</v>
      </c>
      <c r="AL101" s="30">
        <v>907.51499999999999</v>
      </c>
      <c r="AM101" s="238">
        <v>26.030604139784256</v>
      </c>
      <c r="AN101" s="339" t="s">
        <v>999</v>
      </c>
      <c r="AO101" s="149">
        <v>1.55</v>
      </c>
      <c r="AP101" s="149">
        <v>10.94</v>
      </c>
      <c r="AQ101" s="149">
        <v>2.77</v>
      </c>
      <c r="AR101" s="149">
        <v>0.69</v>
      </c>
      <c r="AV101" s="159">
        <v>1.36</v>
      </c>
      <c r="AW101" s="448">
        <v>7.5324313014367421</v>
      </c>
      <c r="AX101" s="161"/>
      <c r="AY101" s="162"/>
      <c r="AZ101" s="149">
        <v>1.0948145780051151</v>
      </c>
      <c r="BA101" s="149">
        <v>7.8415604347826084</v>
      </c>
      <c r="BB101" s="149">
        <v>43.442857142857143</v>
      </c>
      <c r="BC101" s="149">
        <v>7.4692592592592586</v>
      </c>
      <c r="BD101" s="149">
        <v>1.5542000417257786</v>
      </c>
      <c r="BE101" s="149" t="s">
        <v>1125</v>
      </c>
      <c r="BF101" s="149">
        <v>1.094946483375959</v>
      </c>
      <c r="BG101" s="149">
        <v>7.8248803827751194</v>
      </c>
      <c r="BH101" s="149">
        <v>43.38129141716567</v>
      </c>
      <c r="BI101" s="149">
        <v>5.3277000000000001</v>
      </c>
      <c r="BJ101" s="401">
        <v>0.13578068431502754</v>
      </c>
      <c r="BK101" s="149" t="s">
        <v>1126</v>
      </c>
      <c r="BL101" s="149" t="s">
        <v>1136</v>
      </c>
    </row>
    <row r="102" spans="1:64" s="149" customFormat="1" ht="20.25" customHeight="1" thickBot="1" x14ac:dyDescent="0.35">
      <c r="A102" s="155" t="s">
        <v>472</v>
      </c>
      <c r="B102" s="149" t="s">
        <v>81</v>
      </c>
      <c r="C102" s="149" t="s">
        <v>473</v>
      </c>
      <c r="D102" s="149" t="s">
        <v>1240</v>
      </c>
      <c r="E102" s="149" t="s">
        <v>50</v>
      </c>
      <c r="G102" s="149" t="s">
        <v>474</v>
      </c>
      <c r="H102" s="156" t="s">
        <v>655</v>
      </c>
      <c r="I102" s="149" t="s">
        <v>89</v>
      </c>
      <c r="J102" s="149" t="s">
        <v>84</v>
      </c>
      <c r="L102" s="157">
        <v>44727</v>
      </c>
      <c r="M102" s="158">
        <v>44746</v>
      </c>
      <c r="N102" s="149">
        <v>8.0299999999999994</v>
      </c>
      <c r="O102" s="149">
        <v>5.3</v>
      </c>
      <c r="U102" s="360">
        <f t="shared" si="15"/>
        <v>27.824999999999999</v>
      </c>
      <c r="V102" s="360"/>
      <c r="W102" s="360"/>
      <c r="X102" s="150">
        <v>48</v>
      </c>
      <c r="Y102" s="149">
        <v>32</v>
      </c>
      <c r="Z102" s="149">
        <v>20</v>
      </c>
      <c r="AA102" s="247" t="s">
        <v>876</v>
      </c>
      <c r="AB102" s="247" t="s">
        <v>877</v>
      </c>
      <c r="AC102" s="159">
        <v>1.427</v>
      </c>
      <c r="AE102" s="160">
        <v>55.61</v>
      </c>
      <c r="AF102" s="160">
        <v>501.19</v>
      </c>
      <c r="AG102" s="435">
        <v>3356</v>
      </c>
      <c r="AH102" s="30">
        <v>2489.8164000000002</v>
      </c>
      <c r="AI102" s="435">
        <v>13358</v>
      </c>
      <c r="AJ102" s="30">
        <v>9546.9626000000007</v>
      </c>
      <c r="AK102" s="435">
        <v>1916</v>
      </c>
      <c r="AL102" s="30">
        <v>1155.348</v>
      </c>
      <c r="AM102" s="238">
        <v>34.03639426039129</v>
      </c>
      <c r="AN102" s="339" t="s">
        <v>997</v>
      </c>
      <c r="AO102" s="149">
        <v>1.52</v>
      </c>
      <c r="AP102" s="149">
        <v>13.66</v>
      </c>
      <c r="AQ102" s="149">
        <v>2.58</v>
      </c>
      <c r="AR102" s="149">
        <v>0.68</v>
      </c>
      <c r="AV102" s="159">
        <v>1.23</v>
      </c>
      <c r="AW102" s="448">
        <v>7.6348547717842301</v>
      </c>
      <c r="AX102" s="161"/>
      <c r="AY102" s="162"/>
      <c r="AZ102" s="149">
        <v>1.0639071611253195</v>
      </c>
      <c r="BA102" s="149">
        <v>10.825288695652175</v>
      </c>
      <c r="BB102" s="149">
        <v>47.707142857142856</v>
      </c>
      <c r="BC102" s="149">
        <v>9.5090370370370358</v>
      </c>
      <c r="BD102" s="149">
        <v>2.0239279871528706</v>
      </c>
      <c r="BE102" s="149" t="s">
        <v>1125</v>
      </c>
      <c r="BF102" s="149">
        <v>1.0640353427109974</v>
      </c>
      <c r="BG102" s="149">
        <v>10.802261852979557</v>
      </c>
      <c r="BH102" s="149">
        <v>47.639533932135734</v>
      </c>
      <c r="BI102" s="149">
        <v>6.7826400000000007</v>
      </c>
      <c r="BJ102" s="401">
        <v>0.16295837977842623</v>
      </c>
      <c r="BK102" s="149" t="s">
        <v>1127</v>
      </c>
      <c r="BL102" s="149" t="s">
        <v>1136</v>
      </c>
    </row>
    <row r="103" spans="1:64" s="149" customFormat="1" ht="20.25" customHeight="1" thickBot="1" x14ac:dyDescent="0.35">
      <c r="A103" s="155" t="s">
        <v>475</v>
      </c>
      <c r="B103" s="149" t="s">
        <v>81</v>
      </c>
      <c r="C103" s="149" t="s">
        <v>476</v>
      </c>
      <c r="D103" s="149" t="s">
        <v>1240</v>
      </c>
      <c r="E103" s="149" t="s">
        <v>50</v>
      </c>
      <c r="G103" s="149" t="s">
        <v>477</v>
      </c>
      <c r="H103" s="156" t="s">
        <v>656</v>
      </c>
      <c r="I103" s="149" t="s">
        <v>89</v>
      </c>
      <c r="J103" s="149" t="s">
        <v>84</v>
      </c>
      <c r="L103" s="157">
        <v>44727</v>
      </c>
      <c r="M103" s="158">
        <v>44746</v>
      </c>
      <c r="N103" s="149">
        <v>8.18</v>
      </c>
      <c r="O103" s="149">
        <v>2.8</v>
      </c>
      <c r="U103" s="360">
        <f t="shared" si="15"/>
        <v>14.7</v>
      </c>
      <c r="V103" s="360"/>
      <c r="W103" s="360"/>
      <c r="X103" s="150">
        <v>48</v>
      </c>
      <c r="Y103" s="149">
        <v>24</v>
      </c>
      <c r="Z103" s="149">
        <v>28</v>
      </c>
      <c r="AA103" s="247" t="s">
        <v>876</v>
      </c>
      <c r="AB103" s="247" t="s">
        <v>877</v>
      </c>
      <c r="AC103" s="159">
        <v>1.4059999999999999</v>
      </c>
      <c r="AE103" s="160">
        <v>63.59</v>
      </c>
      <c r="AF103" s="160">
        <v>485.05</v>
      </c>
      <c r="AG103" s="435">
        <v>1896</v>
      </c>
      <c r="AH103" s="30">
        <v>1406.6424</v>
      </c>
      <c r="AI103" s="435">
        <v>11521</v>
      </c>
      <c r="AJ103" s="30">
        <v>8234.0586999999996</v>
      </c>
      <c r="AK103" s="435">
        <v>1244</v>
      </c>
      <c r="AL103" s="30">
        <v>750.13199999999995</v>
      </c>
      <c r="AM103" s="238">
        <v>20.987428086361469</v>
      </c>
      <c r="AN103" s="339" t="s">
        <v>999</v>
      </c>
      <c r="AO103" s="149">
        <v>1.52</v>
      </c>
      <c r="AP103" s="149">
        <v>11.44</v>
      </c>
      <c r="AQ103" s="149">
        <v>2.62</v>
      </c>
      <c r="AR103" s="149">
        <v>0.61</v>
      </c>
      <c r="AV103" s="159">
        <v>1.71</v>
      </c>
      <c r="AW103" s="448">
        <v>0.31640299750208156</v>
      </c>
      <c r="AX103" s="161"/>
      <c r="AY103" s="162"/>
      <c r="AZ103" s="149">
        <v>1.0296457800511507</v>
      </c>
      <c r="BA103" s="149">
        <v>6.1158365217391308</v>
      </c>
      <c r="BB103" s="149">
        <v>41.146428571428565</v>
      </c>
      <c r="BC103" s="149">
        <v>6.1739259259259258</v>
      </c>
      <c r="BD103" s="149">
        <v>1.2573230320377737</v>
      </c>
      <c r="BE103" s="149" t="s">
        <v>1125</v>
      </c>
      <c r="BF103" s="149">
        <v>1.0297698337595906</v>
      </c>
      <c r="BG103" s="149">
        <v>6.1028273162244453</v>
      </c>
      <c r="BH103" s="149">
        <v>41.088117265469059</v>
      </c>
      <c r="BI103" s="149">
        <v>4.4037600000000001</v>
      </c>
      <c r="BJ103" s="401">
        <v>0.11596937326242178</v>
      </c>
      <c r="BK103" s="149" t="s">
        <v>1126</v>
      </c>
      <c r="BL103" s="149" t="s">
        <v>1136</v>
      </c>
    </row>
    <row r="104" spans="1:64" s="149" customFormat="1" ht="20.25" customHeight="1" thickBot="1" x14ac:dyDescent="0.35">
      <c r="A104" s="155" t="s">
        <v>478</v>
      </c>
      <c r="B104" s="149" t="s">
        <v>81</v>
      </c>
      <c r="C104" s="149" t="s">
        <v>479</v>
      </c>
      <c r="D104" s="149" t="s">
        <v>1240</v>
      </c>
      <c r="E104" s="149" t="s">
        <v>50</v>
      </c>
      <c r="G104" s="149" t="s">
        <v>480</v>
      </c>
      <c r="H104" s="156" t="s">
        <v>657</v>
      </c>
      <c r="I104" s="149" t="s">
        <v>89</v>
      </c>
      <c r="J104" s="149" t="s">
        <v>84</v>
      </c>
      <c r="L104" s="157">
        <v>44727</v>
      </c>
      <c r="M104" s="158">
        <v>44746</v>
      </c>
      <c r="N104" s="149">
        <v>8.06</v>
      </c>
      <c r="O104" s="149">
        <v>4.2</v>
      </c>
      <c r="U104" s="360">
        <f t="shared" si="15"/>
        <v>22.05</v>
      </c>
      <c r="V104" s="360"/>
      <c r="W104" s="360"/>
      <c r="X104" s="150">
        <v>42</v>
      </c>
      <c r="Y104" s="149">
        <v>34</v>
      </c>
      <c r="Z104" s="149">
        <v>24</v>
      </c>
      <c r="AA104" s="247" t="s">
        <v>876</v>
      </c>
      <c r="AB104" s="247" t="s">
        <v>877</v>
      </c>
      <c r="AC104" s="159">
        <v>1.617</v>
      </c>
      <c r="AE104" s="160">
        <v>53.4</v>
      </c>
      <c r="AF104" s="160">
        <v>523.89</v>
      </c>
      <c r="AG104" s="435">
        <v>2626</v>
      </c>
      <c r="AH104" s="30">
        <v>1948.2293999999999</v>
      </c>
      <c r="AI104" s="435">
        <v>11994</v>
      </c>
      <c r="AJ104" s="30">
        <v>8572.1118000000006</v>
      </c>
      <c r="AK104" s="435">
        <v>1600</v>
      </c>
      <c r="AL104" s="30">
        <v>964.8</v>
      </c>
      <c r="AM104" s="238">
        <v>28.213125944702281</v>
      </c>
      <c r="AN104" s="339" t="s">
        <v>997</v>
      </c>
      <c r="AO104" s="149">
        <v>1.45</v>
      </c>
      <c r="AP104" s="149">
        <v>15.67</v>
      </c>
      <c r="AQ104" s="149">
        <v>2.14</v>
      </c>
      <c r="AR104" s="149">
        <v>0.85</v>
      </c>
      <c r="AV104" s="159">
        <v>1.34</v>
      </c>
      <c r="AW104" s="448">
        <v>8.1137599330823917</v>
      </c>
      <c r="AX104" s="161"/>
      <c r="AY104" s="162"/>
      <c r="AZ104" s="149">
        <v>1.1120938618925831</v>
      </c>
      <c r="BA104" s="149">
        <v>8.4705626086956514</v>
      </c>
      <c r="BB104" s="149">
        <v>42.835714285714282</v>
      </c>
      <c r="BC104" s="149">
        <v>7.9407407407407398</v>
      </c>
      <c r="BD104" s="149">
        <v>1.6811097464917275</v>
      </c>
      <c r="BE104" s="149" t="s">
        <v>1125</v>
      </c>
      <c r="BF104" s="149">
        <v>1.1122278491048592</v>
      </c>
      <c r="BG104" s="149">
        <v>8.4525445846020002</v>
      </c>
      <c r="BH104" s="149">
        <v>42.775008982035928</v>
      </c>
      <c r="BI104" s="149">
        <v>5.6640000000000006</v>
      </c>
      <c r="BJ104" s="401">
        <v>0.14572402657713446</v>
      </c>
      <c r="BK104" s="149" t="s">
        <v>1126</v>
      </c>
      <c r="BL104" s="149" t="s">
        <v>1136</v>
      </c>
    </row>
    <row r="105" spans="1:64" s="149" customFormat="1" ht="20.25" customHeight="1" thickBot="1" x14ac:dyDescent="0.35">
      <c r="A105" s="155" t="s">
        <v>481</v>
      </c>
      <c r="B105" s="149" t="s">
        <v>81</v>
      </c>
      <c r="C105" s="149" t="s">
        <v>482</v>
      </c>
      <c r="D105" s="149" t="s">
        <v>1240</v>
      </c>
      <c r="E105" s="149" t="s">
        <v>50</v>
      </c>
      <c r="G105" s="149" t="s">
        <v>483</v>
      </c>
      <c r="H105" s="156" t="s">
        <v>658</v>
      </c>
      <c r="I105" s="149" t="s">
        <v>89</v>
      </c>
      <c r="J105" s="149" t="s">
        <v>84</v>
      </c>
      <c r="L105" s="157">
        <v>44727</v>
      </c>
      <c r="M105" s="158">
        <v>44746</v>
      </c>
      <c r="N105" s="149">
        <v>8</v>
      </c>
      <c r="O105" s="149">
        <v>5.7</v>
      </c>
      <c r="U105" s="360">
        <f t="shared" si="15"/>
        <v>29.925000000000001</v>
      </c>
      <c r="V105" s="360"/>
      <c r="W105" s="360"/>
      <c r="X105" s="150">
        <v>46</v>
      </c>
      <c r="Y105" s="149">
        <v>28</v>
      </c>
      <c r="Z105" s="149">
        <v>26</v>
      </c>
      <c r="AA105" s="247" t="s">
        <v>876</v>
      </c>
      <c r="AB105" s="247" t="s">
        <v>877</v>
      </c>
      <c r="AC105" s="159">
        <v>1.45</v>
      </c>
      <c r="AE105" s="160">
        <v>56.4</v>
      </c>
      <c r="AF105" s="160">
        <v>525.65</v>
      </c>
      <c r="AG105" s="435">
        <v>3227</v>
      </c>
      <c r="AH105" s="30">
        <v>2394.1113</v>
      </c>
      <c r="AI105" s="435">
        <v>12347</v>
      </c>
      <c r="AJ105" s="30">
        <v>8824.4009000000005</v>
      </c>
      <c r="AK105" s="435">
        <v>1838</v>
      </c>
      <c r="AL105" s="30">
        <v>1108.3139999999999</v>
      </c>
      <c r="AM105" s="238">
        <v>33.972331190515433</v>
      </c>
      <c r="AN105" s="339" t="s">
        <v>997</v>
      </c>
      <c r="AO105" s="149">
        <v>1.42</v>
      </c>
      <c r="AP105" s="149">
        <v>12.33</v>
      </c>
      <c r="AQ105" s="149">
        <v>2.35</v>
      </c>
      <c r="AR105" s="149">
        <v>0.64</v>
      </c>
      <c r="AV105" s="159">
        <v>1.31</v>
      </c>
      <c r="AW105" s="448">
        <v>6.2831611281764861</v>
      </c>
      <c r="AX105" s="161"/>
      <c r="AY105" s="162"/>
      <c r="AZ105" s="149">
        <v>1.115829923273657</v>
      </c>
      <c r="BA105" s="149">
        <v>10.409179565217391</v>
      </c>
      <c r="BB105" s="149">
        <v>44.096428571428568</v>
      </c>
      <c r="BC105" s="149">
        <v>9.1219259259259253</v>
      </c>
      <c r="BD105" s="149">
        <v>2.0179052825365988</v>
      </c>
      <c r="BE105" s="149" t="s">
        <v>1125</v>
      </c>
      <c r="BF105" s="149">
        <v>1.1159643606138105</v>
      </c>
      <c r="BG105" s="149">
        <v>10.387037842540234</v>
      </c>
      <c r="BH105" s="149">
        <v>44.03393662674651</v>
      </c>
      <c r="BI105" s="149">
        <v>6.5065200000000001</v>
      </c>
      <c r="BJ105" s="401">
        <v>0.1674155187095149</v>
      </c>
      <c r="BK105" s="149" t="s">
        <v>1127</v>
      </c>
      <c r="BL105" s="149" t="s">
        <v>1136</v>
      </c>
    </row>
    <row r="106" spans="1:64" s="149" customFormat="1" ht="20.25" customHeight="1" thickBot="1" x14ac:dyDescent="0.35">
      <c r="A106" s="155" t="s">
        <v>484</v>
      </c>
      <c r="B106" s="149" t="s">
        <v>81</v>
      </c>
      <c r="C106" s="149" t="s">
        <v>485</v>
      </c>
      <c r="D106" s="149" t="s">
        <v>1240</v>
      </c>
      <c r="E106" s="149" t="s">
        <v>50</v>
      </c>
      <c r="G106" s="149" t="s">
        <v>486</v>
      </c>
      <c r="H106" s="156" t="s">
        <v>659</v>
      </c>
      <c r="I106" s="149" t="s">
        <v>89</v>
      </c>
      <c r="J106" s="149" t="s">
        <v>84</v>
      </c>
      <c r="L106" s="157">
        <v>44727</v>
      </c>
      <c r="M106" s="158">
        <v>44746</v>
      </c>
      <c r="N106" s="149">
        <v>8.08</v>
      </c>
      <c r="O106" s="149">
        <v>4.0999999999999996</v>
      </c>
      <c r="U106" s="360">
        <f t="shared" si="15"/>
        <v>21.524999999999999</v>
      </c>
      <c r="V106" s="360"/>
      <c r="W106" s="360"/>
      <c r="X106" s="150">
        <v>42</v>
      </c>
      <c r="Y106" s="149">
        <v>34</v>
      </c>
      <c r="Z106" s="149">
        <v>24</v>
      </c>
      <c r="AA106" s="247" t="s">
        <v>876</v>
      </c>
      <c r="AB106" s="247" t="s">
        <v>877</v>
      </c>
      <c r="AC106" s="159">
        <v>1.619</v>
      </c>
      <c r="AE106" s="160">
        <v>60.9</v>
      </c>
      <c r="AF106" s="160">
        <v>518.25</v>
      </c>
      <c r="AG106" s="435">
        <v>2061</v>
      </c>
      <c r="AH106" s="30">
        <v>1529.0559000000001</v>
      </c>
      <c r="AI106" s="435">
        <v>11384</v>
      </c>
      <c r="AJ106" s="30">
        <v>8136.1448</v>
      </c>
      <c r="AK106" s="435">
        <v>1335</v>
      </c>
      <c r="AL106" s="30">
        <v>805.005</v>
      </c>
      <c r="AM106" s="238">
        <v>22.86871041793021</v>
      </c>
      <c r="AN106" s="339" t="s">
        <v>997</v>
      </c>
      <c r="AO106" s="149">
        <v>1.55</v>
      </c>
      <c r="AP106" s="149">
        <v>15.45</v>
      </c>
      <c r="AQ106" s="149">
        <v>2.4300000000000002</v>
      </c>
      <c r="AR106" s="149">
        <v>0.78</v>
      </c>
      <c r="AV106" s="159">
        <v>1.38</v>
      </c>
      <c r="AW106" s="448">
        <v>3.3819241982507293</v>
      </c>
      <c r="AX106" s="161"/>
      <c r="AY106" s="162"/>
      <c r="AZ106" s="149">
        <v>1.1001214833759589</v>
      </c>
      <c r="BA106" s="149">
        <v>6.6480691304347834</v>
      </c>
      <c r="BB106" s="149">
        <v>40.657142857142858</v>
      </c>
      <c r="BC106" s="149">
        <v>6.6255555555555556</v>
      </c>
      <c r="BD106" s="149">
        <v>1.3672860971998688</v>
      </c>
      <c r="BE106" s="149" t="s">
        <v>1125</v>
      </c>
      <c r="BF106" s="149">
        <v>1.1002540281329922</v>
      </c>
      <c r="BG106" s="149">
        <v>6.6339277946933439</v>
      </c>
      <c r="BH106" s="149">
        <v>40.599524950099799</v>
      </c>
      <c r="BI106" s="149">
        <v>4.7259000000000002</v>
      </c>
      <c r="BJ106" s="401">
        <v>0.12502783563933856</v>
      </c>
      <c r="BK106" s="149" t="s">
        <v>1126</v>
      </c>
      <c r="BL106" s="149" t="s">
        <v>1136</v>
      </c>
    </row>
    <row r="107" spans="1:64" s="149" customFormat="1" ht="20.25" customHeight="1" thickBot="1" x14ac:dyDescent="0.35">
      <c r="A107" s="155" t="s">
        <v>487</v>
      </c>
      <c r="B107" s="149" t="s">
        <v>81</v>
      </c>
      <c r="C107" s="149" t="s">
        <v>488</v>
      </c>
      <c r="D107" s="149" t="s">
        <v>1240</v>
      </c>
      <c r="E107" s="149" t="s">
        <v>50</v>
      </c>
      <c r="G107" s="149" t="s">
        <v>489</v>
      </c>
      <c r="H107" s="156" t="s">
        <v>660</v>
      </c>
      <c r="I107" s="149" t="s">
        <v>89</v>
      </c>
      <c r="J107" s="149" t="s">
        <v>84</v>
      </c>
      <c r="L107" s="157">
        <v>44727</v>
      </c>
      <c r="M107" s="158">
        <v>44746</v>
      </c>
      <c r="N107" s="149">
        <v>8.15</v>
      </c>
      <c r="O107" s="149">
        <v>2.9</v>
      </c>
      <c r="U107" s="360">
        <f t="shared" si="15"/>
        <v>15.225</v>
      </c>
      <c r="V107" s="360"/>
      <c r="W107" s="360"/>
      <c r="X107" s="150">
        <v>44</v>
      </c>
      <c r="Y107" s="149">
        <v>30</v>
      </c>
      <c r="Z107" s="149">
        <v>26</v>
      </c>
      <c r="AA107" s="247" t="s">
        <v>876</v>
      </c>
      <c r="AB107" s="247" t="s">
        <v>877</v>
      </c>
      <c r="AC107" s="159">
        <v>1.613</v>
      </c>
      <c r="AE107" s="160">
        <v>57.22</v>
      </c>
      <c r="AF107" s="160">
        <v>534.04</v>
      </c>
      <c r="AG107" s="435">
        <v>1975</v>
      </c>
      <c r="AH107" s="30">
        <v>1465.2525000000001</v>
      </c>
      <c r="AI107" s="435">
        <v>10823</v>
      </c>
      <c r="AJ107" s="30">
        <v>7735.1980999999996</v>
      </c>
      <c r="AK107" s="435">
        <v>1238</v>
      </c>
      <c r="AL107" s="30">
        <v>746.51400000000001</v>
      </c>
      <c r="AM107" s="238">
        <v>22.500165130853762</v>
      </c>
      <c r="AN107" s="339" t="s">
        <v>999</v>
      </c>
      <c r="AO107" s="149">
        <v>1.42</v>
      </c>
      <c r="AP107" s="149">
        <v>12.56</v>
      </c>
      <c r="AQ107" s="149">
        <v>2.36</v>
      </c>
      <c r="AR107" s="149">
        <v>0.71</v>
      </c>
      <c r="AV107" s="159">
        <v>1.1200000000000001</v>
      </c>
      <c r="AW107" s="448">
        <v>5.1926298157453932</v>
      </c>
      <c r="AX107" s="161"/>
      <c r="AY107" s="162"/>
      <c r="AZ107" s="149">
        <v>1.1336398976982094</v>
      </c>
      <c r="BA107" s="149">
        <v>6.3706630434782605</v>
      </c>
      <c r="BB107" s="149">
        <v>38.653571428571425</v>
      </c>
      <c r="BC107" s="149">
        <v>6.1441481481481475</v>
      </c>
      <c r="BD107" s="149">
        <v>1.3460825039466566</v>
      </c>
      <c r="BE107" s="149" t="s">
        <v>1125</v>
      </c>
      <c r="BF107" s="149">
        <v>1.1337764808184141</v>
      </c>
      <c r="BG107" s="149">
        <v>6.357111787733797</v>
      </c>
      <c r="BH107" s="149">
        <v>38.598792914171653</v>
      </c>
      <c r="BI107" s="149">
        <v>4.3825200000000004</v>
      </c>
      <c r="BJ107" s="401">
        <v>0.12595273514462399</v>
      </c>
      <c r="BK107" s="149" t="s">
        <v>1126</v>
      </c>
      <c r="BL107" s="149" t="s">
        <v>1136</v>
      </c>
    </row>
    <row r="108" spans="1:64" s="149" customFormat="1" ht="20.25" customHeight="1" thickBot="1" x14ac:dyDescent="0.35">
      <c r="A108" s="155" t="s">
        <v>490</v>
      </c>
      <c r="B108" s="149" t="s">
        <v>81</v>
      </c>
      <c r="C108" s="149" t="s">
        <v>491</v>
      </c>
      <c r="D108" s="149" t="s">
        <v>1240</v>
      </c>
      <c r="E108" s="149" t="s">
        <v>50</v>
      </c>
      <c r="G108" s="149" t="s">
        <v>492</v>
      </c>
      <c r="H108" s="156" t="s">
        <v>661</v>
      </c>
      <c r="I108" s="149" t="s">
        <v>89</v>
      </c>
      <c r="J108" s="149" t="s">
        <v>84</v>
      </c>
      <c r="L108" s="157">
        <v>44727</v>
      </c>
      <c r="M108" s="158">
        <v>44746</v>
      </c>
      <c r="N108" s="149">
        <v>7.98</v>
      </c>
      <c r="O108" s="149">
        <v>4.3</v>
      </c>
      <c r="U108" s="360">
        <f t="shared" si="15"/>
        <v>22.574999999999999</v>
      </c>
      <c r="V108" s="360"/>
      <c r="W108" s="360"/>
      <c r="X108" s="150">
        <v>42</v>
      </c>
      <c r="Y108" s="149">
        <v>30</v>
      </c>
      <c r="Z108" s="149">
        <v>28</v>
      </c>
      <c r="AA108" s="247" t="s">
        <v>876</v>
      </c>
      <c r="AB108" s="247" t="s">
        <v>877</v>
      </c>
      <c r="AC108" s="159">
        <v>1.665</v>
      </c>
      <c r="AE108" s="160">
        <v>56.15</v>
      </c>
      <c r="AF108" s="160">
        <v>550.94000000000005</v>
      </c>
      <c r="AG108" s="435">
        <v>2703</v>
      </c>
      <c r="AH108" s="30">
        <v>2005.3557000000001</v>
      </c>
      <c r="AI108" s="435">
        <v>12093</v>
      </c>
      <c r="AJ108" s="30">
        <v>8642.8670999999995</v>
      </c>
      <c r="AK108" s="435">
        <v>1729</v>
      </c>
      <c r="AL108" s="30">
        <v>1042.587</v>
      </c>
      <c r="AM108" s="238">
        <v>28.816844364276704</v>
      </c>
      <c r="AN108" s="339" t="s">
        <v>997</v>
      </c>
      <c r="AO108" s="149">
        <v>1.28</v>
      </c>
      <c r="AP108" s="149">
        <v>17</v>
      </c>
      <c r="AQ108" s="149">
        <v>1.71</v>
      </c>
      <c r="AR108" s="149">
        <v>0.84</v>
      </c>
      <c r="AV108" s="159">
        <v>1.3</v>
      </c>
      <c r="AW108" s="448">
        <v>5.1767325354856659</v>
      </c>
      <c r="AX108" s="161"/>
      <c r="AY108" s="162"/>
      <c r="AZ108" s="149">
        <v>1.169514578005115</v>
      </c>
      <c r="BA108" s="149">
        <v>8.7189378260869574</v>
      </c>
      <c r="BB108" s="149">
        <v>43.189285714285717</v>
      </c>
      <c r="BC108" s="149">
        <v>8.5809629629629622</v>
      </c>
      <c r="BD108" s="149">
        <v>1.7137144276329075</v>
      </c>
      <c r="BE108" s="149" t="s">
        <v>1125</v>
      </c>
      <c r="BF108" s="149">
        <v>1.1696554833759591</v>
      </c>
      <c r="BG108" s="149">
        <v>8.700391474554154</v>
      </c>
      <c r="BH108" s="149">
        <v>43.12807934131736</v>
      </c>
      <c r="BI108" s="149">
        <v>6.12066</v>
      </c>
      <c r="BJ108" s="401">
        <v>0.14716796502747048</v>
      </c>
      <c r="BK108" s="149" t="s">
        <v>1126</v>
      </c>
      <c r="BL108" s="149" t="s">
        <v>1136</v>
      </c>
    </row>
    <row r="109" spans="1:64" s="149" customFormat="1" ht="20.25" customHeight="1" thickBot="1" x14ac:dyDescent="0.35">
      <c r="A109" s="155" t="s">
        <v>493</v>
      </c>
      <c r="B109" s="149" t="s">
        <v>81</v>
      </c>
      <c r="C109" s="149" t="s">
        <v>494</v>
      </c>
      <c r="D109" s="149" t="s">
        <v>1240</v>
      </c>
      <c r="E109" s="149" t="s">
        <v>50</v>
      </c>
      <c r="G109" s="149" t="s">
        <v>495</v>
      </c>
      <c r="H109" s="156" t="s">
        <v>662</v>
      </c>
      <c r="I109" s="149" t="s">
        <v>89</v>
      </c>
      <c r="J109" s="149" t="s">
        <v>84</v>
      </c>
      <c r="L109" s="157">
        <v>44727</v>
      </c>
      <c r="M109" s="158">
        <v>44746</v>
      </c>
      <c r="N109" s="149">
        <v>8.09</v>
      </c>
      <c r="O109" s="149">
        <v>3.9</v>
      </c>
      <c r="U109" s="360">
        <f t="shared" si="15"/>
        <v>20.474999999999998</v>
      </c>
      <c r="V109" s="360"/>
      <c r="W109" s="360"/>
      <c r="X109" s="150">
        <v>46</v>
      </c>
      <c r="Y109" s="149">
        <v>28</v>
      </c>
      <c r="Z109" s="149">
        <v>26</v>
      </c>
      <c r="AA109" s="247" t="s">
        <v>876</v>
      </c>
      <c r="AB109" s="247" t="s">
        <v>877</v>
      </c>
      <c r="AC109" s="159">
        <v>1.454</v>
      </c>
      <c r="AE109" s="160">
        <v>59.91</v>
      </c>
      <c r="AF109" s="160">
        <v>506.85</v>
      </c>
      <c r="AG109" s="435">
        <v>2296</v>
      </c>
      <c r="AH109" s="30">
        <v>1703.4023999999999</v>
      </c>
      <c r="AI109" s="435">
        <v>11274</v>
      </c>
      <c r="AJ109" s="30">
        <v>8057.5277999999998</v>
      </c>
      <c r="AK109" s="435">
        <v>1380</v>
      </c>
      <c r="AL109" s="30">
        <v>832.14</v>
      </c>
      <c r="AM109" s="238">
        <v>25.549916586864452</v>
      </c>
      <c r="AN109" s="339" t="s">
        <v>999</v>
      </c>
      <c r="AO109" s="149">
        <v>1.42</v>
      </c>
      <c r="AP109" s="149">
        <v>11.46</v>
      </c>
      <c r="AQ109" s="149">
        <v>2.36</v>
      </c>
      <c r="AR109" s="149">
        <v>0.6</v>
      </c>
      <c r="AV109" s="159">
        <v>1.45</v>
      </c>
      <c r="AW109" s="448">
        <v>3.9089766857461954</v>
      </c>
      <c r="AX109" s="161"/>
      <c r="AY109" s="162"/>
      <c r="AZ109" s="149">
        <v>1.0759219948849106</v>
      </c>
      <c r="BA109" s="149">
        <v>7.406097391304348</v>
      </c>
      <c r="BB109" s="149">
        <v>40.26428571428572</v>
      </c>
      <c r="BC109" s="149">
        <v>6.8488888888888884</v>
      </c>
      <c r="BD109" s="149">
        <v>1.5259251536864789</v>
      </c>
      <c r="BE109" s="149" t="s">
        <v>1125</v>
      </c>
      <c r="BF109" s="149">
        <v>1.0760516240409206</v>
      </c>
      <c r="BG109" s="149">
        <v>7.3903436276642012</v>
      </c>
      <c r="BH109" s="149">
        <v>40.207224550898204</v>
      </c>
      <c r="BI109" s="149">
        <v>4.8852000000000002</v>
      </c>
      <c r="BJ109" s="401">
        <v>0.13798555783906538</v>
      </c>
      <c r="BK109" s="149" t="s">
        <v>1126</v>
      </c>
      <c r="BL109" s="149" t="s">
        <v>1136</v>
      </c>
    </row>
    <row r="110" spans="1:64" s="149" customFormat="1" ht="20.25" customHeight="1" thickBot="1" x14ac:dyDescent="0.35">
      <c r="A110" s="155" t="s">
        <v>496</v>
      </c>
      <c r="B110" s="149" t="s">
        <v>81</v>
      </c>
      <c r="C110" s="149" t="s">
        <v>497</v>
      </c>
      <c r="D110" s="149" t="s">
        <v>1240</v>
      </c>
      <c r="E110" s="149" t="s">
        <v>50</v>
      </c>
      <c r="G110" s="149" t="s">
        <v>498</v>
      </c>
      <c r="H110" s="156" t="s">
        <v>663</v>
      </c>
      <c r="I110" s="149" t="s">
        <v>89</v>
      </c>
      <c r="J110" s="149" t="s">
        <v>84</v>
      </c>
      <c r="L110" s="157">
        <v>44727</v>
      </c>
      <c r="M110" s="158">
        <v>44746</v>
      </c>
      <c r="N110" s="149">
        <v>8.01</v>
      </c>
      <c r="O110" s="149">
        <v>4.9000000000000004</v>
      </c>
      <c r="U110" s="360">
        <f t="shared" si="15"/>
        <v>25.725000000000001</v>
      </c>
      <c r="V110" s="360"/>
      <c r="W110" s="360"/>
      <c r="X110" s="150">
        <v>44</v>
      </c>
      <c r="Y110" s="149">
        <v>28</v>
      </c>
      <c r="Z110" s="149">
        <v>28</v>
      </c>
      <c r="AA110" s="247" t="s">
        <v>876</v>
      </c>
      <c r="AB110" s="247" t="s">
        <v>877</v>
      </c>
      <c r="AC110" s="159">
        <v>1.601</v>
      </c>
      <c r="AE110" s="160">
        <v>55.07</v>
      </c>
      <c r="AF110" s="160">
        <v>537.94000000000005</v>
      </c>
      <c r="AG110" s="435">
        <v>2732</v>
      </c>
      <c r="AH110" s="30">
        <v>2026.8707999999999</v>
      </c>
      <c r="AI110" s="435">
        <v>12690</v>
      </c>
      <c r="AJ110" s="30">
        <v>9069.5429999999997</v>
      </c>
      <c r="AK110" s="435">
        <v>1739</v>
      </c>
      <c r="AL110" s="30">
        <v>1048.617</v>
      </c>
      <c r="AM110" s="238">
        <v>28.496419309538265</v>
      </c>
      <c r="AN110" s="339" t="s">
        <v>997</v>
      </c>
      <c r="AO110" s="149">
        <v>1.44</v>
      </c>
      <c r="AP110" s="149">
        <v>18.62</v>
      </c>
      <c r="AQ110" s="149">
        <v>1.92</v>
      </c>
      <c r="AR110" s="149">
        <v>0.98</v>
      </c>
      <c r="AV110" s="159">
        <v>1.1499999999999999</v>
      </c>
      <c r="AW110" s="448">
        <v>3.3379694019471478</v>
      </c>
      <c r="AX110" s="161"/>
      <c r="AY110" s="162"/>
      <c r="AZ110" s="149">
        <v>1.1419186700767263</v>
      </c>
      <c r="BA110" s="149">
        <v>8.8124817391304333</v>
      </c>
      <c r="BB110" s="149">
        <v>45.321428571428569</v>
      </c>
      <c r="BC110" s="149">
        <v>8.6305925925925919</v>
      </c>
      <c r="BD110" s="149">
        <v>1.6967168328183402</v>
      </c>
      <c r="BE110" s="149" t="s">
        <v>1125</v>
      </c>
      <c r="BF110" s="149">
        <v>1.1420562506393861</v>
      </c>
      <c r="BG110" s="149">
        <v>8.7937364071335367</v>
      </c>
      <c r="BH110" s="149">
        <v>45.257200598802392</v>
      </c>
      <c r="BI110" s="149">
        <v>6.1560600000000001</v>
      </c>
      <c r="BJ110" s="401">
        <v>0.14333939874110502</v>
      </c>
      <c r="BK110" s="149" t="s">
        <v>1126</v>
      </c>
      <c r="BL110" s="149" t="s">
        <v>1136</v>
      </c>
    </row>
    <row r="111" spans="1:64" s="149" customFormat="1" ht="20.25" customHeight="1" thickBot="1" x14ac:dyDescent="0.35">
      <c r="A111" s="155" t="s">
        <v>499</v>
      </c>
      <c r="B111" s="149" t="s">
        <v>81</v>
      </c>
      <c r="C111" s="149" t="s">
        <v>500</v>
      </c>
      <c r="D111" s="149" t="s">
        <v>1240</v>
      </c>
      <c r="E111" s="149" t="s">
        <v>50</v>
      </c>
      <c r="G111" s="149" t="s">
        <v>501</v>
      </c>
      <c r="H111" s="156" t="s">
        <v>664</v>
      </c>
      <c r="I111" s="149" t="s">
        <v>89</v>
      </c>
      <c r="J111" s="149" t="s">
        <v>84</v>
      </c>
      <c r="L111" s="157">
        <v>44727</v>
      </c>
      <c r="M111" s="158">
        <v>44746</v>
      </c>
      <c r="N111" s="149">
        <v>8.0299999999999994</v>
      </c>
      <c r="O111" s="149">
        <v>4.7</v>
      </c>
      <c r="U111" s="360">
        <f t="shared" si="15"/>
        <v>24.675000000000001</v>
      </c>
      <c r="V111" s="360"/>
      <c r="W111" s="360"/>
      <c r="X111" s="150">
        <v>44</v>
      </c>
      <c r="Y111" s="149">
        <v>28</v>
      </c>
      <c r="Z111" s="149">
        <v>28</v>
      </c>
      <c r="AA111" s="247" t="s">
        <v>876</v>
      </c>
      <c r="AB111" s="247" t="s">
        <v>877</v>
      </c>
      <c r="AC111" s="159">
        <v>1.7909999999999999</v>
      </c>
      <c r="AE111" s="160">
        <v>68.12</v>
      </c>
      <c r="AF111" s="160">
        <v>538.76</v>
      </c>
      <c r="AG111" s="435">
        <v>2440</v>
      </c>
      <c r="AH111" s="30">
        <v>1810.2360000000001</v>
      </c>
      <c r="AI111" s="435">
        <v>12149</v>
      </c>
      <c r="AJ111" s="30">
        <v>8682.8902999999991</v>
      </c>
      <c r="AK111" s="435">
        <v>1606</v>
      </c>
      <c r="AL111" s="30">
        <v>968.41800000000001</v>
      </c>
      <c r="AM111" s="238">
        <v>26.058961293788233</v>
      </c>
      <c r="AN111" s="339" t="s">
        <v>997</v>
      </c>
      <c r="AO111" s="149">
        <v>1.3</v>
      </c>
      <c r="AP111" s="149">
        <v>13.87</v>
      </c>
      <c r="AQ111" s="149">
        <v>1.97</v>
      </c>
      <c r="AR111" s="149">
        <v>0.75</v>
      </c>
      <c r="AV111" s="159">
        <v>1.0900000000000001</v>
      </c>
      <c r="AW111" s="448">
        <v>3.0112923462986196</v>
      </c>
      <c r="AX111" s="161"/>
      <c r="AY111" s="162"/>
      <c r="AZ111" s="149">
        <v>1.143659335038363</v>
      </c>
      <c r="BA111" s="149">
        <v>7.8705913043478271</v>
      </c>
      <c r="BB111" s="149">
        <v>43.38928571428572</v>
      </c>
      <c r="BC111" s="149">
        <v>7.970518518518519</v>
      </c>
      <c r="BD111" s="149">
        <v>1.5531402668287519</v>
      </c>
      <c r="BE111" s="149" t="s">
        <v>1125</v>
      </c>
      <c r="BF111" s="149">
        <v>1.143797125319693</v>
      </c>
      <c r="BG111" s="149">
        <v>7.8538494997825135</v>
      </c>
      <c r="BH111" s="149">
        <v>43.327795908183624</v>
      </c>
      <c r="BI111" s="149">
        <v>5.6852400000000003</v>
      </c>
      <c r="BJ111" s="401">
        <v>0.13538626261251227</v>
      </c>
      <c r="BK111" s="149" t="s">
        <v>1126</v>
      </c>
      <c r="BL111" s="149" t="s">
        <v>1136</v>
      </c>
    </row>
    <row r="112" spans="1:64" s="149" customFormat="1" ht="20.25" customHeight="1" thickBot="1" x14ac:dyDescent="0.35">
      <c r="A112" s="155" t="s">
        <v>502</v>
      </c>
      <c r="B112" s="149" t="s">
        <v>81</v>
      </c>
      <c r="C112" s="149" t="s">
        <v>503</v>
      </c>
      <c r="D112" s="149" t="s">
        <v>1240</v>
      </c>
      <c r="E112" s="149" t="s">
        <v>50</v>
      </c>
      <c r="G112" s="149" t="s">
        <v>504</v>
      </c>
      <c r="H112" s="156" t="s">
        <v>665</v>
      </c>
      <c r="I112" s="149" t="s">
        <v>89</v>
      </c>
      <c r="J112" s="149" t="s">
        <v>84</v>
      </c>
      <c r="L112" s="157">
        <v>44727</v>
      </c>
      <c r="M112" s="158">
        <v>44746</v>
      </c>
      <c r="N112" s="149">
        <v>7.99</v>
      </c>
      <c r="O112" s="149">
        <v>5.8</v>
      </c>
      <c r="U112" s="360">
        <f t="shared" si="15"/>
        <v>30.45</v>
      </c>
      <c r="V112" s="360"/>
      <c r="W112" s="360"/>
      <c r="X112" s="150">
        <v>46</v>
      </c>
      <c r="Y112" s="149">
        <v>26</v>
      </c>
      <c r="Z112" s="149">
        <v>28</v>
      </c>
      <c r="AA112" s="247" t="s">
        <v>876</v>
      </c>
      <c r="AB112" s="247" t="s">
        <v>877</v>
      </c>
      <c r="AC112" s="159">
        <v>1.706</v>
      </c>
      <c r="AE112" s="160">
        <v>56.48</v>
      </c>
      <c r="AF112" s="160">
        <v>542.04</v>
      </c>
      <c r="AG112" s="435">
        <v>3359</v>
      </c>
      <c r="AH112" s="30">
        <v>2492.0421000000001</v>
      </c>
      <c r="AI112" s="435">
        <v>12971</v>
      </c>
      <c r="AJ112" s="30">
        <v>9270.3737000000001</v>
      </c>
      <c r="AK112" s="435">
        <v>1906</v>
      </c>
      <c r="AL112" s="30">
        <v>1149.318</v>
      </c>
      <c r="AM112" s="238">
        <v>34.525735426288968</v>
      </c>
      <c r="AN112" s="339" t="s">
        <v>997</v>
      </c>
      <c r="AO112" s="149">
        <v>1.39</v>
      </c>
      <c r="AP112" s="149">
        <v>18.66</v>
      </c>
      <c r="AQ112" s="149">
        <v>1.81</v>
      </c>
      <c r="AR112" s="149">
        <v>0.94</v>
      </c>
      <c r="AV112" s="159">
        <v>1.24</v>
      </c>
      <c r="AW112" s="448">
        <v>1.5033407572383071</v>
      </c>
      <c r="AX112" s="161"/>
      <c r="AY112" s="162"/>
      <c r="AZ112" s="149">
        <v>1.1506219948849103</v>
      </c>
      <c r="BA112" s="149">
        <v>10.834965652173913</v>
      </c>
      <c r="BB112" s="149">
        <v>46.325000000000003</v>
      </c>
      <c r="BC112" s="149">
        <v>9.4594074074074062</v>
      </c>
      <c r="BD112" s="149">
        <v>2.0515689842530271</v>
      </c>
      <c r="BE112" s="149" t="s">
        <v>1125</v>
      </c>
      <c r="BF112" s="149">
        <v>1.1507606240409205</v>
      </c>
      <c r="BG112" s="149">
        <v>10.811918225315354</v>
      </c>
      <c r="BH112" s="149">
        <v>46.2593498003992</v>
      </c>
      <c r="BI112" s="149">
        <v>6.7472400000000006</v>
      </c>
      <c r="BJ112" s="401">
        <v>0.16641588323244957</v>
      </c>
      <c r="BK112" s="149" t="s">
        <v>1127</v>
      </c>
      <c r="BL112" s="149" t="s">
        <v>1136</v>
      </c>
    </row>
    <row r="113" spans="1:64" s="149" customFormat="1" ht="20.25" customHeight="1" thickBot="1" x14ac:dyDescent="0.35">
      <c r="A113" s="155" t="s">
        <v>505</v>
      </c>
      <c r="B113" s="149" t="s">
        <v>81</v>
      </c>
      <c r="C113" s="149" t="s">
        <v>506</v>
      </c>
      <c r="D113" s="149" t="s">
        <v>1240</v>
      </c>
      <c r="E113" s="149" t="s">
        <v>50</v>
      </c>
      <c r="G113" s="149" t="s">
        <v>507</v>
      </c>
      <c r="H113" s="156" t="s">
        <v>666</v>
      </c>
      <c r="I113" s="149" t="s">
        <v>89</v>
      </c>
      <c r="J113" s="149" t="s">
        <v>84</v>
      </c>
      <c r="L113" s="157">
        <v>44727</v>
      </c>
      <c r="M113" s="158">
        <v>44746</v>
      </c>
      <c r="N113" s="149">
        <v>7.98</v>
      </c>
      <c r="O113" s="149">
        <v>5.2</v>
      </c>
      <c r="U113" s="360">
        <f t="shared" si="15"/>
        <v>27.3</v>
      </c>
      <c r="V113" s="360"/>
      <c r="W113" s="360"/>
      <c r="X113" s="150">
        <v>42</v>
      </c>
      <c r="Y113" s="149">
        <v>30</v>
      </c>
      <c r="Z113" s="149">
        <v>28</v>
      </c>
      <c r="AA113" s="247" t="s">
        <v>876</v>
      </c>
      <c r="AB113" s="247" t="s">
        <v>877</v>
      </c>
      <c r="AC113" s="159">
        <v>1.77</v>
      </c>
      <c r="AE113" s="160">
        <v>56.51</v>
      </c>
      <c r="AF113" s="160">
        <v>517.02</v>
      </c>
      <c r="AG113" s="435">
        <v>2779</v>
      </c>
      <c r="AH113" s="30">
        <v>2061.7401</v>
      </c>
      <c r="AI113" s="435">
        <v>12235</v>
      </c>
      <c r="AJ113" s="30">
        <v>8744.3544999999995</v>
      </c>
      <c r="AK113" s="435">
        <v>1719</v>
      </c>
      <c r="AL113" s="30">
        <v>1036.557</v>
      </c>
      <c r="AM113" s="238">
        <v>29.482156758075387</v>
      </c>
      <c r="AN113" s="339" t="s">
        <v>997</v>
      </c>
      <c r="AO113" s="149">
        <v>1.38</v>
      </c>
      <c r="AP113" s="149">
        <v>17.53</v>
      </c>
      <c r="AQ113" s="149">
        <v>2.0499999999999998</v>
      </c>
      <c r="AR113" s="149">
        <v>0.89</v>
      </c>
      <c r="AV113" s="159">
        <v>1.34</v>
      </c>
      <c r="AW113" s="448">
        <v>3.0205565655153124</v>
      </c>
      <c r="AX113" s="161"/>
      <c r="AY113" s="162"/>
      <c r="AZ113" s="149">
        <v>1.0975104859335036</v>
      </c>
      <c r="BA113" s="149">
        <v>8.9640873913043482</v>
      </c>
      <c r="BB113" s="149">
        <v>43.696428571428569</v>
      </c>
      <c r="BC113" s="149">
        <v>8.5313333333333325</v>
      </c>
      <c r="BD113" s="149">
        <v>1.7541647188193383</v>
      </c>
      <c r="BE113" s="149" t="s">
        <v>1125</v>
      </c>
      <c r="BF113" s="149">
        <v>1.0976427161125319</v>
      </c>
      <c r="BG113" s="149">
        <v>8.9450195737277074</v>
      </c>
      <c r="BH113" s="149">
        <v>43.634503493013966</v>
      </c>
      <c r="BI113" s="149">
        <v>6.0852599999999999</v>
      </c>
      <c r="BJ113" s="401">
        <v>0.14967631344532917</v>
      </c>
      <c r="BK113" s="149" t="s">
        <v>1126</v>
      </c>
      <c r="BL113" s="149" t="s">
        <v>1136</v>
      </c>
    </row>
    <row r="114" spans="1:64" s="164" customFormat="1" ht="20.25" customHeight="1" thickBot="1" x14ac:dyDescent="0.35">
      <c r="A114" s="163" t="s">
        <v>508</v>
      </c>
      <c r="B114" s="164" t="s">
        <v>81</v>
      </c>
      <c r="C114" s="164" t="s">
        <v>509</v>
      </c>
      <c r="D114" s="149" t="s">
        <v>1240</v>
      </c>
      <c r="E114" s="164" t="s">
        <v>50</v>
      </c>
      <c r="G114" s="164" t="s">
        <v>510</v>
      </c>
      <c r="H114" s="165" t="s">
        <v>667</v>
      </c>
      <c r="I114" s="164" t="s">
        <v>89</v>
      </c>
      <c r="J114" s="164" t="s">
        <v>84</v>
      </c>
      <c r="L114" s="166">
        <v>44727</v>
      </c>
      <c r="M114" s="167">
        <v>44746</v>
      </c>
      <c r="N114" s="164">
        <v>8.16</v>
      </c>
      <c r="O114" s="164">
        <v>2.8</v>
      </c>
      <c r="S114" s="374"/>
      <c r="T114" s="374"/>
      <c r="U114" s="360">
        <f t="shared" si="15"/>
        <v>14.7</v>
      </c>
      <c r="V114" s="361"/>
      <c r="W114" s="361"/>
      <c r="X114" s="168">
        <v>44</v>
      </c>
      <c r="Y114" s="164">
        <v>30</v>
      </c>
      <c r="Z114" s="168">
        <v>26</v>
      </c>
      <c r="AA114" s="247" t="s">
        <v>876</v>
      </c>
      <c r="AB114" s="247" t="s">
        <v>877</v>
      </c>
      <c r="AC114" s="169">
        <v>1.5940000000000001</v>
      </c>
      <c r="AE114" s="170">
        <v>58.3</v>
      </c>
      <c r="AF114" s="170">
        <v>521.44000000000005</v>
      </c>
      <c r="AG114" s="439">
        <v>1594</v>
      </c>
      <c r="AH114" s="30">
        <v>1182.5886</v>
      </c>
      <c r="AI114" s="439">
        <v>11463</v>
      </c>
      <c r="AJ114" s="30">
        <v>8192.6061000000009</v>
      </c>
      <c r="AK114" s="439">
        <v>1241</v>
      </c>
      <c r="AL114" s="30">
        <v>748.32299999999998</v>
      </c>
      <c r="AM114" s="238">
        <v>17.687129697827444</v>
      </c>
      <c r="AN114" s="339" t="s">
        <v>999</v>
      </c>
      <c r="AO114" s="164">
        <v>1.52</v>
      </c>
      <c r="AP114" s="164">
        <v>12.49</v>
      </c>
      <c r="AQ114" s="164">
        <v>2.25</v>
      </c>
      <c r="AR114" s="164">
        <v>0.69</v>
      </c>
      <c r="AV114" s="169">
        <v>1</v>
      </c>
      <c r="AW114" s="449">
        <v>7.0744902205576352</v>
      </c>
      <c r="AX114" s="171"/>
      <c r="AY114" s="172"/>
      <c r="AZ114" s="164">
        <v>1.1068930946291562</v>
      </c>
      <c r="BA114" s="164">
        <v>5.1416895652173915</v>
      </c>
      <c r="BB114" s="164">
        <v>40.939285714285717</v>
      </c>
      <c r="BC114" s="164">
        <v>6.1590370370370371</v>
      </c>
      <c r="BD114" s="164">
        <v>1.0595418841210862</v>
      </c>
      <c r="BE114" s="164" t="s">
        <v>1125</v>
      </c>
      <c r="BF114" s="164">
        <v>1.1070264552429667</v>
      </c>
      <c r="BG114" s="164">
        <v>5.1307525010874286</v>
      </c>
      <c r="BH114" s="164">
        <v>40.88126796407186</v>
      </c>
      <c r="BI114" s="164">
        <v>4.3931399999999998</v>
      </c>
      <c r="BJ114" s="402">
        <v>9.9602692252526145E-2</v>
      </c>
      <c r="BK114" s="164" t="s">
        <v>1126</v>
      </c>
      <c r="BL114" s="164" t="s">
        <v>1136</v>
      </c>
    </row>
    <row r="115" spans="1:64" s="174" customFormat="1" ht="20.25" customHeight="1" thickBot="1" x14ac:dyDescent="0.35">
      <c r="A115" s="173" t="s">
        <v>106</v>
      </c>
      <c r="B115" s="174" t="s">
        <v>81</v>
      </c>
      <c r="C115" s="174" t="s">
        <v>107</v>
      </c>
      <c r="D115" s="174" t="s">
        <v>1240</v>
      </c>
      <c r="E115" s="174" t="s">
        <v>29</v>
      </c>
      <c r="F115" s="174" t="s">
        <v>30</v>
      </c>
      <c r="G115" s="174" t="s">
        <v>600</v>
      </c>
      <c r="H115" s="174" t="s">
        <v>601</v>
      </c>
      <c r="I115" s="174" t="s">
        <v>108</v>
      </c>
      <c r="J115" s="174" t="s">
        <v>84</v>
      </c>
      <c r="L115" s="175">
        <v>44771</v>
      </c>
      <c r="M115" s="176">
        <v>44791</v>
      </c>
      <c r="N115" s="174">
        <v>8.4600000000000009</v>
      </c>
      <c r="O115" s="174">
        <v>0.1</v>
      </c>
      <c r="S115" s="375"/>
      <c r="T115" s="375"/>
      <c r="U115" s="356">
        <f>10.92*O115</f>
        <v>1.0920000000000001</v>
      </c>
      <c r="V115" s="356"/>
      <c r="W115" s="356"/>
      <c r="X115" s="177">
        <v>24</v>
      </c>
      <c r="Y115" s="177">
        <v>38</v>
      </c>
      <c r="Z115" s="177">
        <v>38</v>
      </c>
      <c r="AA115" s="247" t="s">
        <v>883</v>
      </c>
      <c r="AB115" s="247" t="s">
        <v>888</v>
      </c>
      <c r="AC115" s="178">
        <v>1.5386</v>
      </c>
      <c r="AD115" s="179">
        <v>0.1</v>
      </c>
      <c r="AE115" s="180">
        <v>60</v>
      </c>
      <c r="AF115" s="181">
        <v>1210.02</v>
      </c>
      <c r="AG115" s="434">
        <v>52</v>
      </c>
      <c r="AH115" s="30">
        <v>38.578800000000001</v>
      </c>
      <c r="AI115" s="434">
        <v>4843</v>
      </c>
      <c r="AJ115" s="30">
        <v>3461.2921000000001</v>
      </c>
      <c r="AK115" s="434">
        <v>1243</v>
      </c>
      <c r="AL115" s="30">
        <v>749.529</v>
      </c>
      <c r="AM115" s="238">
        <v>0.84077602144034191</v>
      </c>
      <c r="AN115" s="238" t="s">
        <v>1000</v>
      </c>
      <c r="AO115" s="182">
        <v>2.4699999999999998</v>
      </c>
      <c r="AP115" s="182">
        <v>17.3</v>
      </c>
      <c r="AQ115" s="182">
        <v>11.629999999999999</v>
      </c>
      <c r="AR115" s="182">
        <v>0.77</v>
      </c>
      <c r="AV115" s="178">
        <v>0.30980000000000002</v>
      </c>
      <c r="AW115" s="447">
        <v>0.16648168701442842</v>
      </c>
      <c r="AX115" s="183" t="s">
        <v>109</v>
      </c>
      <c r="AY115" s="184"/>
      <c r="AZ115" s="174">
        <v>2.5685846547314575</v>
      </c>
      <c r="BA115" s="174">
        <v>0.16773391304347826</v>
      </c>
      <c r="BB115" s="174">
        <v>17.296428571428571</v>
      </c>
      <c r="BC115" s="174">
        <v>6.1689629629629623</v>
      </c>
      <c r="BD115" s="174">
        <v>4.8969083286323691E-2</v>
      </c>
      <c r="BE115" s="174" t="s">
        <v>1125</v>
      </c>
      <c r="BF115" s="174">
        <v>2.5688941227621482</v>
      </c>
      <c r="BG115" s="174">
        <v>0.16737712048716832</v>
      </c>
      <c r="BH115" s="174">
        <v>17.271916666666666</v>
      </c>
      <c r="BI115" s="174">
        <v>4.40022</v>
      </c>
      <c r="BJ115" s="403">
        <v>6.8573551009515413E-3</v>
      </c>
      <c r="BK115" s="174" t="s">
        <v>1126</v>
      </c>
      <c r="BL115" s="174" t="s">
        <v>1135</v>
      </c>
    </row>
    <row r="116" spans="1:64" s="177" customFormat="1" ht="20.25" customHeight="1" thickBot="1" x14ac:dyDescent="0.35">
      <c r="A116" s="185" t="s">
        <v>110</v>
      </c>
      <c r="B116" s="177" t="s">
        <v>81</v>
      </c>
      <c r="C116" s="177" t="s">
        <v>111</v>
      </c>
      <c r="D116" s="177" t="s">
        <v>1241</v>
      </c>
      <c r="E116" s="177" t="s">
        <v>29</v>
      </c>
      <c r="F116" s="177" t="s">
        <v>30</v>
      </c>
      <c r="G116" s="177" t="s">
        <v>600</v>
      </c>
      <c r="H116" s="177" t="s">
        <v>601</v>
      </c>
      <c r="I116" s="177" t="s">
        <v>108</v>
      </c>
      <c r="J116" s="177" t="s">
        <v>84</v>
      </c>
      <c r="L116" s="186">
        <v>44771</v>
      </c>
      <c r="M116" s="187">
        <v>44791</v>
      </c>
      <c r="N116" s="177">
        <v>8.2200000000000006</v>
      </c>
      <c r="O116" s="177">
        <v>0.15</v>
      </c>
      <c r="S116" s="375"/>
      <c r="T116" s="375"/>
      <c r="U116" s="354">
        <f t="shared" ref="U116:U120" si="16">O116*9.63</f>
        <v>1.4445000000000001</v>
      </c>
      <c r="V116" s="355"/>
      <c r="W116" s="355"/>
      <c r="X116" s="177">
        <v>40</v>
      </c>
      <c r="Y116" s="177">
        <v>30</v>
      </c>
      <c r="Z116" s="177">
        <v>30</v>
      </c>
      <c r="AA116" s="247" t="s">
        <v>882</v>
      </c>
      <c r="AB116" s="247" t="s">
        <v>878</v>
      </c>
      <c r="AC116" s="188">
        <v>1.7554000000000001</v>
      </c>
      <c r="AD116" s="189">
        <v>0.09</v>
      </c>
      <c r="AE116" s="190">
        <v>48</v>
      </c>
      <c r="AF116" s="191">
        <v>1040.8900000000001</v>
      </c>
      <c r="AG116" s="436">
        <v>334</v>
      </c>
      <c r="AH116" s="30">
        <v>247.7946</v>
      </c>
      <c r="AI116" s="436">
        <v>4732</v>
      </c>
      <c r="AJ116" s="30">
        <v>3381.9603999999999</v>
      </c>
      <c r="AK116" s="436">
        <v>1157</v>
      </c>
      <c r="AL116" s="30">
        <v>697.67099999999994</v>
      </c>
      <c r="AM116" s="238">
        <v>5.4865124978849531</v>
      </c>
      <c r="AN116" s="238" t="s">
        <v>1000</v>
      </c>
      <c r="AO116" s="192">
        <v>1.98</v>
      </c>
      <c r="AP116" s="192">
        <v>12.51</v>
      </c>
      <c r="AQ116" s="192">
        <v>5.83</v>
      </c>
      <c r="AR116" s="192">
        <v>0.44</v>
      </c>
      <c r="AV116" s="188">
        <v>0.34100000000000003</v>
      </c>
      <c r="AW116" s="448">
        <v>0.18425460636515914</v>
      </c>
      <c r="AX116" s="193" t="s">
        <v>109</v>
      </c>
      <c r="AY116" s="194"/>
      <c r="AZ116" s="177">
        <v>2.2095618925831202</v>
      </c>
      <c r="BA116" s="177">
        <v>1.0773678260869566</v>
      </c>
      <c r="BB116" s="177">
        <v>16.899999999999999</v>
      </c>
      <c r="BC116" s="177">
        <v>5.7421481481481482</v>
      </c>
      <c r="BD116" s="177">
        <v>0.32019915823213996</v>
      </c>
      <c r="BE116" s="177" t="s">
        <v>1125</v>
      </c>
      <c r="BF116" s="177">
        <v>2.2098281048593353</v>
      </c>
      <c r="BG116" s="177">
        <v>1.0750761200521965</v>
      </c>
      <c r="BH116" s="177">
        <v>16.8760499001996</v>
      </c>
      <c r="BI116" s="177">
        <v>4.0957800000000004</v>
      </c>
      <c r="BJ116" s="404">
        <v>4.4320728194784179E-2</v>
      </c>
      <c r="BK116" s="177" t="s">
        <v>1126</v>
      </c>
      <c r="BL116" s="177" t="s">
        <v>1135</v>
      </c>
    </row>
    <row r="117" spans="1:64" s="177" customFormat="1" ht="20.25" customHeight="1" thickBot="1" x14ac:dyDescent="0.35">
      <c r="A117" s="185" t="s">
        <v>112</v>
      </c>
      <c r="B117" s="177" t="s">
        <v>81</v>
      </c>
      <c r="C117" s="177" t="s">
        <v>113</v>
      </c>
      <c r="D117" s="177" t="s">
        <v>1240</v>
      </c>
      <c r="E117" s="177" t="s">
        <v>29</v>
      </c>
      <c r="F117" s="177" t="s">
        <v>30</v>
      </c>
      <c r="G117" s="177" t="s">
        <v>602</v>
      </c>
      <c r="H117" s="177" t="s">
        <v>603</v>
      </c>
      <c r="I117" s="177" t="s">
        <v>108</v>
      </c>
      <c r="J117" s="177" t="s">
        <v>84</v>
      </c>
      <c r="L117" s="186">
        <v>44771</v>
      </c>
      <c r="M117" s="187">
        <v>44791</v>
      </c>
      <c r="N117" s="177">
        <v>8.19</v>
      </c>
      <c r="O117" s="177">
        <v>0.23</v>
      </c>
      <c r="S117" s="375"/>
      <c r="T117" s="375"/>
      <c r="U117" s="354">
        <f t="shared" si="16"/>
        <v>2.2149000000000001</v>
      </c>
      <c r="V117" s="355"/>
      <c r="W117" s="355"/>
      <c r="X117" s="177">
        <v>30</v>
      </c>
      <c r="Y117" s="177">
        <v>34</v>
      </c>
      <c r="Z117" s="177">
        <v>36</v>
      </c>
      <c r="AA117" s="247" t="s">
        <v>882</v>
      </c>
      <c r="AB117" s="247" t="s">
        <v>878</v>
      </c>
      <c r="AC117" s="188">
        <v>3.1349</v>
      </c>
      <c r="AD117" s="189">
        <v>0.12</v>
      </c>
      <c r="AE117" s="191">
        <v>67</v>
      </c>
      <c r="AF117" s="191">
        <v>913.09</v>
      </c>
      <c r="AG117" s="435">
        <v>345</v>
      </c>
      <c r="AH117" s="30">
        <v>255.9555</v>
      </c>
      <c r="AI117" s="435">
        <v>3769</v>
      </c>
      <c r="AJ117" s="30">
        <v>2693.7042999999999</v>
      </c>
      <c r="AK117" s="435">
        <v>1203</v>
      </c>
      <c r="AL117" s="30">
        <v>725.40899999999999</v>
      </c>
      <c r="AM117" s="238">
        <v>6.1904570933516547</v>
      </c>
      <c r="AN117" s="238" t="s">
        <v>1000</v>
      </c>
      <c r="AO117" s="192">
        <v>1.6799999999999997</v>
      </c>
      <c r="AP117" s="192">
        <v>26.419999999999998</v>
      </c>
      <c r="AQ117" s="192">
        <v>10.62</v>
      </c>
      <c r="AR117" s="192">
        <v>1.04</v>
      </c>
      <c r="AV117" s="188">
        <v>0.42780000000000001</v>
      </c>
      <c r="AW117" s="448">
        <v>0.13335185442422556</v>
      </c>
      <c r="AX117" s="193" t="s">
        <v>109</v>
      </c>
      <c r="AY117" s="194"/>
      <c r="AZ117" s="177">
        <v>1.9382728900255752</v>
      </c>
      <c r="BA117" s="177">
        <v>1.1128499999999999</v>
      </c>
      <c r="BB117" s="177">
        <v>13.460714285714285</v>
      </c>
      <c r="BC117" s="177">
        <v>5.9704444444444436</v>
      </c>
      <c r="BD117" s="177">
        <v>0.35702800093987014</v>
      </c>
      <c r="BE117" s="177" t="s">
        <v>1125</v>
      </c>
      <c r="BF117" s="177">
        <v>1.9385064168797954</v>
      </c>
      <c r="BG117" s="177">
        <v>1.1104828186167899</v>
      </c>
      <c r="BH117" s="177">
        <v>13.441638223552893</v>
      </c>
      <c r="BI117" s="177">
        <v>4.2586200000000005</v>
      </c>
      <c r="BJ117" s="404">
        <v>5.3519185252787045E-2</v>
      </c>
      <c r="BK117" s="177" t="s">
        <v>1126</v>
      </c>
      <c r="BL117" s="177" t="s">
        <v>1135</v>
      </c>
    </row>
    <row r="118" spans="1:64" s="177" customFormat="1" ht="20.25" customHeight="1" thickBot="1" x14ac:dyDescent="0.35">
      <c r="A118" s="185" t="s">
        <v>114</v>
      </c>
      <c r="B118" s="177" t="s">
        <v>81</v>
      </c>
      <c r="C118" s="177" t="s">
        <v>115</v>
      </c>
      <c r="D118" s="177" t="s">
        <v>1241</v>
      </c>
      <c r="E118" s="177" t="s">
        <v>29</v>
      </c>
      <c r="F118" s="177" t="s">
        <v>30</v>
      </c>
      <c r="G118" s="177" t="s">
        <v>602</v>
      </c>
      <c r="H118" s="177" t="s">
        <v>603</v>
      </c>
      <c r="I118" s="177" t="s">
        <v>108</v>
      </c>
      <c r="J118" s="177" t="s">
        <v>84</v>
      </c>
      <c r="L118" s="186">
        <v>44771</v>
      </c>
      <c r="M118" s="187">
        <v>44791</v>
      </c>
      <c r="N118" s="177">
        <v>8.1199999999999992</v>
      </c>
      <c r="O118" s="177">
        <v>0.24</v>
      </c>
      <c r="S118" s="375"/>
      <c r="T118" s="375"/>
      <c r="U118" s="354">
        <f t="shared" si="16"/>
        <v>2.3111999999999999</v>
      </c>
      <c r="V118" s="355"/>
      <c r="W118" s="355"/>
      <c r="X118" s="177">
        <v>36</v>
      </c>
      <c r="Y118" s="177">
        <v>26</v>
      </c>
      <c r="Z118" s="177">
        <v>38</v>
      </c>
      <c r="AA118" s="247" t="s">
        <v>882</v>
      </c>
      <c r="AB118" s="247" t="s">
        <v>878</v>
      </c>
      <c r="AC118" s="188">
        <v>2.5568</v>
      </c>
      <c r="AD118" s="189">
        <v>0.13</v>
      </c>
      <c r="AE118" s="191">
        <v>59</v>
      </c>
      <c r="AF118" s="191">
        <v>527.66999999999996</v>
      </c>
      <c r="AG118" s="435">
        <v>397</v>
      </c>
      <c r="AH118" s="30">
        <v>294.53429999999997</v>
      </c>
      <c r="AI118" s="435">
        <v>4088</v>
      </c>
      <c r="AJ118" s="30">
        <v>2921.6936000000001</v>
      </c>
      <c r="AK118" s="435">
        <v>1216</v>
      </c>
      <c r="AL118" s="30">
        <v>733.24799999999993</v>
      </c>
      <c r="AM118" s="238">
        <v>6.8898640835708722</v>
      </c>
      <c r="AN118" s="238" t="s">
        <v>1000</v>
      </c>
      <c r="AO118" s="192">
        <v>1.38</v>
      </c>
      <c r="AP118" s="192">
        <v>18.419999999999998</v>
      </c>
      <c r="AQ118" s="192">
        <v>7.2500000000000009</v>
      </c>
      <c r="AR118" s="192">
        <v>0.53</v>
      </c>
      <c r="AV118" s="188">
        <v>0.45440000000000003</v>
      </c>
      <c r="AW118" s="448">
        <v>0.15037593984962411</v>
      </c>
      <c r="AX118" s="193" t="s">
        <v>109</v>
      </c>
      <c r="AY118" s="194"/>
      <c r="AZ118" s="177">
        <v>1.120117902813299</v>
      </c>
      <c r="BA118" s="177">
        <v>1.2805839130434782</v>
      </c>
      <c r="BB118" s="177">
        <v>14.6</v>
      </c>
      <c r="BC118" s="177">
        <v>6.0349629629629629</v>
      </c>
      <c r="BD118" s="177">
        <v>0.39867701029839642</v>
      </c>
      <c r="BE118" s="177" t="s">
        <v>1125</v>
      </c>
      <c r="BF118" s="177">
        <v>1.1202528567774934</v>
      </c>
      <c r="BG118" s="177">
        <v>1.277859939103958</v>
      </c>
      <c r="BH118" s="177">
        <v>14.579309381237525</v>
      </c>
      <c r="BI118" s="177">
        <v>4.30464</v>
      </c>
      <c r="BJ118" s="404">
        <v>6.0043990496269947E-2</v>
      </c>
      <c r="BK118" s="177" t="s">
        <v>1126</v>
      </c>
      <c r="BL118" s="177" t="s">
        <v>1135</v>
      </c>
    </row>
    <row r="119" spans="1:64" s="177" customFormat="1" ht="20.25" customHeight="1" thickBot="1" x14ac:dyDescent="0.35">
      <c r="A119" s="185" t="s">
        <v>116</v>
      </c>
      <c r="B119" s="177" t="s">
        <v>81</v>
      </c>
      <c r="C119" s="177" t="s">
        <v>117</v>
      </c>
      <c r="D119" s="177" t="s">
        <v>1240</v>
      </c>
      <c r="E119" s="177" t="s">
        <v>31</v>
      </c>
      <c r="F119" s="177" t="s">
        <v>32</v>
      </c>
      <c r="G119" s="177" t="s">
        <v>604</v>
      </c>
      <c r="H119" s="177" t="s">
        <v>605</v>
      </c>
      <c r="I119" s="177" t="s">
        <v>108</v>
      </c>
      <c r="J119" s="177" t="s">
        <v>84</v>
      </c>
      <c r="L119" s="186">
        <v>44771</v>
      </c>
      <c r="M119" s="187">
        <v>44791</v>
      </c>
      <c r="N119" s="177">
        <v>8.56</v>
      </c>
      <c r="O119" s="177">
        <v>0.1</v>
      </c>
      <c r="S119" s="375"/>
      <c r="T119" s="375"/>
      <c r="U119" s="354">
        <f t="shared" si="16"/>
        <v>0.96300000000000008</v>
      </c>
      <c r="V119" s="355"/>
      <c r="W119" s="355"/>
      <c r="X119" s="177">
        <v>30</v>
      </c>
      <c r="Y119" s="177">
        <v>30</v>
      </c>
      <c r="Z119" s="177">
        <v>40</v>
      </c>
      <c r="AA119" s="247" t="s">
        <v>882</v>
      </c>
      <c r="AB119" s="247" t="s">
        <v>878</v>
      </c>
      <c r="AC119" s="188">
        <v>3.3028</v>
      </c>
      <c r="AD119" s="189">
        <v>0.15</v>
      </c>
      <c r="AE119" s="191">
        <v>69</v>
      </c>
      <c r="AF119" s="191">
        <v>793.4</v>
      </c>
      <c r="AG119" s="435">
        <v>1009</v>
      </c>
      <c r="AH119" s="30">
        <v>748.57709999999997</v>
      </c>
      <c r="AI119" s="435">
        <v>10736</v>
      </c>
      <c r="AJ119" s="30">
        <v>7673.0191999999997</v>
      </c>
      <c r="AK119" s="435">
        <v>1897</v>
      </c>
      <c r="AL119" s="30">
        <v>1143.8910000000001</v>
      </c>
      <c r="AM119" s="238">
        <v>11.274397078456635</v>
      </c>
      <c r="AN119" s="238" t="s">
        <v>1000</v>
      </c>
      <c r="AO119" s="177">
        <v>1.2999999999999998</v>
      </c>
      <c r="AP119" s="177">
        <v>6.58</v>
      </c>
      <c r="AQ119" s="177">
        <v>2.66</v>
      </c>
      <c r="AR119" s="177">
        <v>0.88000000000000012</v>
      </c>
      <c r="AV119" s="188">
        <v>0.57250000000000001</v>
      </c>
      <c r="AW119" s="448">
        <v>4.8055555555555562</v>
      </c>
      <c r="AX119" s="193" t="s">
        <v>109</v>
      </c>
      <c r="AY119" s="194"/>
      <c r="AZ119" s="177">
        <v>1.6841994884910485</v>
      </c>
      <c r="BA119" s="177">
        <v>3.2546830434782605</v>
      </c>
      <c r="BB119" s="177">
        <v>38.342857142857142</v>
      </c>
      <c r="BC119" s="177">
        <v>9.4147407407407417</v>
      </c>
      <c r="BD119" s="177">
        <v>0.66604329689549557</v>
      </c>
      <c r="BE119" s="177" t="s">
        <v>1125</v>
      </c>
      <c r="BF119" s="177">
        <v>1.6844024040920715</v>
      </c>
      <c r="BG119" s="177">
        <v>3.2477598956067855</v>
      </c>
      <c r="BH119" s="177">
        <v>38.288518962075848</v>
      </c>
      <c r="BI119" s="177">
        <v>6.7153800000000006</v>
      </c>
      <c r="BJ119" s="404">
        <v>6.5038367335008382E-2</v>
      </c>
      <c r="BK119" s="177" t="s">
        <v>1126</v>
      </c>
      <c r="BL119" s="177" t="s">
        <v>1135</v>
      </c>
    </row>
    <row r="120" spans="1:64" s="177" customFormat="1" ht="20.25" customHeight="1" thickBot="1" x14ac:dyDescent="0.35">
      <c r="A120" s="185" t="s">
        <v>118</v>
      </c>
      <c r="B120" s="177" t="s">
        <v>81</v>
      </c>
      <c r="C120" s="177" t="s">
        <v>119</v>
      </c>
      <c r="D120" s="177" t="s">
        <v>1241</v>
      </c>
      <c r="E120" s="177" t="s">
        <v>31</v>
      </c>
      <c r="F120" s="177" t="s">
        <v>32</v>
      </c>
      <c r="G120" s="177" t="s">
        <v>604</v>
      </c>
      <c r="H120" s="177" t="s">
        <v>605</v>
      </c>
      <c r="I120" s="177" t="s">
        <v>108</v>
      </c>
      <c r="J120" s="177" t="s">
        <v>84</v>
      </c>
      <c r="L120" s="186">
        <v>44771</v>
      </c>
      <c r="M120" s="187">
        <v>44791</v>
      </c>
      <c r="N120" s="177">
        <v>8.8800000000000008</v>
      </c>
      <c r="O120" s="177">
        <v>0.43</v>
      </c>
      <c r="S120" s="375"/>
      <c r="T120" s="375"/>
      <c r="U120" s="354">
        <f t="shared" si="16"/>
        <v>4.1409000000000002</v>
      </c>
      <c r="V120" s="355"/>
      <c r="W120" s="355"/>
      <c r="X120" s="177">
        <v>32</v>
      </c>
      <c r="Y120" s="177">
        <v>30</v>
      </c>
      <c r="Z120" s="177">
        <v>38</v>
      </c>
      <c r="AA120" s="247" t="s">
        <v>882</v>
      </c>
      <c r="AB120" s="247" t="s">
        <v>878</v>
      </c>
      <c r="AC120" s="188">
        <v>2.9096000000000002</v>
      </c>
      <c r="AD120" s="189">
        <v>0.12</v>
      </c>
      <c r="AE120" s="191">
        <v>73</v>
      </c>
      <c r="AF120" s="191">
        <v>614.91999999999996</v>
      </c>
      <c r="AG120" s="436">
        <v>689</v>
      </c>
      <c r="AH120" s="30">
        <v>511.16910000000001</v>
      </c>
      <c r="AI120" s="436">
        <v>11334</v>
      </c>
      <c r="AJ120" s="30">
        <v>8100.4098000000004</v>
      </c>
      <c r="AK120" s="436">
        <v>1238</v>
      </c>
      <c r="AL120" s="30">
        <v>746.51400000000001</v>
      </c>
      <c r="AM120" s="238">
        <v>7.6857003378155806</v>
      </c>
      <c r="AN120" s="238" t="s">
        <v>1000</v>
      </c>
      <c r="AO120" s="177">
        <v>1.2199999999999998</v>
      </c>
      <c r="AP120" s="177">
        <v>6.05</v>
      </c>
      <c r="AQ120" s="177">
        <v>2.4500000000000002</v>
      </c>
      <c r="AR120" s="177">
        <v>0.78</v>
      </c>
      <c r="AV120" s="188">
        <v>0.57809999999999995</v>
      </c>
      <c r="AW120" s="448">
        <v>4.7890061077179356</v>
      </c>
      <c r="AX120" s="193" t="s">
        <v>109</v>
      </c>
      <c r="AY120" s="194"/>
      <c r="AZ120" s="177">
        <v>1.3053289002557544</v>
      </c>
      <c r="BA120" s="177">
        <v>2.2224743478260871</v>
      </c>
      <c r="BB120" s="177">
        <v>40.478571428571428</v>
      </c>
      <c r="BC120" s="177">
        <v>6.1441481481481475</v>
      </c>
      <c r="BD120" s="177">
        <v>0.46031269584753726</v>
      </c>
      <c r="BE120" s="177" t="s">
        <v>1125</v>
      </c>
      <c r="BF120" s="177">
        <v>1.3054861687979538</v>
      </c>
      <c r="BG120" s="177">
        <v>2.2177468464549803</v>
      </c>
      <c r="BH120" s="177">
        <v>40.421206586826351</v>
      </c>
      <c r="BI120" s="177">
        <v>4.3825200000000004</v>
      </c>
      <c r="BJ120" s="404">
        <v>4.5890469102872367E-2</v>
      </c>
      <c r="BK120" s="177" t="s">
        <v>1126</v>
      </c>
      <c r="BL120" s="177" t="s">
        <v>1135</v>
      </c>
    </row>
    <row r="121" spans="1:64" s="177" customFormat="1" ht="20.25" customHeight="1" thickBot="1" x14ac:dyDescent="0.35">
      <c r="A121" s="185" t="s">
        <v>120</v>
      </c>
      <c r="B121" s="177" t="s">
        <v>81</v>
      </c>
      <c r="C121" s="177" t="s">
        <v>121</v>
      </c>
      <c r="D121" s="177" t="s">
        <v>1240</v>
      </c>
      <c r="E121" s="177" t="s">
        <v>31</v>
      </c>
      <c r="F121" s="177" t="s">
        <v>32</v>
      </c>
      <c r="G121" s="177" t="s">
        <v>606</v>
      </c>
      <c r="H121" s="177" t="s">
        <v>607</v>
      </c>
      <c r="I121" s="177" t="s">
        <v>122</v>
      </c>
      <c r="J121" s="177" t="s">
        <v>84</v>
      </c>
      <c r="L121" s="186">
        <v>44771</v>
      </c>
      <c r="M121" s="187">
        <v>44791</v>
      </c>
      <c r="N121" s="177">
        <v>8.58</v>
      </c>
      <c r="O121" s="177">
        <v>0.21</v>
      </c>
      <c r="U121" s="356">
        <f>10.92*O121</f>
        <v>2.2931999999999997</v>
      </c>
      <c r="V121" s="356"/>
      <c r="W121" s="356"/>
      <c r="X121" s="177">
        <v>22</v>
      </c>
      <c r="Y121" s="177">
        <v>44</v>
      </c>
      <c r="Z121" s="177">
        <v>34</v>
      </c>
      <c r="AA121" s="247" t="s">
        <v>883</v>
      </c>
      <c r="AB121" s="247" t="s">
        <v>888</v>
      </c>
      <c r="AC121" s="188">
        <v>3.2772999999999999</v>
      </c>
      <c r="AD121" s="189">
        <v>0.15</v>
      </c>
      <c r="AE121" s="191">
        <v>80</v>
      </c>
      <c r="AF121" s="191">
        <v>1314.47</v>
      </c>
      <c r="AG121" s="435">
        <v>125</v>
      </c>
      <c r="AH121" s="30">
        <v>92.737499999999997</v>
      </c>
      <c r="AI121" s="435">
        <v>11097</v>
      </c>
      <c r="AJ121" s="30">
        <v>7931.0258999999996</v>
      </c>
      <c r="AK121" s="435">
        <v>1336</v>
      </c>
      <c r="AL121" s="30">
        <v>805.60799999999995</v>
      </c>
      <c r="AM121" s="238">
        <v>1.4031313018195672</v>
      </c>
      <c r="AN121" s="238" t="s">
        <v>1000</v>
      </c>
      <c r="AO121" s="177">
        <v>1.69</v>
      </c>
      <c r="AP121" s="177">
        <v>24.41</v>
      </c>
      <c r="AQ121" s="177">
        <v>6.92</v>
      </c>
      <c r="AR121" s="177">
        <v>1.31</v>
      </c>
      <c r="AV121" s="188">
        <v>0.56110000000000004</v>
      </c>
      <c r="AW121" s="448">
        <v>3.6013400335008372</v>
      </c>
      <c r="AX121" s="193" t="s">
        <v>109</v>
      </c>
      <c r="AY121" s="194"/>
      <c r="AZ121" s="177">
        <v>2.7903071611253196</v>
      </c>
      <c r="BA121" s="177">
        <v>0.40320652173913041</v>
      </c>
      <c r="BB121" s="177">
        <v>39.632142857142853</v>
      </c>
      <c r="BC121" s="177">
        <v>6.6305185185185183</v>
      </c>
      <c r="BD121" s="177">
        <v>8.3835361118475407E-2</v>
      </c>
      <c r="BE121" s="177" t="s">
        <v>1125</v>
      </c>
      <c r="BF121" s="177">
        <v>2.7906433427109971</v>
      </c>
      <c r="BG121" s="177">
        <v>0.40234884732492388</v>
      </c>
      <c r="BH121" s="177">
        <v>39.575977544910174</v>
      </c>
      <c r="BI121" s="177">
        <v>4.7294400000000003</v>
      </c>
      <c r="BJ121" s="404">
        <v>8.4707856446171285E-3</v>
      </c>
      <c r="BK121" s="177" t="s">
        <v>1126</v>
      </c>
      <c r="BL121" s="177" t="s">
        <v>1135</v>
      </c>
    </row>
    <row r="122" spans="1:64" s="177" customFormat="1" ht="20.25" customHeight="1" thickBot="1" x14ac:dyDescent="0.35">
      <c r="A122" s="185" t="s">
        <v>123</v>
      </c>
      <c r="B122" s="177" t="s">
        <v>81</v>
      </c>
      <c r="C122" s="177" t="s">
        <v>124</v>
      </c>
      <c r="D122" s="177" t="s">
        <v>1241</v>
      </c>
      <c r="E122" s="177" t="s">
        <v>31</v>
      </c>
      <c r="F122" s="177" t="s">
        <v>32</v>
      </c>
      <c r="G122" s="177" t="s">
        <v>606</v>
      </c>
      <c r="H122" s="177" t="s">
        <v>607</v>
      </c>
      <c r="I122" s="177" t="s">
        <v>122</v>
      </c>
      <c r="J122" s="177" t="s">
        <v>84</v>
      </c>
      <c r="L122" s="186">
        <v>44771</v>
      </c>
      <c r="M122" s="187">
        <v>44791</v>
      </c>
      <c r="N122" s="177">
        <v>8.6</v>
      </c>
      <c r="O122" s="177">
        <v>0.33</v>
      </c>
      <c r="S122" s="375"/>
      <c r="T122" s="375"/>
      <c r="U122" s="354">
        <f>O122*9.63</f>
        <v>3.1779000000000006</v>
      </c>
      <c r="V122" s="355"/>
      <c r="W122" s="355"/>
      <c r="X122" s="177">
        <v>30</v>
      </c>
      <c r="Y122" s="177">
        <v>42</v>
      </c>
      <c r="Z122" s="177">
        <v>28</v>
      </c>
      <c r="AA122" s="247" t="s">
        <v>882</v>
      </c>
      <c r="AB122" s="247" t="s">
        <v>878</v>
      </c>
      <c r="AC122" s="188">
        <v>3.0223</v>
      </c>
      <c r="AD122" s="189">
        <v>0.16</v>
      </c>
      <c r="AE122" s="191">
        <v>62</v>
      </c>
      <c r="AF122" s="191">
        <v>740.5</v>
      </c>
      <c r="AG122" s="435">
        <v>335</v>
      </c>
      <c r="AH122" s="30">
        <v>248.53649999999999</v>
      </c>
      <c r="AI122" s="435">
        <v>11270</v>
      </c>
      <c r="AJ122" s="30">
        <v>8054.6689999999999</v>
      </c>
      <c r="AK122" s="435">
        <v>1338</v>
      </c>
      <c r="AL122" s="30">
        <v>806.81399999999996</v>
      </c>
      <c r="AM122" s="238">
        <v>3.733807911766919</v>
      </c>
      <c r="AN122" s="238" t="s">
        <v>1000</v>
      </c>
      <c r="AO122" s="177">
        <v>1.25</v>
      </c>
      <c r="AP122" s="177">
        <v>8.1999999999999993</v>
      </c>
      <c r="AQ122" s="177">
        <v>2.5999999999999996</v>
      </c>
      <c r="AR122" s="177">
        <v>0.87000000000000011</v>
      </c>
      <c r="AV122" s="188">
        <v>0.50619999999999998</v>
      </c>
      <c r="AW122" s="448">
        <v>5.2359676068137384</v>
      </c>
      <c r="AX122" s="193" t="s">
        <v>109</v>
      </c>
      <c r="AY122" s="194"/>
      <c r="AZ122" s="177">
        <v>1.5719053708439898</v>
      </c>
      <c r="BA122" s="177">
        <v>1.0805934782608695</v>
      </c>
      <c r="BB122" s="177">
        <v>40.25</v>
      </c>
      <c r="BC122" s="177">
        <v>6.6404444444444444</v>
      </c>
      <c r="BD122" s="177">
        <v>0.22316966697559434</v>
      </c>
      <c r="BE122" s="177" t="s">
        <v>1125</v>
      </c>
      <c r="BF122" s="177">
        <v>1.572094757033248</v>
      </c>
      <c r="BG122" s="177">
        <v>1.078294910830796</v>
      </c>
      <c r="BH122" s="177">
        <v>40.192959081836328</v>
      </c>
      <c r="BI122" s="177">
        <v>4.7365200000000005</v>
      </c>
      <c r="BJ122" s="404">
        <v>2.2662839120118138E-2</v>
      </c>
      <c r="BK122" s="177" t="s">
        <v>1126</v>
      </c>
      <c r="BL122" s="177" t="s">
        <v>1135</v>
      </c>
    </row>
    <row r="123" spans="1:64" s="177" customFormat="1" ht="20.25" customHeight="1" thickBot="1" x14ac:dyDescent="0.35">
      <c r="A123" s="185" t="s">
        <v>125</v>
      </c>
      <c r="B123" s="177" t="s">
        <v>81</v>
      </c>
      <c r="C123" s="177" t="s">
        <v>126</v>
      </c>
      <c r="D123" s="177" t="s">
        <v>1240</v>
      </c>
      <c r="E123" s="177" t="s">
        <v>31</v>
      </c>
      <c r="F123" s="177" t="s">
        <v>32</v>
      </c>
      <c r="G123" s="177" t="s">
        <v>608</v>
      </c>
      <c r="H123" s="177" t="s">
        <v>609</v>
      </c>
      <c r="I123" s="177" t="s">
        <v>122</v>
      </c>
      <c r="J123" s="177" t="s">
        <v>84</v>
      </c>
      <c r="L123" s="186">
        <v>44771</v>
      </c>
      <c r="M123" s="187">
        <v>44791</v>
      </c>
      <c r="N123" s="177">
        <v>8.24</v>
      </c>
      <c r="O123" s="177">
        <v>0.35</v>
      </c>
      <c r="U123" s="356">
        <f t="shared" ref="U123:U124" si="17">10.92*O123</f>
        <v>3.8219999999999996</v>
      </c>
      <c r="V123" s="356"/>
      <c r="W123" s="356"/>
      <c r="X123" s="177">
        <v>20</v>
      </c>
      <c r="Y123" s="177">
        <v>34</v>
      </c>
      <c r="Z123" s="177">
        <v>46</v>
      </c>
      <c r="AA123" s="247" t="s">
        <v>883</v>
      </c>
      <c r="AB123" s="247" t="s">
        <v>888</v>
      </c>
      <c r="AC123" s="188">
        <v>5.8493000000000004</v>
      </c>
      <c r="AD123" s="189">
        <v>0.24</v>
      </c>
      <c r="AE123" s="191">
        <v>132</v>
      </c>
      <c r="AF123" s="191">
        <v>988.68</v>
      </c>
      <c r="AG123" s="435">
        <v>170</v>
      </c>
      <c r="AH123" s="30">
        <v>126.123</v>
      </c>
      <c r="AI123" s="435">
        <v>12035</v>
      </c>
      <c r="AJ123" s="30">
        <v>8601.4145000000008</v>
      </c>
      <c r="AK123" s="435">
        <v>1150</v>
      </c>
      <c r="AL123" s="30">
        <v>693.44999999999993</v>
      </c>
      <c r="AM123" s="238">
        <v>1.8500682871535858</v>
      </c>
      <c r="AN123" s="238" t="s">
        <v>1000</v>
      </c>
      <c r="AO123" s="177">
        <v>1.19</v>
      </c>
      <c r="AP123" s="177">
        <v>22.86</v>
      </c>
      <c r="AQ123" s="177">
        <v>6.08</v>
      </c>
      <c r="AR123" s="177">
        <v>1.89</v>
      </c>
      <c r="AV123" s="188">
        <v>0.54</v>
      </c>
      <c r="AW123" s="433">
        <v>14.170602945262573</v>
      </c>
      <c r="AX123" s="195">
        <v>6.0000000000000009</v>
      </c>
      <c r="AY123" s="194"/>
      <c r="AZ123" s="177">
        <v>2.0987324808184145</v>
      </c>
      <c r="BA123" s="177">
        <v>0.54836086956521746</v>
      </c>
      <c r="BB123" s="177">
        <v>42.982142857142854</v>
      </c>
      <c r="BC123" s="177">
        <v>5.7074074074074073</v>
      </c>
      <c r="BD123" s="177">
        <v>0.11113825478563652</v>
      </c>
      <c r="BE123" s="177" t="s">
        <v>1125</v>
      </c>
      <c r="BF123" s="177">
        <v>2.0989853401534524</v>
      </c>
      <c r="BG123" s="177">
        <v>0.54719443236189647</v>
      </c>
      <c r="BH123" s="177">
        <v>42.921230039920161</v>
      </c>
      <c r="BI123" s="177">
        <v>4.0710000000000006</v>
      </c>
      <c r="BJ123" s="404">
        <v>1.102360922578975E-2</v>
      </c>
      <c r="BK123" s="177" t="s">
        <v>1126</v>
      </c>
      <c r="BL123" s="177" t="s">
        <v>1135</v>
      </c>
    </row>
    <row r="124" spans="1:64" s="177" customFormat="1" ht="20.25" customHeight="1" thickBot="1" x14ac:dyDescent="0.35">
      <c r="A124" s="185" t="s">
        <v>127</v>
      </c>
      <c r="B124" s="177" t="s">
        <v>81</v>
      </c>
      <c r="C124" s="177" t="s">
        <v>128</v>
      </c>
      <c r="D124" s="177" t="s">
        <v>1241</v>
      </c>
      <c r="E124" s="177" t="s">
        <v>31</v>
      </c>
      <c r="F124" s="177" t="s">
        <v>32</v>
      </c>
      <c r="G124" s="177" t="s">
        <v>608</v>
      </c>
      <c r="H124" s="177" t="s">
        <v>609</v>
      </c>
      <c r="I124" s="177" t="s">
        <v>122</v>
      </c>
      <c r="J124" s="177" t="s">
        <v>84</v>
      </c>
      <c r="L124" s="186">
        <v>44771</v>
      </c>
      <c r="M124" s="187">
        <v>44791</v>
      </c>
      <c r="N124" s="177">
        <v>8.0399999999999991</v>
      </c>
      <c r="O124" s="177">
        <v>0.11</v>
      </c>
      <c r="U124" s="356">
        <f t="shared" si="17"/>
        <v>1.2012</v>
      </c>
      <c r="V124" s="356"/>
      <c r="W124" s="356"/>
      <c r="X124" s="177">
        <v>18</v>
      </c>
      <c r="Y124" s="177">
        <v>32</v>
      </c>
      <c r="Z124" s="177">
        <v>50</v>
      </c>
      <c r="AA124" s="247" t="s">
        <v>883</v>
      </c>
      <c r="AB124" s="247" t="s">
        <v>888</v>
      </c>
      <c r="AC124" s="188">
        <v>5.4964000000000004</v>
      </c>
      <c r="AD124" s="189">
        <v>0.28000000000000003</v>
      </c>
      <c r="AE124" s="191">
        <v>79</v>
      </c>
      <c r="AF124" s="191">
        <v>364.14</v>
      </c>
      <c r="AG124" s="436">
        <v>578</v>
      </c>
      <c r="AH124" s="30">
        <v>428.81819999999999</v>
      </c>
      <c r="AI124" s="436">
        <v>12310</v>
      </c>
      <c r="AJ124" s="30">
        <v>8797.9570000000003</v>
      </c>
      <c r="AK124" s="436">
        <v>1371</v>
      </c>
      <c r="AL124" s="30">
        <v>826.71299999999997</v>
      </c>
      <c r="AM124" s="238">
        <v>6.1815200668745813</v>
      </c>
      <c r="AN124" s="238" t="s">
        <v>1000</v>
      </c>
      <c r="AO124" s="177">
        <v>0.94000000000000006</v>
      </c>
      <c r="AP124" s="177">
        <v>12.03</v>
      </c>
      <c r="AQ124" s="177">
        <v>2.96</v>
      </c>
      <c r="AR124" s="177">
        <v>1.22</v>
      </c>
      <c r="AV124" s="188">
        <v>0.54239999999999999</v>
      </c>
      <c r="AW124" s="433">
        <v>17.854671280276815</v>
      </c>
      <c r="AX124" s="195">
        <v>7.5</v>
      </c>
      <c r="AY124" s="194"/>
      <c r="AZ124" s="177">
        <v>0.77298260869565216</v>
      </c>
      <c r="BA124" s="177">
        <v>1.8644269565217391</v>
      </c>
      <c r="BB124" s="177">
        <v>43.964285714285715</v>
      </c>
      <c r="BC124" s="177">
        <v>6.8042222222222222</v>
      </c>
      <c r="BD124" s="177">
        <v>0.37005235413958198</v>
      </c>
      <c r="BE124" s="177" t="s">
        <v>1125</v>
      </c>
      <c r="BF124" s="177">
        <v>0.7730757391304347</v>
      </c>
      <c r="BG124" s="177">
        <v>1.8604610700304478</v>
      </c>
      <c r="BH124" s="177">
        <v>43.901981037924152</v>
      </c>
      <c r="BI124" s="177">
        <v>4.8533400000000002</v>
      </c>
      <c r="BJ124" s="404">
        <v>3.6203588637181199E-2</v>
      </c>
      <c r="BK124" s="177" t="s">
        <v>1126</v>
      </c>
      <c r="BL124" s="177" t="s">
        <v>1135</v>
      </c>
    </row>
    <row r="125" spans="1:64" s="177" customFormat="1" ht="20.25" customHeight="1" thickBot="1" x14ac:dyDescent="0.35">
      <c r="A125" s="185" t="s">
        <v>129</v>
      </c>
      <c r="B125" s="177" t="s">
        <v>81</v>
      </c>
      <c r="C125" s="177" t="s">
        <v>130</v>
      </c>
      <c r="D125" s="177" t="s">
        <v>1240</v>
      </c>
      <c r="E125" s="177" t="s">
        <v>31</v>
      </c>
      <c r="F125" s="177" t="s">
        <v>32</v>
      </c>
      <c r="G125" s="177" t="s">
        <v>610</v>
      </c>
      <c r="H125" s="177" t="s">
        <v>611</v>
      </c>
      <c r="I125" s="177" t="s">
        <v>122</v>
      </c>
      <c r="J125" s="177" t="s">
        <v>84</v>
      </c>
      <c r="L125" s="186">
        <v>44771</v>
      </c>
      <c r="M125" s="187">
        <v>44791</v>
      </c>
      <c r="N125" s="177">
        <v>8.41</v>
      </c>
      <c r="O125" s="177">
        <v>0.17</v>
      </c>
      <c r="S125" s="375"/>
      <c r="T125" s="375"/>
      <c r="U125" s="354">
        <f t="shared" ref="U125:U126" si="18">O125*9.63</f>
        <v>1.6371000000000002</v>
      </c>
      <c r="V125" s="355"/>
      <c r="W125" s="355"/>
      <c r="X125" s="177">
        <v>30</v>
      </c>
      <c r="Y125" s="177">
        <v>40</v>
      </c>
      <c r="Z125" s="177">
        <v>30</v>
      </c>
      <c r="AA125" s="247" t="s">
        <v>882</v>
      </c>
      <c r="AB125" s="247" t="s">
        <v>878</v>
      </c>
      <c r="AC125" s="188">
        <v>3.1838000000000002</v>
      </c>
      <c r="AD125" s="189">
        <v>7.0000000000000007E-2</v>
      </c>
      <c r="AE125" s="191">
        <v>91</v>
      </c>
      <c r="AF125" s="191">
        <v>1112.04</v>
      </c>
      <c r="AG125" s="436">
        <v>40</v>
      </c>
      <c r="AH125" s="30">
        <v>29.676000000000002</v>
      </c>
      <c r="AI125" s="436">
        <v>12409</v>
      </c>
      <c r="AJ125" s="30">
        <v>8868.7122999999992</v>
      </c>
      <c r="AK125" s="436">
        <v>978</v>
      </c>
      <c r="AL125" s="30">
        <v>589.73400000000004</v>
      </c>
      <c r="AM125" s="238">
        <v>0.43152946910677048</v>
      </c>
      <c r="AN125" s="238" t="s">
        <v>1000</v>
      </c>
      <c r="AO125" s="177">
        <v>2.04</v>
      </c>
      <c r="AP125" s="177">
        <v>11.59</v>
      </c>
      <c r="AQ125" s="177">
        <v>6.45</v>
      </c>
      <c r="AR125" s="177">
        <v>0.94</v>
      </c>
      <c r="AV125" s="188">
        <v>0.45190000000000002</v>
      </c>
      <c r="AW125" s="433">
        <v>4.8197820620284997</v>
      </c>
      <c r="AX125" s="193" t="s">
        <v>109</v>
      </c>
      <c r="AY125" s="194"/>
      <c r="AZ125" s="177">
        <v>2.3605964194373401</v>
      </c>
      <c r="BA125" s="177">
        <v>0.12902608695652173</v>
      </c>
      <c r="BB125" s="177">
        <v>44.317857142857143</v>
      </c>
      <c r="BC125" s="177">
        <v>4.8537777777777782</v>
      </c>
      <c r="BD125" s="177">
        <v>2.6021672097932297E-2</v>
      </c>
      <c r="BE125" s="177" t="s">
        <v>1125</v>
      </c>
      <c r="BF125" s="177">
        <v>2.3608808286445009</v>
      </c>
      <c r="BG125" s="177">
        <v>0.12875163114397564</v>
      </c>
      <c r="BH125" s="177">
        <v>44.255051397205584</v>
      </c>
      <c r="BI125" s="177">
        <v>3.4621200000000001</v>
      </c>
      <c r="BJ125" s="404">
        <v>2.564425959292366E-3</v>
      </c>
      <c r="BK125" s="177" t="s">
        <v>1126</v>
      </c>
      <c r="BL125" s="177" t="s">
        <v>1135</v>
      </c>
    </row>
    <row r="126" spans="1:64" s="177" customFormat="1" ht="20.25" customHeight="1" thickBot="1" x14ac:dyDescent="0.35">
      <c r="A126" s="185" t="s">
        <v>131</v>
      </c>
      <c r="B126" s="177" t="s">
        <v>81</v>
      </c>
      <c r="C126" s="177" t="s">
        <v>132</v>
      </c>
      <c r="D126" s="177" t="s">
        <v>1241</v>
      </c>
      <c r="E126" s="177" t="s">
        <v>31</v>
      </c>
      <c r="F126" s="177" t="s">
        <v>32</v>
      </c>
      <c r="G126" s="177" t="s">
        <v>610</v>
      </c>
      <c r="H126" s="177" t="s">
        <v>611</v>
      </c>
      <c r="I126" s="177" t="s">
        <v>122</v>
      </c>
      <c r="J126" s="177" t="s">
        <v>84</v>
      </c>
      <c r="L126" s="186">
        <v>44771</v>
      </c>
      <c r="M126" s="187">
        <v>44791</v>
      </c>
      <c r="N126" s="177">
        <v>8.69</v>
      </c>
      <c r="O126" s="177">
        <v>0.15</v>
      </c>
      <c r="S126" s="375"/>
      <c r="T126" s="375"/>
      <c r="U126" s="354">
        <f t="shared" si="18"/>
        <v>1.4445000000000001</v>
      </c>
      <c r="V126" s="355"/>
      <c r="W126" s="355"/>
      <c r="X126" s="177">
        <v>36</v>
      </c>
      <c r="Y126" s="177">
        <v>36</v>
      </c>
      <c r="Z126" s="177">
        <v>28</v>
      </c>
      <c r="AA126" s="247" t="s">
        <v>882</v>
      </c>
      <c r="AB126" s="247" t="s">
        <v>878</v>
      </c>
      <c r="AC126" s="188">
        <v>2.7820999999999998</v>
      </c>
      <c r="AD126" s="177">
        <v>0.05</v>
      </c>
      <c r="AE126" s="191">
        <v>66</v>
      </c>
      <c r="AF126" s="191">
        <v>866.76</v>
      </c>
      <c r="AG126" s="436">
        <v>12</v>
      </c>
      <c r="AH126" s="30">
        <v>8.9027999999999992</v>
      </c>
      <c r="AI126" s="436">
        <v>12433</v>
      </c>
      <c r="AJ126" s="30">
        <v>8885.8651000000009</v>
      </c>
      <c r="AK126" s="436">
        <v>869</v>
      </c>
      <c r="AL126" s="30">
        <v>524.00699999999995</v>
      </c>
      <c r="AM126" s="238">
        <v>0.12979254693076042</v>
      </c>
      <c r="AN126" s="238" t="s">
        <v>1000</v>
      </c>
      <c r="AO126" s="177">
        <v>1.27</v>
      </c>
      <c r="AP126" s="177">
        <v>3.9800000000000004</v>
      </c>
      <c r="AQ126" s="177">
        <v>2.0599999999999996</v>
      </c>
      <c r="AR126" s="177">
        <v>0.51</v>
      </c>
      <c r="AV126" s="188">
        <v>0.38340000000000002</v>
      </c>
      <c r="AW126" s="448">
        <v>4.6102263202011731</v>
      </c>
      <c r="AX126" s="193" t="s">
        <v>109</v>
      </c>
      <c r="AY126" s="194"/>
      <c r="AZ126" s="177">
        <v>1.8399253196930945</v>
      </c>
      <c r="BA126" s="177">
        <v>3.8707826086956519E-2</v>
      </c>
      <c r="BB126" s="177">
        <v>44.403571428571432</v>
      </c>
      <c r="BC126" s="177">
        <v>4.3128148148148142</v>
      </c>
      <c r="BD126" s="177">
        <v>7.8428922126472598E-3</v>
      </c>
      <c r="BE126" s="177" t="s">
        <v>1125</v>
      </c>
      <c r="BF126" s="177">
        <v>1.8401469974424549</v>
      </c>
      <c r="BG126" s="177">
        <v>3.8625489343192689E-2</v>
      </c>
      <c r="BH126" s="177">
        <v>44.340644211576851</v>
      </c>
      <c r="BI126" s="177">
        <v>3.07626</v>
      </c>
      <c r="BJ126" s="404">
        <v>7.8354719785144464E-4</v>
      </c>
      <c r="BK126" s="177" t="s">
        <v>1126</v>
      </c>
      <c r="BL126" s="177" t="s">
        <v>1135</v>
      </c>
    </row>
    <row r="127" spans="1:64" s="177" customFormat="1" ht="20.25" customHeight="1" thickBot="1" x14ac:dyDescent="0.35">
      <c r="A127" s="185" t="s">
        <v>133</v>
      </c>
      <c r="B127" s="177" t="s">
        <v>81</v>
      </c>
      <c r="C127" s="177" t="s">
        <v>134</v>
      </c>
      <c r="D127" s="177" t="s">
        <v>1240</v>
      </c>
      <c r="E127" s="177" t="s">
        <v>31</v>
      </c>
      <c r="F127" s="177" t="s">
        <v>32</v>
      </c>
      <c r="G127" s="177" t="s">
        <v>612</v>
      </c>
      <c r="H127" s="177" t="s">
        <v>613</v>
      </c>
      <c r="I127" s="177" t="s">
        <v>122</v>
      </c>
      <c r="J127" s="177" t="s">
        <v>84</v>
      </c>
      <c r="L127" s="186">
        <v>44771</v>
      </c>
      <c r="M127" s="187">
        <v>44791</v>
      </c>
      <c r="N127" s="177">
        <v>8.5500000000000007</v>
      </c>
      <c r="O127" s="177">
        <v>0.13</v>
      </c>
      <c r="U127" s="356">
        <f t="shared" ref="U127:U131" si="19">10.92*O127</f>
        <v>1.4196</v>
      </c>
      <c r="V127" s="356"/>
      <c r="W127" s="356"/>
      <c r="X127" s="177">
        <v>20</v>
      </c>
      <c r="Y127" s="177">
        <v>32</v>
      </c>
      <c r="Z127" s="177">
        <v>48</v>
      </c>
      <c r="AA127" s="247" t="s">
        <v>883</v>
      </c>
      <c r="AB127" s="247" t="s">
        <v>888</v>
      </c>
      <c r="AC127" s="188">
        <v>1.4175</v>
      </c>
      <c r="AD127" s="177">
        <v>0.02</v>
      </c>
      <c r="AE127" s="191">
        <v>71</v>
      </c>
      <c r="AF127" s="177">
        <v>573.17999999999995</v>
      </c>
      <c r="AG127" s="436">
        <v>148</v>
      </c>
      <c r="AH127" s="30">
        <v>109.80119999999999</v>
      </c>
      <c r="AI127" s="436">
        <v>8855</v>
      </c>
      <c r="AJ127" s="30">
        <v>6328.6684999999998</v>
      </c>
      <c r="AK127" s="436">
        <v>479</v>
      </c>
      <c r="AL127" s="30">
        <v>288.83699999999999</v>
      </c>
      <c r="AM127" s="238">
        <v>1.9088637421584176</v>
      </c>
      <c r="AN127" s="238" t="s">
        <v>1000</v>
      </c>
      <c r="AO127" s="177">
        <v>1.6599999999999997</v>
      </c>
      <c r="AP127" s="177">
        <v>7.3500000000000005</v>
      </c>
      <c r="AQ127" s="177">
        <v>6.0600000000000005</v>
      </c>
      <c r="AR127" s="177">
        <v>0.75</v>
      </c>
      <c r="AV127" s="188">
        <v>0.28989999999999999</v>
      </c>
      <c r="AW127" s="448">
        <v>1.8</v>
      </c>
      <c r="AX127" s="193" t="s">
        <v>109</v>
      </c>
      <c r="AY127" s="194"/>
      <c r="AZ127" s="177">
        <v>1.2167248081841431</v>
      </c>
      <c r="BA127" s="177">
        <v>0.47739652173913039</v>
      </c>
      <c r="BB127" s="177">
        <v>31.625</v>
      </c>
      <c r="BC127" s="177">
        <v>2.377259259259259</v>
      </c>
      <c r="BD127" s="177">
        <v>0.11578181707256865</v>
      </c>
      <c r="BE127" s="177" t="s">
        <v>1125</v>
      </c>
      <c r="BF127" s="177">
        <v>1.2168714015345268</v>
      </c>
      <c r="BG127" s="177">
        <v>0.47638103523270986</v>
      </c>
      <c r="BH127" s="177">
        <v>31.580182135728542</v>
      </c>
      <c r="BI127" s="177">
        <v>1.6956600000000002</v>
      </c>
      <c r="BJ127" s="404">
        <v>1.3622915922089604E-2</v>
      </c>
      <c r="BK127" s="177" t="s">
        <v>1126</v>
      </c>
      <c r="BL127" s="177" t="s">
        <v>1135</v>
      </c>
    </row>
    <row r="128" spans="1:64" s="197" customFormat="1" ht="20.25" customHeight="1" thickBot="1" x14ac:dyDescent="0.35">
      <c r="A128" s="196" t="s">
        <v>135</v>
      </c>
      <c r="B128" s="197" t="s">
        <v>81</v>
      </c>
      <c r="C128" s="197" t="s">
        <v>136</v>
      </c>
      <c r="D128" s="197" t="s">
        <v>1241</v>
      </c>
      <c r="E128" s="197" t="s">
        <v>31</v>
      </c>
      <c r="F128" s="197" t="s">
        <v>32</v>
      </c>
      <c r="G128" s="197" t="s">
        <v>612</v>
      </c>
      <c r="H128" s="197" t="s">
        <v>613</v>
      </c>
      <c r="I128" s="197" t="s">
        <v>122</v>
      </c>
      <c r="J128" s="197" t="s">
        <v>84</v>
      </c>
      <c r="L128" s="198">
        <v>44771</v>
      </c>
      <c r="M128" s="199">
        <v>44791</v>
      </c>
      <c r="N128" s="197">
        <v>8.74</v>
      </c>
      <c r="O128" s="197">
        <v>0.13</v>
      </c>
      <c r="S128" s="376"/>
      <c r="T128" s="376"/>
      <c r="U128" s="356">
        <f t="shared" si="19"/>
        <v>1.4196</v>
      </c>
      <c r="V128" s="359"/>
      <c r="W128" s="359"/>
      <c r="X128" s="197">
        <v>18</v>
      </c>
      <c r="Y128" s="197">
        <v>32</v>
      </c>
      <c r="Z128" s="197">
        <v>50</v>
      </c>
      <c r="AA128" s="247" t="s">
        <v>883</v>
      </c>
      <c r="AB128" s="247" t="s">
        <v>888</v>
      </c>
      <c r="AC128" s="200">
        <v>1.0667</v>
      </c>
      <c r="AD128" s="197">
        <v>7.0000000000000007E-2</v>
      </c>
      <c r="AE128" s="201">
        <v>53</v>
      </c>
      <c r="AF128" s="197">
        <v>605</v>
      </c>
      <c r="AG128" s="437">
        <v>185</v>
      </c>
      <c r="AH128" s="30">
        <v>137.25149999999999</v>
      </c>
      <c r="AI128" s="437">
        <v>11533</v>
      </c>
      <c r="AJ128" s="30">
        <v>8242.6350999999995</v>
      </c>
      <c r="AK128" s="437">
        <v>517</v>
      </c>
      <c r="AL128" s="30">
        <v>311.75099999999998</v>
      </c>
      <c r="AM128" s="238">
        <v>2.0986386808215713</v>
      </c>
      <c r="AN128" s="238" t="s">
        <v>1000</v>
      </c>
      <c r="AO128" s="197">
        <v>1.3899999999999997</v>
      </c>
      <c r="AP128" s="197">
        <v>3.87</v>
      </c>
      <c r="AQ128" s="197">
        <v>2.76</v>
      </c>
      <c r="AR128" s="197">
        <v>0.28999999999999998</v>
      </c>
      <c r="AV128" s="200">
        <v>0.3342</v>
      </c>
      <c r="AW128" s="449">
        <v>3.3</v>
      </c>
      <c r="AX128" s="202" t="s">
        <v>109</v>
      </c>
      <c r="AY128" s="203"/>
      <c r="AZ128" s="197">
        <v>1.2842710997442455</v>
      </c>
      <c r="BA128" s="197">
        <v>0.59674565217391307</v>
      </c>
      <c r="BB128" s="197">
        <v>41.189285714285717</v>
      </c>
      <c r="BC128" s="197">
        <v>2.5658518518518516</v>
      </c>
      <c r="BD128" s="197">
        <v>0.12758209651647479</v>
      </c>
      <c r="BE128" s="197" t="s">
        <v>1125</v>
      </c>
      <c r="BF128" s="197">
        <v>1.284425831202046</v>
      </c>
      <c r="BG128" s="197">
        <v>0.59547629404088731</v>
      </c>
      <c r="BH128" s="197">
        <v>41.130913672654685</v>
      </c>
      <c r="BI128" s="197">
        <v>1.8301800000000001</v>
      </c>
      <c r="BJ128" s="405">
        <v>1.3279729485151317E-2</v>
      </c>
      <c r="BK128" s="197" t="s">
        <v>1126</v>
      </c>
      <c r="BL128" s="197" t="s">
        <v>1135</v>
      </c>
    </row>
    <row r="129" spans="1:64" s="205" customFormat="1" ht="20.25" customHeight="1" thickBot="1" x14ac:dyDescent="0.35">
      <c r="A129" s="204" t="s">
        <v>137</v>
      </c>
      <c r="B129" s="205" t="s">
        <v>81</v>
      </c>
      <c r="C129" s="205">
        <v>4</v>
      </c>
      <c r="D129" s="205" t="s">
        <v>1240</v>
      </c>
      <c r="E129" s="205" t="s">
        <v>33</v>
      </c>
      <c r="F129" s="205" t="s">
        <v>34</v>
      </c>
      <c r="G129" s="205" t="s">
        <v>35</v>
      </c>
      <c r="H129" s="205">
        <v>-7.6769800000000004</v>
      </c>
      <c r="I129" s="205" t="s">
        <v>138</v>
      </c>
      <c r="J129" s="205" t="s">
        <v>84</v>
      </c>
      <c r="L129" s="206">
        <v>44776</v>
      </c>
      <c r="M129" s="207">
        <v>44791</v>
      </c>
      <c r="N129" s="205">
        <v>8.67</v>
      </c>
      <c r="O129" s="205">
        <v>0.27</v>
      </c>
      <c r="S129" s="377"/>
      <c r="T129" s="377"/>
      <c r="U129" s="356">
        <f t="shared" si="19"/>
        <v>2.9484000000000004</v>
      </c>
      <c r="V129" s="356"/>
      <c r="W129" s="356"/>
      <c r="X129" s="208">
        <v>20</v>
      </c>
      <c r="Y129" s="208">
        <v>30</v>
      </c>
      <c r="Z129" s="208">
        <v>50</v>
      </c>
      <c r="AA129" s="247" t="s">
        <v>883</v>
      </c>
      <c r="AB129" s="247" t="s">
        <v>888</v>
      </c>
      <c r="AC129" s="209">
        <v>3.43</v>
      </c>
      <c r="AD129" s="210">
        <v>0.18</v>
      </c>
      <c r="AE129" s="211">
        <v>38.03</v>
      </c>
      <c r="AF129" s="212">
        <v>465.97</v>
      </c>
      <c r="AG129" s="434">
        <v>459</v>
      </c>
      <c r="AH129" s="30">
        <v>340.53210000000001</v>
      </c>
      <c r="AI129" s="434">
        <v>8979</v>
      </c>
      <c r="AJ129" s="30">
        <v>6417.2912999999999</v>
      </c>
      <c r="AK129" s="434">
        <v>1451</v>
      </c>
      <c r="AL129" s="30">
        <v>874.95299999999997</v>
      </c>
      <c r="AM129" s="238">
        <v>5.6395240051643745</v>
      </c>
      <c r="AN129" s="238" t="s">
        <v>1000</v>
      </c>
      <c r="AO129" s="213">
        <v>0.70000000000000007</v>
      </c>
      <c r="AP129" s="213">
        <v>7.89</v>
      </c>
      <c r="AQ129" s="213">
        <v>3.87</v>
      </c>
      <c r="AR129" s="213">
        <v>1.4200000000000002</v>
      </c>
      <c r="AV129" s="209">
        <v>0.48459999999999998</v>
      </c>
      <c r="AW129" s="447">
        <v>2.510460251046025</v>
      </c>
      <c r="AX129" s="214"/>
      <c r="AY129" s="215"/>
      <c r="AZ129" s="205">
        <v>0.98914347826086957</v>
      </c>
      <c r="BA129" s="205">
        <v>1.4805743478260869</v>
      </c>
      <c r="BB129" s="205">
        <v>32.067857142857143</v>
      </c>
      <c r="BC129" s="205">
        <v>7.2012592592592588</v>
      </c>
      <c r="BD129" s="205">
        <v>0.33413321833202003</v>
      </c>
      <c r="BE129" s="205" t="s">
        <v>1125</v>
      </c>
      <c r="BF129" s="205">
        <v>0.98926265217391307</v>
      </c>
      <c r="BG129" s="205">
        <v>1.4774249673771203</v>
      </c>
      <c r="BH129" s="205">
        <v>32.022411676646705</v>
      </c>
      <c r="BI129" s="205">
        <v>5.1365400000000001</v>
      </c>
      <c r="BJ129" s="406">
        <v>3.7284571141767954E-2</v>
      </c>
      <c r="BK129" s="205" t="s">
        <v>1126</v>
      </c>
      <c r="BL129" s="205" t="s">
        <v>1135</v>
      </c>
    </row>
    <row r="130" spans="1:64" s="208" customFormat="1" ht="20.25" customHeight="1" thickBot="1" x14ac:dyDescent="0.35">
      <c r="A130" s="216" t="s">
        <v>139</v>
      </c>
      <c r="B130" s="208" t="s">
        <v>81</v>
      </c>
      <c r="C130" s="208">
        <v>6</v>
      </c>
      <c r="D130" s="208" t="s">
        <v>1240</v>
      </c>
      <c r="E130" s="208" t="s">
        <v>33</v>
      </c>
      <c r="F130" s="208" t="s">
        <v>34</v>
      </c>
      <c r="G130" s="208" t="s">
        <v>36</v>
      </c>
      <c r="H130" s="208">
        <v>-7.6773639999999999</v>
      </c>
      <c r="I130" s="208" t="s">
        <v>138</v>
      </c>
      <c r="J130" s="208" t="s">
        <v>84</v>
      </c>
      <c r="L130" s="217">
        <v>44776</v>
      </c>
      <c r="M130" s="218">
        <v>44791</v>
      </c>
      <c r="N130" s="208">
        <v>8.1</v>
      </c>
      <c r="O130" s="208">
        <v>0.28999999999999998</v>
      </c>
      <c r="U130" s="356">
        <f t="shared" si="19"/>
        <v>3.1667999999999998</v>
      </c>
      <c r="V130" s="356"/>
      <c r="W130" s="356"/>
      <c r="X130" s="208">
        <v>22</v>
      </c>
      <c r="Y130" s="208">
        <v>34</v>
      </c>
      <c r="Z130" s="208">
        <v>44</v>
      </c>
      <c r="AA130" s="247" t="s">
        <v>883</v>
      </c>
      <c r="AB130" s="247" t="s">
        <v>888</v>
      </c>
      <c r="AC130" s="219">
        <v>4.1500000000000004</v>
      </c>
      <c r="AD130" s="220">
        <v>0.19</v>
      </c>
      <c r="AE130" s="221">
        <v>34.950000000000003</v>
      </c>
      <c r="AF130" s="222">
        <v>674.07</v>
      </c>
      <c r="AG130" s="436">
        <v>2926</v>
      </c>
      <c r="AH130" s="30">
        <v>2170.7993999999999</v>
      </c>
      <c r="AI130" s="436">
        <v>6700</v>
      </c>
      <c r="AJ130" s="30">
        <v>4788.49</v>
      </c>
      <c r="AK130" s="436">
        <v>2075</v>
      </c>
      <c r="AL130" s="30">
        <v>1251.2249999999999</v>
      </c>
      <c r="AM130" s="238">
        <v>39.502671553303095</v>
      </c>
      <c r="AN130" s="339" t="s">
        <v>999</v>
      </c>
      <c r="AO130" s="223">
        <v>1.1099999999999999</v>
      </c>
      <c r="AP130" s="223">
        <v>22.779999999999998</v>
      </c>
      <c r="AQ130" s="223">
        <v>3.26</v>
      </c>
      <c r="AR130" s="223">
        <v>0.97</v>
      </c>
      <c r="AV130" s="219">
        <v>0.53990000000000005</v>
      </c>
      <c r="AW130" s="448">
        <v>0.36820083682008375</v>
      </c>
      <c r="AX130" s="224"/>
      <c r="AY130" s="225"/>
      <c r="AZ130" s="208">
        <v>1.4308902813299234</v>
      </c>
      <c r="BA130" s="208">
        <v>9.4382582608695653</v>
      </c>
      <c r="BB130" s="208">
        <v>23.928571428571427</v>
      </c>
      <c r="BC130" s="208">
        <v>10.298148148148147</v>
      </c>
      <c r="BD130" s="208">
        <v>2.2815196647027269</v>
      </c>
      <c r="BE130" s="208" t="s">
        <v>1125</v>
      </c>
      <c r="BF130" s="208">
        <v>1.4310626777493607</v>
      </c>
      <c r="BG130" s="208">
        <v>9.4181818181818162</v>
      </c>
      <c r="BH130" s="208">
        <v>23.894660678642712</v>
      </c>
      <c r="BI130" s="208">
        <v>7.3455000000000004</v>
      </c>
      <c r="BJ130" s="407">
        <v>0.22376609455795582</v>
      </c>
      <c r="BK130" s="208" t="s">
        <v>1127</v>
      </c>
      <c r="BL130" s="208" t="s">
        <v>1135</v>
      </c>
    </row>
    <row r="131" spans="1:64" s="208" customFormat="1" ht="20.25" customHeight="1" thickBot="1" x14ac:dyDescent="0.35">
      <c r="A131" s="216" t="s">
        <v>140</v>
      </c>
      <c r="B131" s="208" t="s">
        <v>81</v>
      </c>
      <c r="C131" s="208">
        <v>10</v>
      </c>
      <c r="D131" s="208" t="s">
        <v>1240</v>
      </c>
      <c r="E131" s="208" t="s">
        <v>33</v>
      </c>
      <c r="F131" s="208" t="s">
        <v>34</v>
      </c>
      <c r="G131" s="208" t="s">
        <v>37</v>
      </c>
      <c r="H131" s="208">
        <v>-7.6771180000000001</v>
      </c>
      <c r="I131" s="208" t="s">
        <v>138</v>
      </c>
      <c r="J131" s="208" t="s">
        <v>84</v>
      </c>
      <c r="L131" s="217">
        <v>44776</v>
      </c>
      <c r="M131" s="218">
        <v>44791</v>
      </c>
      <c r="N131" s="208">
        <v>8.57</v>
      </c>
      <c r="O131" s="208">
        <v>0.13</v>
      </c>
      <c r="U131" s="356">
        <f t="shared" si="19"/>
        <v>1.4196</v>
      </c>
      <c r="V131" s="356"/>
      <c r="W131" s="356"/>
      <c r="X131" s="208">
        <v>20</v>
      </c>
      <c r="Y131" s="208">
        <v>28</v>
      </c>
      <c r="Z131" s="208">
        <v>52</v>
      </c>
      <c r="AA131" s="247" t="s">
        <v>883</v>
      </c>
      <c r="AB131" s="247" t="s">
        <v>888</v>
      </c>
      <c r="AC131" s="219">
        <v>1.1499999999999999</v>
      </c>
      <c r="AD131" s="220">
        <v>0.09</v>
      </c>
      <c r="AE131" s="222">
        <v>53.73</v>
      </c>
      <c r="AF131" s="222">
        <v>355.49</v>
      </c>
      <c r="AG131" s="435">
        <v>150</v>
      </c>
      <c r="AH131" s="30">
        <v>111.285</v>
      </c>
      <c r="AI131" s="435">
        <v>5048</v>
      </c>
      <c r="AJ131" s="30">
        <v>3607.8056000000001</v>
      </c>
      <c r="AK131" s="435">
        <v>731</v>
      </c>
      <c r="AL131" s="30">
        <v>440.79300000000001</v>
      </c>
      <c r="AM131" s="238">
        <v>2.4734279706003637</v>
      </c>
      <c r="AN131" s="238" t="s">
        <v>1000</v>
      </c>
      <c r="AO131" s="223">
        <v>1.0299999999999998</v>
      </c>
      <c r="AP131" s="223">
        <v>11.92</v>
      </c>
      <c r="AQ131" s="223">
        <v>6.53</v>
      </c>
      <c r="AR131" s="223">
        <v>0.38999999999999996</v>
      </c>
      <c r="AV131" s="219">
        <v>0.4199</v>
      </c>
      <c r="AW131" s="448">
        <v>0.58634650286192935</v>
      </c>
      <c r="AX131" s="224"/>
      <c r="AY131" s="225"/>
      <c r="AZ131" s="208">
        <v>0.7546207161125319</v>
      </c>
      <c r="BA131" s="208">
        <v>0.48384782608695648</v>
      </c>
      <c r="BB131" s="208">
        <v>18.028571428571428</v>
      </c>
      <c r="BC131" s="208">
        <v>3.627925925925926</v>
      </c>
      <c r="BD131" s="208">
        <v>0.14703803275798857</v>
      </c>
      <c r="BE131" s="208" t="s">
        <v>1125</v>
      </c>
      <c r="BF131" s="208">
        <v>0.75471163427109966</v>
      </c>
      <c r="BG131" s="208">
        <v>0.48281861678990862</v>
      </c>
      <c r="BH131" s="208">
        <v>18.003021956087824</v>
      </c>
      <c r="BI131" s="208">
        <v>2.5877400000000002</v>
      </c>
      <c r="BJ131" s="407">
        <v>2.211893684618094E-2</v>
      </c>
      <c r="BK131" s="208" t="s">
        <v>1126</v>
      </c>
      <c r="BL131" s="208" t="s">
        <v>1135</v>
      </c>
    </row>
    <row r="132" spans="1:64" s="208" customFormat="1" ht="20.25" customHeight="1" thickBot="1" x14ac:dyDescent="0.35">
      <c r="A132" s="216" t="s">
        <v>141</v>
      </c>
      <c r="B132" s="208" t="s">
        <v>81</v>
      </c>
      <c r="C132" s="208">
        <v>11</v>
      </c>
      <c r="D132" s="208" t="s">
        <v>1240</v>
      </c>
      <c r="E132" s="208" t="s">
        <v>33</v>
      </c>
      <c r="F132" s="208" t="s">
        <v>34</v>
      </c>
      <c r="G132" s="208" t="s">
        <v>38</v>
      </c>
      <c r="H132" s="208">
        <v>-7.6779799999999998</v>
      </c>
      <c r="I132" s="208" t="s">
        <v>138</v>
      </c>
      <c r="J132" s="208" t="s">
        <v>84</v>
      </c>
      <c r="L132" s="217">
        <v>44776</v>
      </c>
      <c r="M132" s="218">
        <v>44791</v>
      </c>
      <c r="N132" s="208">
        <v>8.35</v>
      </c>
      <c r="O132" s="208">
        <v>0.11</v>
      </c>
      <c r="U132" s="356">
        <f t="shared" ref="U132:U135" si="20">O132*12.43</f>
        <v>1.3673</v>
      </c>
      <c r="V132" s="356"/>
      <c r="W132" s="356"/>
      <c r="X132" s="208">
        <v>14</v>
      </c>
      <c r="Y132" s="208">
        <v>14</v>
      </c>
      <c r="Z132" s="208">
        <v>72</v>
      </c>
      <c r="AA132" s="247" t="s">
        <v>886</v>
      </c>
      <c r="AB132" s="247" t="s">
        <v>881</v>
      </c>
      <c r="AC132" s="219">
        <v>0.89</v>
      </c>
      <c r="AD132" s="220">
        <v>7.0000000000000007E-2</v>
      </c>
      <c r="AE132" s="222">
        <v>47.28</v>
      </c>
      <c r="AF132" s="222">
        <v>287.48</v>
      </c>
      <c r="AG132" s="435">
        <v>91</v>
      </c>
      <c r="AH132" s="30">
        <v>67.512900000000002</v>
      </c>
      <c r="AI132" s="435">
        <v>2237</v>
      </c>
      <c r="AJ132" s="30">
        <v>1598.7838999999999</v>
      </c>
      <c r="AK132" s="435">
        <v>326</v>
      </c>
      <c r="AL132" s="30">
        <v>196.578</v>
      </c>
      <c r="AM132" s="238">
        <v>2.2533349817004868</v>
      </c>
      <c r="AN132" s="238" t="s">
        <v>1000</v>
      </c>
      <c r="AO132" s="223">
        <v>0.66</v>
      </c>
      <c r="AP132" s="223">
        <v>13.879999999999999</v>
      </c>
      <c r="AQ132" s="223">
        <v>4.8500000000000005</v>
      </c>
      <c r="AR132" s="223">
        <v>0.31</v>
      </c>
      <c r="AV132" s="219">
        <v>0.33050000000000002</v>
      </c>
      <c r="AW132" s="448">
        <v>0.16689847009735742</v>
      </c>
      <c r="AX132" s="224"/>
      <c r="AY132" s="225"/>
      <c r="AZ132" s="208">
        <v>0.61025166240409212</v>
      </c>
      <c r="BA132" s="208">
        <v>0.29353434782608695</v>
      </c>
      <c r="BB132" s="208">
        <v>7.9892857142857139</v>
      </c>
      <c r="BC132" s="208">
        <v>1.617925925925926</v>
      </c>
      <c r="BD132" s="208">
        <v>0.13392919122349473</v>
      </c>
      <c r="BE132" s="208" t="s">
        <v>1125</v>
      </c>
      <c r="BF132" s="208">
        <v>0.6103251867007673</v>
      </c>
      <c r="BG132" s="208">
        <v>0.29290996085254462</v>
      </c>
      <c r="BH132" s="208">
        <v>7.977963572854291</v>
      </c>
      <c r="BI132" s="208">
        <v>1.15404</v>
      </c>
      <c r="BJ132" s="407">
        <v>2.9188140811925542E-2</v>
      </c>
      <c r="BK132" s="208" t="s">
        <v>1126</v>
      </c>
      <c r="BL132" s="208" t="s">
        <v>1135</v>
      </c>
    </row>
    <row r="133" spans="1:64" s="208" customFormat="1" ht="20.25" customHeight="1" thickBot="1" x14ac:dyDescent="0.35">
      <c r="A133" s="216" t="s">
        <v>142</v>
      </c>
      <c r="B133" s="208" t="s">
        <v>81</v>
      </c>
      <c r="C133" s="208">
        <v>14</v>
      </c>
      <c r="D133" s="208" t="s">
        <v>1240</v>
      </c>
      <c r="E133" s="208" t="s">
        <v>39</v>
      </c>
      <c r="F133" s="208" t="s">
        <v>40</v>
      </c>
      <c r="G133" s="208" t="s">
        <v>41</v>
      </c>
      <c r="H133" s="208">
        <v>-7.731109</v>
      </c>
      <c r="I133" s="208" t="s">
        <v>138</v>
      </c>
      <c r="J133" s="208" t="s">
        <v>84</v>
      </c>
      <c r="L133" s="217">
        <v>44776</v>
      </c>
      <c r="M133" s="218">
        <v>44791</v>
      </c>
      <c r="N133" s="208">
        <v>8.5299999999999994</v>
      </c>
      <c r="O133" s="208">
        <v>0.09</v>
      </c>
      <c r="U133" s="356">
        <f t="shared" si="20"/>
        <v>1.1187</v>
      </c>
      <c r="V133" s="356"/>
      <c r="W133" s="356"/>
      <c r="X133" s="208">
        <v>20</v>
      </c>
      <c r="Y133" s="208">
        <v>20</v>
      </c>
      <c r="Z133" s="208">
        <v>60</v>
      </c>
      <c r="AA133" s="247" t="s">
        <v>886</v>
      </c>
      <c r="AB133" s="247" t="s">
        <v>881</v>
      </c>
      <c r="AC133" s="219">
        <v>1.27</v>
      </c>
      <c r="AD133" s="220">
        <v>0.08</v>
      </c>
      <c r="AE133" s="222">
        <v>52.53</v>
      </c>
      <c r="AF133" s="222">
        <v>339.77</v>
      </c>
      <c r="AG133" s="435">
        <v>138</v>
      </c>
      <c r="AH133" s="30">
        <v>102.3822</v>
      </c>
      <c r="AI133" s="435">
        <v>3067</v>
      </c>
      <c r="AJ133" s="30">
        <v>2191.9848999999999</v>
      </c>
      <c r="AK133" s="435">
        <v>658</v>
      </c>
      <c r="AL133" s="30">
        <v>396.774</v>
      </c>
      <c r="AM133" s="238">
        <v>2.8457297414597296</v>
      </c>
      <c r="AN133" s="238" t="s">
        <v>1000</v>
      </c>
      <c r="AO133" s="208">
        <v>0.98999999999999988</v>
      </c>
      <c r="AP133" s="208">
        <v>10.34</v>
      </c>
      <c r="AQ133" s="208">
        <v>5.57</v>
      </c>
      <c r="AR133" s="208">
        <v>0.32</v>
      </c>
      <c r="AV133" s="219">
        <v>0.38190000000000002</v>
      </c>
      <c r="AW133" s="448">
        <v>0.16715419974926865</v>
      </c>
      <c r="AX133" s="224"/>
      <c r="AY133" s="225"/>
      <c r="AZ133" s="208">
        <v>0.72125089514066498</v>
      </c>
      <c r="BA133" s="208">
        <v>0.44513999999999998</v>
      </c>
      <c r="BB133" s="208">
        <v>10.953571428571429</v>
      </c>
      <c r="BC133" s="208">
        <v>3.2656296296296294</v>
      </c>
      <c r="BD133" s="208">
        <v>0.16694523266197803</v>
      </c>
      <c r="BE133" s="208" t="s">
        <v>1125</v>
      </c>
      <c r="BF133" s="208">
        <v>0.72133779283887467</v>
      </c>
      <c r="BG133" s="208">
        <v>0.44419312744671596</v>
      </c>
      <c r="BH133" s="208">
        <v>10.938048403193612</v>
      </c>
      <c r="BI133" s="208">
        <v>2.3293200000000001</v>
      </c>
      <c r="BJ133" s="407">
        <v>3.0776430812075987E-2</v>
      </c>
      <c r="BK133" s="208" t="s">
        <v>1126</v>
      </c>
      <c r="BL133" s="208" t="s">
        <v>1135</v>
      </c>
    </row>
    <row r="134" spans="1:64" s="208" customFormat="1" ht="20.25" customHeight="1" thickBot="1" x14ac:dyDescent="0.35">
      <c r="A134" s="216" t="s">
        <v>143</v>
      </c>
      <c r="B134" s="208" t="s">
        <v>81</v>
      </c>
      <c r="C134" s="208">
        <v>15</v>
      </c>
      <c r="D134" s="208" t="s">
        <v>1240</v>
      </c>
      <c r="E134" s="208" t="s">
        <v>39</v>
      </c>
      <c r="F134" s="208" t="s">
        <v>40</v>
      </c>
      <c r="G134" s="208" t="s">
        <v>42</v>
      </c>
      <c r="H134" s="208">
        <v>-7.7310650000000001</v>
      </c>
      <c r="I134" s="208" t="s">
        <v>138</v>
      </c>
      <c r="J134" s="208" t="s">
        <v>84</v>
      </c>
      <c r="L134" s="217">
        <v>44776</v>
      </c>
      <c r="M134" s="218">
        <v>44791</v>
      </c>
      <c r="N134" s="208">
        <v>8.43</v>
      </c>
      <c r="O134" s="208">
        <v>0.11</v>
      </c>
      <c r="U134" s="356">
        <f t="shared" si="20"/>
        <v>1.3673</v>
      </c>
      <c r="V134" s="356"/>
      <c r="W134" s="356"/>
      <c r="X134" s="208">
        <v>20</v>
      </c>
      <c r="Y134" s="208">
        <v>22</v>
      </c>
      <c r="Z134" s="208">
        <v>58</v>
      </c>
      <c r="AA134" s="247" t="s">
        <v>886</v>
      </c>
      <c r="AB134" s="247" t="s">
        <v>881</v>
      </c>
      <c r="AC134" s="219">
        <v>0.69</v>
      </c>
      <c r="AD134" s="220">
        <v>0.09</v>
      </c>
      <c r="AE134" s="222">
        <v>62.55</v>
      </c>
      <c r="AF134" s="222">
        <v>375.02</v>
      </c>
      <c r="AG134" s="436">
        <v>153</v>
      </c>
      <c r="AH134" s="30">
        <v>113.5107</v>
      </c>
      <c r="AI134" s="436">
        <v>3000</v>
      </c>
      <c r="AJ134" s="30">
        <v>2144.1</v>
      </c>
      <c r="AK134" s="436">
        <v>622</v>
      </c>
      <c r="AL134" s="30">
        <v>375.06599999999997</v>
      </c>
      <c r="AM134" s="238">
        <v>3.1983309934986153</v>
      </c>
      <c r="AN134" s="238" t="s">
        <v>1000</v>
      </c>
      <c r="AO134" s="208">
        <v>0.96000000000000008</v>
      </c>
      <c r="AP134" s="208">
        <v>11.28</v>
      </c>
      <c r="AQ134" s="208">
        <v>5.4300000000000006</v>
      </c>
      <c r="AR134" s="208">
        <v>0.35000000000000003</v>
      </c>
      <c r="AV134" s="219">
        <v>0.41710000000000003</v>
      </c>
      <c r="AW134" s="448">
        <v>0.18438329375611121</v>
      </c>
      <c r="AX134" s="224"/>
      <c r="AY134" s="225"/>
      <c r="AZ134" s="208">
        <v>0.79607826086956512</v>
      </c>
      <c r="BA134" s="208">
        <v>0.49352478260869564</v>
      </c>
      <c r="BB134" s="208">
        <v>10.714285714285714</v>
      </c>
      <c r="BC134" s="208">
        <v>3.0869629629629629</v>
      </c>
      <c r="BD134" s="208">
        <v>0.18787317422222127</v>
      </c>
      <c r="BE134" s="208" t="s">
        <v>1125</v>
      </c>
      <c r="BF134" s="208">
        <v>0.79617417391304335</v>
      </c>
      <c r="BG134" s="208">
        <v>0.49247498912570681</v>
      </c>
      <c r="BH134" s="208">
        <v>10.699101796407184</v>
      </c>
      <c r="BI134" s="208">
        <v>2.2018800000000001</v>
      </c>
      <c r="BJ134" s="407">
        <v>3.4706680570707145E-2</v>
      </c>
      <c r="BK134" s="208" t="s">
        <v>1126</v>
      </c>
      <c r="BL134" s="208" t="s">
        <v>1135</v>
      </c>
    </row>
    <row r="135" spans="1:64" s="208" customFormat="1" ht="20.25" customHeight="1" thickBot="1" x14ac:dyDescent="0.35">
      <c r="A135" s="216" t="s">
        <v>144</v>
      </c>
      <c r="B135" s="208" t="s">
        <v>81</v>
      </c>
      <c r="C135" s="208">
        <v>16</v>
      </c>
      <c r="D135" s="208" t="s">
        <v>1240</v>
      </c>
      <c r="E135" s="208" t="s">
        <v>39</v>
      </c>
      <c r="F135" s="208" t="s">
        <v>40</v>
      </c>
      <c r="G135" s="208" t="s">
        <v>43</v>
      </c>
      <c r="H135" s="208">
        <v>-7.7310650000000001</v>
      </c>
      <c r="I135" s="208" t="s">
        <v>138</v>
      </c>
      <c r="J135" s="208" t="s">
        <v>84</v>
      </c>
      <c r="L135" s="217">
        <v>44776</v>
      </c>
      <c r="M135" s="218">
        <v>44791</v>
      </c>
      <c r="N135" s="208">
        <v>8.09</v>
      </c>
      <c r="O135" s="208">
        <v>1.89</v>
      </c>
      <c r="U135" s="356">
        <f t="shared" si="20"/>
        <v>23.492699999999999</v>
      </c>
      <c r="V135" s="356"/>
      <c r="W135" s="356"/>
      <c r="X135" s="208">
        <v>22</v>
      </c>
      <c r="Y135" s="208">
        <v>22</v>
      </c>
      <c r="Z135" s="208">
        <v>56</v>
      </c>
      <c r="AA135" s="247" t="s">
        <v>885</v>
      </c>
      <c r="AB135" s="247" t="s">
        <v>880</v>
      </c>
      <c r="AC135" s="219">
        <v>4.0599999999999996</v>
      </c>
      <c r="AD135" s="220">
        <v>0.2</v>
      </c>
      <c r="AE135" s="222">
        <v>40.200000000000003</v>
      </c>
      <c r="AF135" s="222">
        <v>673.41</v>
      </c>
      <c r="AG135" s="435">
        <v>2026</v>
      </c>
      <c r="AH135" s="30">
        <v>1503.0894000000001</v>
      </c>
      <c r="AI135" s="435">
        <v>9233</v>
      </c>
      <c r="AJ135" s="30">
        <v>6598.8251</v>
      </c>
      <c r="AK135" s="435">
        <v>1975</v>
      </c>
      <c r="AL135" s="30">
        <v>1190.925</v>
      </c>
      <c r="AM135" s="238">
        <v>24.084522877004353</v>
      </c>
      <c r="AN135" s="339" t="s">
        <v>999</v>
      </c>
      <c r="AO135" s="208">
        <v>1.25</v>
      </c>
      <c r="AP135" s="208">
        <v>34.14</v>
      </c>
      <c r="AQ135" s="208">
        <v>4.7700000000000005</v>
      </c>
      <c r="AR135" s="208">
        <v>1.57</v>
      </c>
      <c r="AV135" s="219">
        <v>0.54120000000000001</v>
      </c>
      <c r="AW135" s="448">
        <v>1.4180453218406783</v>
      </c>
      <c r="AX135" s="224"/>
      <c r="AY135" s="225"/>
      <c r="AZ135" s="208">
        <v>1.4294892583120202</v>
      </c>
      <c r="BA135" s="208">
        <v>6.5351713043478261</v>
      </c>
      <c r="BB135" s="208">
        <v>32.975000000000001</v>
      </c>
      <c r="BC135" s="208">
        <v>9.8018518518518523</v>
      </c>
      <c r="BD135" s="208">
        <v>1.4130826499578177</v>
      </c>
      <c r="BE135" s="208" t="s">
        <v>1125</v>
      </c>
      <c r="BF135" s="208">
        <v>1.4296614859335037</v>
      </c>
      <c r="BG135" s="208">
        <v>6.5212701174423664</v>
      </c>
      <c r="BH135" s="208">
        <v>32.928268962075848</v>
      </c>
      <c r="BI135" s="208">
        <v>6.9915000000000003</v>
      </c>
      <c r="BJ135" s="407">
        <v>0.13622675332536843</v>
      </c>
      <c r="BK135" s="208" t="s">
        <v>1126</v>
      </c>
      <c r="BL135" s="208" t="s">
        <v>1136</v>
      </c>
    </row>
    <row r="136" spans="1:64" s="208" customFormat="1" ht="20.25" customHeight="1" thickBot="1" x14ac:dyDescent="0.35">
      <c r="A136" s="216" t="s">
        <v>145</v>
      </c>
      <c r="B136" s="208" t="s">
        <v>81</v>
      </c>
      <c r="C136" s="208">
        <v>19</v>
      </c>
      <c r="D136" s="208" t="s">
        <v>1240</v>
      </c>
      <c r="E136" s="208" t="s">
        <v>39</v>
      </c>
      <c r="F136" s="208" t="s">
        <v>40</v>
      </c>
      <c r="G136" s="208" t="s">
        <v>44</v>
      </c>
      <c r="H136" s="208">
        <v>-7.7305999999999999</v>
      </c>
      <c r="I136" s="208" t="s">
        <v>83</v>
      </c>
      <c r="J136" s="208" t="s">
        <v>84</v>
      </c>
      <c r="L136" s="217">
        <v>44776</v>
      </c>
      <c r="M136" s="218">
        <v>44791</v>
      </c>
      <c r="N136" s="208">
        <v>7.63</v>
      </c>
      <c r="O136" s="208">
        <v>22.54</v>
      </c>
      <c r="U136" s="356">
        <f>O136*5.4</f>
        <v>121.71600000000001</v>
      </c>
      <c r="V136" s="356"/>
      <c r="W136" s="356"/>
      <c r="X136" s="208">
        <v>12</v>
      </c>
      <c r="Y136" s="208">
        <v>56</v>
      </c>
      <c r="Z136" s="208">
        <v>32</v>
      </c>
      <c r="AA136" s="247" t="s">
        <v>884</v>
      </c>
      <c r="AB136" s="247" t="s">
        <v>879</v>
      </c>
      <c r="AC136" s="219">
        <v>3.65</v>
      </c>
      <c r="AD136" s="220">
        <v>0.16</v>
      </c>
      <c r="AE136" s="222">
        <v>112.2</v>
      </c>
      <c r="AF136" s="222">
        <v>799.98</v>
      </c>
      <c r="AG136" s="435">
        <v>21986</v>
      </c>
      <c r="AH136" s="30">
        <v>16311.413399999999</v>
      </c>
      <c r="AI136" s="435">
        <v>17410</v>
      </c>
      <c r="AJ136" s="30">
        <v>12442.927</v>
      </c>
      <c r="AK136" s="435">
        <v>6975</v>
      </c>
      <c r="AL136" s="30">
        <v>4205.9250000000002</v>
      </c>
      <c r="AM136" s="238">
        <v>178.7781530210502</v>
      </c>
      <c r="AN136" s="339" t="s">
        <v>997</v>
      </c>
      <c r="AO136" s="208">
        <v>1.38</v>
      </c>
      <c r="AP136" s="208">
        <v>46.61</v>
      </c>
      <c r="AQ136" s="208">
        <v>2.87</v>
      </c>
      <c r="AR136" s="208">
        <v>3.51</v>
      </c>
      <c r="AV136" s="219">
        <v>0.54110000000000003</v>
      </c>
      <c r="AW136" s="448">
        <v>8.3240843507214208</v>
      </c>
      <c r="AX136" s="224"/>
      <c r="AY136" s="225"/>
      <c r="AZ136" s="208">
        <v>1.6981672634271097</v>
      </c>
      <c r="BA136" s="208">
        <v>70.919188695652167</v>
      </c>
      <c r="BB136" s="208">
        <v>62.178571428571431</v>
      </c>
      <c r="BC136" s="208">
        <v>34.616666666666667</v>
      </c>
      <c r="BD136" s="208">
        <v>10.194167385532394</v>
      </c>
      <c r="BE136" s="208" t="s">
        <v>1133</v>
      </c>
      <c r="BF136" s="208">
        <v>1.6983718618925832</v>
      </c>
      <c r="BG136" s="208">
        <v>70.7683340582862</v>
      </c>
      <c r="BH136" s="208">
        <v>62.090454091816362</v>
      </c>
      <c r="BI136" s="208">
        <v>24.691500000000001</v>
      </c>
      <c r="BJ136" s="407">
        <v>0.4443888824744629</v>
      </c>
      <c r="BK136" s="208" t="s">
        <v>1130</v>
      </c>
      <c r="BL136" s="208" t="s">
        <v>1136</v>
      </c>
    </row>
    <row r="137" spans="1:64" s="208" customFormat="1" ht="20.25" customHeight="1" thickBot="1" x14ac:dyDescent="0.35">
      <c r="A137" s="216" t="s">
        <v>146</v>
      </c>
      <c r="B137" s="208" t="s">
        <v>81</v>
      </c>
      <c r="C137" s="208">
        <v>22</v>
      </c>
      <c r="D137" s="208" t="s">
        <v>1240</v>
      </c>
      <c r="E137" s="208" t="s">
        <v>45</v>
      </c>
      <c r="F137" s="208" t="s">
        <v>46</v>
      </c>
      <c r="G137" s="208" t="s">
        <v>47</v>
      </c>
      <c r="H137" s="208">
        <v>-7.66289</v>
      </c>
      <c r="I137" s="208" t="s">
        <v>83</v>
      </c>
      <c r="J137" s="208" t="s">
        <v>84</v>
      </c>
      <c r="L137" s="217">
        <v>44776</v>
      </c>
      <c r="M137" s="218">
        <v>44791</v>
      </c>
      <c r="N137" s="208">
        <v>8.19</v>
      </c>
      <c r="O137" s="208">
        <v>0.59</v>
      </c>
      <c r="U137" s="356">
        <f>10.92*O137</f>
        <v>6.4427999999999992</v>
      </c>
      <c r="V137" s="356"/>
      <c r="W137" s="356"/>
      <c r="X137" s="208">
        <v>24</v>
      </c>
      <c r="Y137" s="208">
        <v>40</v>
      </c>
      <c r="Z137" s="208">
        <v>36</v>
      </c>
      <c r="AA137" s="247" t="s">
        <v>883</v>
      </c>
      <c r="AB137" s="247" t="s">
        <v>888</v>
      </c>
      <c r="AC137" s="219">
        <v>3.48</v>
      </c>
      <c r="AD137" s="220">
        <v>0.17</v>
      </c>
      <c r="AE137" s="222">
        <v>41.49</v>
      </c>
      <c r="AF137" s="222">
        <v>488.01</v>
      </c>
      <c r="AG137" s="435">
        <v>708</v>
      </c>
      <c r="AH137" s="30">
        <v>525.26520000000005</v>
      </c>
      <c r="AI137" s="435">
        <v>6025</v>
      </c>
      <c r="AJ137" s="30">
        <v>4306.0675000000001</v>
      </c>
      <c r="AK137" s="435">
        <v>1565</v>
      </c>
      <c r="AL137" s="30">
        <v>943.69499999999994</v>
      </c>
      <c r="AM137" s="238">
        <v>10.252358841162076</v>
      </c>
      <c r="AN137" s="238" t="s">
        <v>1000</v>
      </c>
      <c r="AO137" s="208">
        <v>1.0899999999999999</v>
      </c>
      <c r="AP137" s="208">
        <v>12.67</v>
      </c>
      <c r="AQ137" s="208">
        <v>3.04</v>
      </c>
      <c r="AR137" s="208">
        <v>1.07</v>
      </c>
      <c r="AV137" s="219">
        <v>0.50009999999999999</v>
      </c>
      <c r="AW137" s="448">
        <v>0.58601925491837581</v>
      </c>
      <c r="AX137" s="224"/>
      <c r="AY137" s="225"/>
      <c r="AZ137" s="208">
        <v>1.0359291560102302</v>
      </c>
      <c r="BA137" s="208">
        <v>2.2837617391304348</v>
      </c>
      <c r="BB137" s="208">
        <v>21.517857142857142</v>
      </c>
      <c r="BC137" s="208">
        <v>7.7670370370370359</v>
      </c>
      <c r="BD137" s="208">
        <v>0.59682081454931957</v>
      </c>
      <c r="BE137" s="208" t="s">
        <v>1125</v>
      </c>
      <c r="BF137" s="208">
        <v>1.036053966751918</v>
      </c>
      <c r="BG137" s="208">
        <v>2.2789038712483687</v>
      </c>
      <c r="BH137" s="208">
        <v>21.487362774451096</v>
      </c>
      <c r="BI137" s="208">
        <v>5.5401000000000007</v>
      </c>
      <c r="BJ137" s="407">
        <v>7.5106198689803685E-2</v>
      </c>
      <c r="BK137" s="208" t="s">
        <v>1126</v>
      </c>
      <c r="BL137" s="208" t="s">
        <v>1136</v>
      </c>
    </row>
    <row r="138" spans="1:64" s="208" customFormat="1" ht="20.25" customHeight="1" thickBot="1" x14ac:dyDescent="0.35">
      <c r="A138" s="216" t="s">
        <v>147</v>
      </c>
      <c r="B138" s="208" t="s">
        <v>81</v>
      </c>
      <c r="C138" s="208">
        <v>24</v>
      </c>
      <c r="D138" s="208" t="s">
        <v>1240</v>
      </c>
      <c r="E138" s="208" t="s">
        <v>45</v>
      </c>
      <c r="F138" s="208" t="s">
        <v>46</v>
      </c>
      <c r="G138" s="208" t="s">
        <v>48</v>
      </c>
      <c r="H138" s="208">
        <v>-7.661562</v>
      </c>
      <c r="I138" s="208" t="s">
        <v>83</v>
      </c>
      <c r="J138" s="208" t="s">
        <v>84</v>
      </c>
      <c r="L138" s="217">
        <v>44776</v>
      </c>
      <c r="M138" s="218">
        <v>44791</v>
      </c>
      <c r="N138" s="208">
        <v>8.32</v>
      </c>
      <c r="O138" s="208">
        <v>0.1</v>
      </c>
      <c r="U138" s="356">
        <f t="shared" ref="U138:U140" si="21">O138*12.43</f>
        <v>1.2430000000000001</v>
      </c>
      <c r="V138" s="356"/>
      <c r="W138" s="356"/>
      <c r="X138" s="208">
        <v>16</v>
      </c>
      <c r="Y138" s="208">
        <v>20</v>
      </c>
      <c r="Z138" s="208">
        <v>64</v>
      </c>
      <c r="AA138" s="247" t="s">
        <v>886</v>
      </c>
      <c r="AB138" s="247" t="s">
        <v>881</v>
      </c>
      <c r="AC138" s="219">
        <v>0.74</v>
      </c>
      <c r="AD138" s="220">
        <v>0.06</v>
      </c>
      <c r="AE138" s="222">
        <v>31.82</v>
      </c>
      <c r="AF138" s="222">
        <v>279.31</v>
      </c>
      <c r="AG138" s="436">
        <v>68</v>
      </c>
      <c r="AH138" s="30">
        <v>50.449199999999998</v>
      </c>
      <c r="AI138" s="436">
        <v>2106</v>
      </c>
      <c r="AJ138" s="30">
        <v>1505.1582000000001</v>
      </c>
      <c r="AK138" s="436">
        <v>316</v>
      </c>
      <c r="AL138" s="30">
        <v>190.548</v>
      </c>
      <c r="AM138" s="238">
        <v>1.7325827158223914</v>
      </c>
      <c r="AN138" s="238" t="s">
        <v>1000</v>
      </c>
      <c r="AO138" s="208">
        <v>0.63</v>
      </c>
      <c r="AP138" s="208">
        <v>9.4499999999999993</v>
      </c>
      <c r="AQ138" s="208">
        <v>3.0700000000000003</v>
      </c>
      <c r="AR138" s="208">
        <v>0.3</v>
      </c>
      <c r="AV138" s="219">
        <v>0.32400000000000001</v>
      </c>
      <c r="AW138" s="448">
        <v>0.11725293132328306</v>
      </c>
      <c r="AX138" s="224"/>
      <c r="AY138" s="225"/>
      <c r="AZ138" s="208">
        <v>0.59290869565217386</v>
      </c>
      <c r="BA138" s="208">
        <v>0.21934434782608694</v>
      </c>
      <c r="BB138" s="208">
        <v>7.5214285714285705</v>
      </c>
      <c r="BC138" s="208">
        <v>1.5682962962962963</v>
      </c>
      <c r="BD138" s="208">
        <v>0.10288832015579463</v>
      </c>
      <c r="BE138" s="208" t="s">
        <v>1125</v>
      </c>
      <c r="BF138" s="208">
        <v>0.59298013043478259</v>
      </c>
      <c r="BG138" s="208">
        <v>0.21887777294475858</v>
      </c>
      <c r="BH138" s="208">
        <v>7.5107694610778442</v>
      </c>
      <c r="BI138" s="208">
        <v>1.1186400000000001</v>
      </c>
      <c r="BJ138" s="407">
        <v>2.3183092321773058E-2</v>
      </c>
      <c r="BK138" s="208" t="s">
        <v>1126</v>
      </c>
      <c r="BL138" s="208" t="s">
        <v>1135</v>
      </c>
    </row>
    <row r="139" spans="1:64" s="208" customFormat="1" ht="20.25" customHeight="1" thickBot="1" x14ac:dyDescent="0.35">
      <c r="A139" s="216" t="s">
        <v>148</v>
      </c>
      <c r="B139" s="208" t="s">
        <v>81</v>
      </c>
      <c r="C139" s="208">
        <v>27</v>
      </c>
      <c r="D139" s="208" t="s">
        <v>1240</v>
      </c>
      <c r="E139" s="208" t="s">
        <v>45</v>
      </c>
      <c r="F139" s="208" t="s">
        <v>46</v>
      </c>
      <c r="G139" s="208" t="s">
        <v>49</v>
      </c>
      <c r="H139" s="208">
        <v>-7.6651199999999999</v>
      </c>
      <c r="I139" s="208" t="s">
        <v>83</v>
      </c>
      <c r="J139" s="208" t="s">
        <v>84</v>
      </c>
      <c r="L139" s="217">
        <v>44776</v>
      </c>
      <c r="M139" s="218">
        <v>44791</v>
      </c>
      <c r="N139" s="208">
        <v>7.81</v>
      </c>
      <c r="O139" s="208">
        <v>0.33</v>
      </c>
      <c r="U139" s="356">
        <f t="shared" si="21"/>
        <v>4.1018999999999997</v>
      </c>
      <c r="V139" s="356"/>
      <c r="W139" s="356"/>
      <c r="X139" s="208">
        <v>20</v>
      </c>
      <c r="Y139" s="208">
        <v>20</v>
      </c>
      <c r="Z139" s="208">
        <v>60</v>
      </c>
      <c r="AA139" s="247" t="s">
        <v>886</v>
      </c>
      <c r="AB139" s="247" t="s">
        <v>881</v>
      </c>
      <c r="AC139" s="219">
        <v>4.7300000000000004</v>
      </c>
      <c r="AD139" s="220">
        <v>0.18</v>
      </c>
      <c r="AE139" s="222">
        <v>390.39</v>
      </c>
      <c r="AF139" s="222">
        <v>1144.1600000000001</v>
      </c>
      <c r="AG139" s="436">
        <v>431</v>
      </c>
      <c r="AH139" s="30">
        <v>319.75889999999998</v>
      </c>
      <c r="AI139" s="436">
        <v>3251</v>
      </c>
      <c r="AJ139" s="30">
        <v>2323.4897000000001</v>
      </c>
      <c r="AK139" s="436">
        <v>1620</v>
      </c>
      <c r="AL139" s="30">
        <v>976.86</v>
      </c>
      <c r="AM139" s="238">
        <v>7.8715028916428293</v>
      </c>
      <c r="AN139" s="238" t="s">
        <v>1000</v>
      </c>
      <c r="AO139" s="208">
        <v>2.04</v>
      </c>
      <c r="AP139" s="208">
        <v>64.52</v>
      </c>
      <c r="AQ139" s="208">
        <v>16.13</v>
      </c>
      <c r="AR139" s="208">
        <v>7.1</v>
      </c>
      <c r="AV139" s="219">
        <v>0.54110000000000003</v>
      </c>
      <c r="AW139" s="448">
        <v>0.33449477351916379</v>
      </c>
      <c r="AX139" s="224"/>
      <c r="AY139" s="225"/>
      <c r="AZ139" s="208">
        <v>2.428779539641944</v>
      </c>
      <c r="BA139" s="208">
        <v>1.3902560869565217</v>
      </c>
      <c r="BB139" s="208">
        <v>11.610714285714286</v>
      </c>
      <c r="BC139" s="208">
        <v>8.0400000000000009</v>
      </c>
      <c r="BD139" s="208">
        <v>0.44352758162149375</v>
      </c>
      <c r="BE139" s="208" t="s">
        <v>1125</v>
      </c>
      <c r="BF139" s="208">
        <v>2.4290721636828643</v>
      </c>
      <c r="BG139" s="208">
        <v>1.3872988255763374</v>
      </c>
      <c r="BH139" s="208">
        <v>11.59425998003992</v>
      </c>
      <c r="BI139" s="208">
        <v>5.7347999999999999</v>
      </c>
      <c r="BJ139" s="407">
        <v>6.560749826241638E-2</v>
      </c>
      <c r="BK139" s="208" t="s">
        <v>1126</v>
      </c>
      <c r="BL139" s="208" t="s">
        <v>1135</v>
      </c>
    </row>
    <row r="140" spans="1:64" s="208" customFormat="1" ht="20.25" customHeight="1" thickBot="1" x14ac:dyDescent="0.35">
      <c r="A140" s="216" t="s">
        <v>149</v>
      </c>
      <c r="B140" s="208" t="s">
        <v>81</v>
      </c>
      <c r="C140" s="208">
        <v>33</v>
      </c>
      <c r="D140" s="208" t="s">
        <v>1240</v>
      </c>
      <c r="E140" s="208" t="s">
        <v>50</v>
      </c>
      <c r="G140" s="208" t="s">
        <v>51</v>
      </c>
      <c r="H140" s="208">
        <v>-7.5998000000000001</v>
      </c>
      <c r="I140" s="208" t="s">
        <v>138</v>
      </c>
      <c r="J140" s="208" t="s">
        <v>84</v>
      </c>
      <c r="L140" s="217">
        <v>44776</v>
      </c>
      <c r="M140" s="218">
        <v>44791</v>
      </c>
      <c r="N140" s="208">
        <v>8.51</v>
      </c>
      <c r="O140" s="208">
        <v>0.26</v>
      </c>
      <c r="U140" s="356">
        <f t="shared" si="21"/>
        <v>3.2318000000000002</v>
      </c>
      <c r="V140" s="356"/>
      <c r="W140" s="356"/>
      <c r="X140" s="208">
        <v>14</v>
      </c>
      <c r="Y140" s="208">
        <v>28</v>
      </c>
      <c r="Z140" s="208">
        <v>58</v>
      </c>
      <c r="AA140" s="247" t="s">
        <v>886</v>
      </c>
      <c r="AB140" s="247" t="s">
        <v>881</v>
      </c>
      <c r="AC140" s="219">
        <v>5.6</v>
      </c>
      <c r="AD140" s="208">
        <v>0.24</v>
      </c>
      <c r="AE140" s="222">
        <v>39.729999999999997</v>
      </c>
      <c r="AF140" s="222">
        <v>605.5</v>
      </c>
      <c r="AG140" s="436">
        <v>422</v>
      </c>
      <c r="AH140" s="30">
        <v>313.08179999999999</v>
      </c>
      <c r="AI140" s="436">
        <v>9170</v>
      </c>
      <c r="AJ140" s="30">
        <v>6553.799</v>
      </c>
      <c r="AK140" s="436">
        <v>1619</v>
      </c>
      <c r="AL140" s="30">
        <v>976.25699999999995</v>
      </c>
      <c r="AM140" s="238">
        <v>5.1023907769765975</v>
      </c>
      <c r="AN140" s="238" t="s">
        <v>1000</v>
      </c>
      <c r="AO140" s="208">
        <v>0.87</v>
      </c>
      <c r="AP140" s="208">
        <v>15.049999999999999</v>
      </c>
      <c r="AQ140" s="208">
        <v>2.7199999999999998</v>
      </c>
      <c r="AR140" s="208">
        <v>3.1799999999999997</v>
      </c>
      <c r="AV140" s="219">
        <v>0.54110000000000003</v>
      </c>
      <c r="AW140" s="448">
        <v>7.287617990005554</v>
      </c>
      <c r="AX140" s="224"/>
      <c r="AY140" s="225"/>
      <c r="AZ140" s="208">
        <v>1.2853324808184143</v>
      </c>
      <c r="BA140" s="208">
        <v>1.3612252173913044</v>
      </c>
      <c r="BB140" s="208">
        <v>32.75</v>
      </c>
      <c r="BC140" s="208">
        <v>8.0350370370370356</v>
      </c>
      <c r="BD140" s="208">
        <v>0.3014356079824731</v>
      </c>
      <c r="BE140" s="208" t="s">
        <v>1125</v>
      </c>
      <c r="BF140" s="208">
        <v>1.2854873401534526</v>
      </c>
      <c r="BG140" s="208">
        <v>1.358329708568943</v>
      </c>
      <c r="BH140" s="208">
        <v>32.703587824351295</v>
      </c>
      <c r="BI140" s="208">
        <v>5.7312600000000007</v>
      </c>
      <c r="BJ140" s="407">
        <v>3.3066549576670955E-2</v>
      </c>
      <c r="BK140" s="208" t="s">
        <v>1126</v>
      </c>
      <c r="BL140" s="208" t="s">
        <v>1135</v>
      </c>
    </row>
    <row r="141" spans="1:64" s="227" customFormat="1" ht="20.25" customHeight="1" thickBot="1" x14ac:dyDescent="0.35">
      <c r="A141" s="226" t="s">
        <v>150</v>
      </c>
      <c r="B141" s="227" t="s">
        <v>81</v>
      </c>
      <c r="C141" s="227">
        <v>36</v>
      </c>
      <c r="D141" s="227" t="s">
        <v>1240</v>
      </c>
      <c r="E141" s="227" t="s">
        <v>50</v>
      </c>
      <c r="G141" s="227" t="s">
        <v>52</v>
      </c>
      <c r="H141" s="227">
        <v>-7.6001649999999996</v>
      </c>
      <c r="I141" s="227" t="s">
        <v>138</v>
      </c>
      <c r="J141" s="227" t="s">
        <v>84</v>
      </c>
      <c r="L141" s="228">
        <v>44776</v>
      </c>
      <c r="M141" s="229">
        <v>44791</v>
      </c>
      <c r="N141" s="227">
        <v>8.64</v>
      </c>
      <c r="O141" s="227">
        <v>0.56000000000000005</v>
      </c>
      <c r="S141" s="378"/>
      <c r="T141" s="378"/>
      <c r="U141" s="354">
        <f t="shared" ref="U141:U143" si="22">O141*9.63</f>
        <v>5.3928000000000011</v>
      </c>
      <c r="V141" s="358"/>
      <c r="W141" s="358"/>
      <c r="X141" s="227">
        <v>30</v>
      </c>
      <c r="Y141" s="227">
        <v>28</v>
      </c>
      <c r="Z141" s="227">
        <v>42</v>
      </c>
      <c r="AA141" s="247" t="s">
        <v>882</v>
      </c>
      <c r="AB141" s="247" t="s">
        <v>878</v>
      </c>
      <c r="AC141" s="230">
        <v>3.18</v>
      </c>
      <c r="AD141" s="227">
        <v>0.13</v>
      </c>
      <c r="AE141" s="231">
        <v>33.19</v>
      </c>
      <c r="AF141" s="231">
        <v>773</v>
      </c>
      <c r="AG141" s="440">
        <v>895</v>
      </c>
      <c r="AH141" s="30">
        <v>664.00049999999999</v>
      </c>
      <c r="AI141" s="440">
        <v>5536</v>
      </c>
      <c r="AJ141" s="30">
        <v>3956.5792000000001</v>
      </c>
      <c r="AK141" s="440">
        <v>1556</v>
      </c>
      <c r="AL141" s="30">
        <v>938.26799999999992</v>
      </c>
      <c r="AM141" s="238">
        <v>13.421894927041938</v>
      </c>
      <c r="AN141" s="339" t="s">
        <v>999</v>
      </c>
      <c r="AO141" s="227">
        <v>0.99</v>
      </c>
      <c r="AP141" s="227">
        <v>9.26</v>
      </c>
      <c r="AQ141" s="227">
        <v>2.81</v>
      </c>
      <c r="AR141" s="227">
        <v>0.94</v>
      </c>
      <c r="AV141" s="230">
        <v>0.45390000000000003</v>
      </c>
      <c r="AW141" s="450">
        <v>0.58512120367790466</v>
      </c>
      <c r="AX141" s="232"/>
      <c r="AY141" s="233"/>
      <c r="AZ141" s="227">
        <v>1.6408951406649614</v>
      </c>
      <c r="BA141" s="227">
        <v>2.8869586956521736</v>
      </c>
      <c r="BB141" s="227">
        <v>19.771428571428572</v>
      </c>
      <c r="BC141" s="227">
        <v>7.7223703703703697</v>
      </c>
      <c r="BD141" s="227">
        <v>0.77864265641201225</v>
      </c>
      <c r="BE141" s="227" t="s">
        <v>1125</v>
      </c>
      <c r="BF141" s="227">
        <v>1.6410928388746802</v>
      </c>
      <c r="BG141" s="227">
        <v>2.8808177468464549</v>
      </c>
      <c r="BH141" s="227">
        <v>19.743409181636725</v>
      </c>
      <c r="BI141" s="227">
        <v>5.5082400000000007</v>
      </c>
      <c r="BJ141" s="408">
        <v>9.6757585231875082E-2</v>
      </c>
      <c r="BK141" s="227" t="s">
        <v>1126</v>
      </c>
      <c r="BL141" s="227" t="s">
        <v>1136</v>
      </c>
    </row>
    <row r="142" spans="1:64" s="235" customFormat="1" ht="20.25" customHeight="1" thickBot="1" x14ac:dyDescent="0.35">
      <c r="A142" s="234" t="s">
        <v>536</v>
      </c>
      <c r="B142" s="235" t="s">
        <v>81</v>
      </c>
      <c r="C142" s="236" t="s">
        <v>511</v>
      </c>
      <c r="D142" s="236" t="s">
        <v>1240</v>
      </c>
      <c r="G142" s="235" t="s">
        <v>614</v>
      </c>
      <c r="H142" s="235" t="s">
        <v>615</v>
      </c>
      <c r="I142" s="235" t="s">
        <v>138</v>
      </c>
      <c r="J142" s="235" t="s">
        <v>84</v>
      </c>
      <c r="L142" s="237">
        <v>44819</v>
      </c>
      <c r="M142" s="237">
        <v>44860</v>
      </c>
      <c r="N142" s="235">
        <v>8.32</v>
      </c>
      <c r="O142" s="235">
        <v>12.85</v>
      </c>
      <c r="R142" s="29">
        <v>136.19999999999999</v>
      </c>
      <c r="S142" s="29">
        <f>LOG10(O142)</f>
        <v>1.1089031276673134</v>
      </c>
      <c r="T142" s="29">
        <f>LOG10(R142)</f>
        <v>2.1341771075767664</v>
      </c>
      <c r="U142" s="354">
        <f t="shared" si="22"/>
        <v>123.74550000000001</v>
      </c>
      <c r="V142" s="354">
        <f>9.0013*O142+4.2416</f>
        <v>119.90830500000001</v>
      </c>
      <c r="W142" s="354">
        <f>9.347*O142</f>
        <v>120.10894999999999</v>
      </c>
      <c r="X142" s="238">
        <v>28</v>
      </c>
      <c r="Y142" s="238">
        <v>28</v>
      </c>
      <c r="Z142" s="238">
        <v>44</v>
      </c>
      <c r="AA142" s="239" t="s">
        <v>882</v>
      </c>
      <c r="AB142" s="239" t="s">
        <v>878</v>
      </c>
      <c r="AC142" s="240">
        <v>0.80600000000000005</v>
      </c>
      <c r="AD142" s="240">
        <v>6.0374999999999998E-2</v>
      </c>
      <c r="AE142" s="238">
        <v>59.84</v>
      </c>
      <c r="AF142" s="241">
        <v>426.92</v>
      </c>
      <c r="AG142" s="434">
        <v>27849</v>
      </c>
      <c r="AH142" s="30">
        <v>20661.1731</v>
      </c>
      <c r="AI142" s="434">
        <v>9723</v>
      </c>
      <c r="AJ142" s="30">
        <v>6949.0281000000004</v>
      </c>
      <c r="AK142" s="434">
        <v>1411</v>
      </c>
      <c r="AL142" s="30">
        <v>850.83299999999997</v>
      </c>
      <c r="AM142" s="238">
        <v>330.84649621445033</v>
      </c>
      <c r="AN142" s="339" t="s">
        <v>997</v>
      </c>
      <c r="AO142" s="29">
        <v>0.99</v>
      </c>
      <c r="AP142" s="29">
        <v>16.21</v>
      </c>
      <c r="AQ142" s="29">
        <v>4.8600000000000003</v>
      </c>
      <c r="AR142" s="29">
        <v>0.75</v>
      </c>
      <c r="AS142" s="242" t="s">
        <v>561</v>
      </c>
      <c r="AT142" s="243">
        <v>26.42</v>
      </c>
      <c r="AU142" s="235">
        <v>23638.34</v>
      </c>
      <c r="AV142" s="240">
        <v>1.87</v>
      </c>
      <c r="AW142" s="447">
        <v>7.59651307596513</v>
      </c>
      <c r="AX142" s="244"/>
      <c r="AY142" s="245"/>
      <c r="AZ142" s="235">
        <v>0.90624961636828638</v>
      </c>
      <c r="BA142" s="235">
        <v>89.831187391304354</v>
      </c>
      <c r="BB142" s="235">
        <v>34.725000000000001</v>
      </c>
      <c r="BC142" s="235">
        <v>7.00274074074074</v>
      </c>
      <c r="BD142" s="235">
        <v>19.666618912053774</v>
      </c>
      <c r="BE142" s="235" t="s">
        <v>1128</v>
      </c>
      <c r="BF142" s="235">
        <v>0.90635880306905359</v>
      </c>
      <c r="BG142" s="235">
        <v>89.640104393214429</v>
      </c>
      <c r="BH142" s="235">
        <v>34.675788922155689</v>
      </c>
      <c r="BI142" s="235">
        <v>4.9949400000000006</v>
      </c>
      <c r="BJ142" s="409">
        <v>0.68838916685964302</v>
      </c>
      <c r="BK142" s="235" t="s">
        <v>1129</v>
      </c>
      <c r="BL142" s="235" t="s">
        <v>1136</v>
      </c>
    </row>
    <row r="143" spans="1:64" s="247" customFormat="1" ht="20.25" customHeight="1" thickBot="1" x14ac:dyDescent="0.35">
      <c r="A143" s="246" t="s">
        <v>537</v>
      </c>
      <c r="B143" s="247" t="s">
        <v>81</v>
      </c>
      <c r="C143" s="248" t="s">
        <v>512</v>
      </c>
      <c r="D143" s="248" t="s">
        <v>1241</v>
      </c>
      <c r="G143" s="247" t="s">
        <v>614</v>
      </c>
      <c r="H143" s="247" t="s">
        <v>615</v>
      </c>
      <c r="I143" s="247" t="s">
        <v>138</v>
      </c>
      <c r="J143" s="247" t="s">
        <v>84</v>
      </c>
      <c r="L143" s="249">
        <v>44819</v>
      </c>
      <c r="M143" s="249">
        <v>44860</v>
      </c>
      <c r="N143" s="247">
        <v>8.1199999999999992</v>
      </c>
      <c r="O143" s="247">
        <v>11.12</v>
      </c>
      <c r="R143" s="44">
        <v>117.5</v>
      </c>
      <c r="S143" s="29">
        <f t="shared" ref="S143:S167" si="23">LOG10(O143)</f>
        <v>1.0461047872460387</v>
      </c>
      <c r="T143" s="29">
        <f t="shared" ref="T143:T167" si="24">LOG10(R143)</f>
        <v>2.070037866607755</v>
      </c>
      <c r="U143" s="354">
        <f t="shared" si="22"/>
        <v>107.0856</v>
      </c>
      <c r="V143" s="354">
        <f>9.0013*O143+4.2416</f>
        <v>104.336056</v>
      </c>
      <c r="W143" s="354">
        <f>9.347*O143</f>
        <v>103.93863999999999</v>
      </c>
      <c r="X143" s="239">
        <v>34</v>
      </c>
      <c r="Y143" s="239">
        <v>26</v>
      </c>
      <c r="Z143" s="239">
        <v>40</v>
      </c>
      <c r="AA143" s="239" t="s">
        <v>882</v>
      </c>
      <c r="AB143" s="239" t="s">
        <v>878</v>
      </c>
      <c r="AC143" s="250">
        <v>1.0089999999999999</v>
      </c>
      <c r="AD143" s="250">
        <v>6.3062499999999994E-2</v>
      </c>
      <c r="AE143" s="239">
        <v>35.520000000000003</v>
      </c>
      <c r="AF143" s="251">
        <v>607.12</v>
      </c>
      <c r="AG143" s="435">
        <v>17888</v>
      </c>
      <c r="AH143" s="30">
        <v>13271.1072</v>
      </c>
      <c r="AI143" s="435">
        <v>10947</v>
      </c>
      <c r="AJ143" s="30">
        <v>7823.8208999999997</v>
      </c>
      <c r="AK143" s="435">
        <v>3138</v>
      </c>
      <c r="AL143" s="30">
        <v>1892.2139999999999</v>
      </c>
      <c r="AM143" s="238">
        <v>190.40468142739346</v>
      </c>
      <c r="AN143" s="339" t="s">
        <v>997</v>
      </c>
      <c r="AO143" s="44">
        <v>0.88</v>
      </c>
      <c r="AP143" s="44">
        <v>4.88</v>
      </c>
      <c r="AQ143" s="44">
        <v>2.83</v>
      </c>
      <c r="AR143" s="44">
        <v>0.65</v>
      </c>
      <c r="AS143" s="252" t="s">
        <v>561</v>
      </c>
      <c r="AT143" s="253">
        <v>26.07</v>
      </c>
      <c r="AU143" s="247">
        <v>20383.46</v>
      </c>
      <c r="AV143" s="250">
        <v>1.78</v>
      </c>
      <c r="AW143" s="448">
        <v>5.5926544240400666</v>
      </c>
      <c r="AX143" s="254"/>
      <c r="AY143" s="255"/>
      <c r="AZ143" s="247">
        <v>1.288771355498721</v>
      </c>
      <c r="BA143" s="247">
        <v>57.700466086956524</v>
      </c>
      <c r="BB143" s="247">
        <v>39.096428571428575</v>
      </c>
      <c r="BC143" s="247">
        <v>15.573777777777776</v>
      </c>
      <c r="BD143" s="247">
        <v>11.036184760683048</v>
      </c>
      <c r="BE143" s="247" t="s">
        <v>1133</v>
      </c>
      <c r="BF143" s="247">
        <v>1.2889266291560102</v>
      </c>
      <c r="BG143" s="247">
        <v>57.577729447585902</v>
      </c>
      <c r="BH143" s="247">
        <v>39.041022455089816</v>
      </c>
      <c r="BI143" s="247">
        <v>11.10852</v>
      </c>
      <c r="BJ143" s="410">
        <v>0.52815756028012428</v>
      </c>
      <c r="BK143" s="247" t="s">
        <v>1129</v>
      </c>
      <c r="BL143" s="247" t="s">
        <v>1136</v>
      </c>
    </row>
    <row r="144" spans="1:64" s="247" customFormat="1" ht="20.25" customHeight="1" thickBot="1" x14ac:dyDescent="0.35">
      <c r="A144" s="246" t="s">
        <v>538</v>
      </c>
      <c r="B144" s="247" t="s">
        <v>81</v>
      </c>
      <c r="C144" s="248" t="s">
        <v>513</v>
      </c>
      <c r="D144" s="248" t="s">
        <v>1240</v>
      </c>
      <c r="G144" s="247" t="s">
        <v>616</v>
      </c>
      <c r="H144" s="247" t="s">
        <v>617</v>
      </c>
      <c r="I144" s="247" t="s">
        <v>138</v>
      </c>
      <c r="J144" s="247" t="s">
        <v>84</v>
      </c>
      <c r="L144" s="249">
        <v>44819</v>
      </c>
      <c r="M144" s="249">
        <v>44860</v>
      </c>
      <c r="N144" s="247">
        <v>8.44</v>
      </c>
      <c r="O144" s="247">
        <v>7.74</v>
      </c>
      <c r="R144" s="256">
        <v>84.9</v>
      </c>
      <c r="S144" s="29">
        <f t="shared" si="23"/>
        <v>0.88874096068289266</v>
      </c>
      <c r="T144" s="29">
        <f t="shared" si="24"/>
        <v>1.9289076902439528</v>
      </c>
      <c r="U144" s="362">
        <f>O144*5.25</f>
        <v>40.634999999999998</v>
      </c>
      <c r="V144" s="363">
        <f>5.3954*O144+8.0586</f>
        <v>49.818996000000006</v>
      </c>
      <c r="W144" s="363">
        <f>O144*5.8798</f>
        <v>45.509652000000003</v>
      </c>
      <c r="X144" s="239">
        <v>42</v>
      </c>
      <c r="Y144" s="239">
        <v>24</v>
      </c>
      <c r="Z144" s="239">
        <v>34</v>
      </c>
      <c r="AA144" s="239" t="s">
        <v>876</v>
      </c>
      <c r="AB144" s="239" t="s">
        <v>877</v>
      </c>
      <c r="AC144" s="250">
        <v>0.25800000000000001</v>
      </c>
      <c r="AD144" s="250">
        <v>4.2500000000000003E-2</v>
      </c>
      <c r="AE144" s="251">
        <v>95.08</v>
      </c>
      <c r="AF144" s="251">
        <v>516.66999999999996</v>
      </c>
      <c r="AG144" s="435">
        <v>13095</v>
      </c>
      <c r="AH144" s="30">
        <v>9715.1805000000004</v>
      </c>
      <c r="AI144" s="435">
        <v>9072</v>
      </c>
      <c r="AJ144" s="30">
        <v>6483.7583999999997</v>
      </c>
      <c r="AK144" s="435">
        <v>1503</v>
      </c>
      <c r="AL144" s="30">
        <v>906.30899999999997</v>
      </c>
      <c r="AM144" s="238">
        <v>159.82388084781573</v>
      </c>
      <c r="AN144" s="339" t="s">
        <v>997</v>
      </c>
      <c r="AO144" s="44">
        <v>1.32</v>
      </c>
      <c r="AP144" s="44">
        <v>9.1199999999999992</v>
      </c>
      <c r="AQ144" s="44">
        <v>6.11</v>
      </c>
      <c r="AR144" s="44">
        <v>0.45</v>
      </c>
      <c r="AS144" s="247" t="s">
        <v>561</v>
      </c>
      <c r="AT144" s="253">
        <v>22.73</v>
      </c>
      <c r="AU144" s="247">
        <v>14496.16</v>
      </c>
      <c r="AV144" s="44">
        <v>2.0099999999999998</v>
      </c>
      <c r="AW144" s="448">
        <v>3.9587973273942088</v>
      </c>
      <c r="AX144" s="254"/>
      <c r="AY144" s="255"/>
      <c r="AZ144" s="247">
        <v>1.0967675191815853</v>
      </c>
      <c r="BA144" s="247">
        <v>42.239915217391307</v>
      </c>
      <c r="BB144" s="247">
        <v>32.4</v>
      </c>
      <c r="BC144" s="247">
        <v>7.4593333333333325</v>
      </c>
      <c r="BD144" s="247">
        <v>9.4617838012866269</v>
      </c>
      <c r="BE144" s="247" t="s">
        <v>1125</v>
      </c>
      <c r="BF144" s="247">
        <v>1.0968996598465472</v>
      </c>
      <c r="BG144" s="247">
        <v>42.150065245759023</v>
      </c>
      <c r="BH144" s="247">
        <v>32.354083832335327</v>
      </c>
      <c r="BI144" s="247">
        <v>5.3206199999999999</v>
      </c>
      <c r="BJ144" s="410">
        <v>0.52087488929892223</v>
      </c>
      <c r="BK144" s="247" t="s">
        <v>1129</v>
      </c>
      <c r="BL144" s="247" t="s">
        <v>1136</v>
      </c>
    </row>
    <row r="145" spans="1:64" s="247" customFormat="1" ht="20.25" customHeight="1" thickBot="1" x14ac:dyDescent="0.35">
      <c r="A145" s="246" t="s">
        <v>539</v>
      </c>
      <c r="B145" s="247" t="s">
        <v>81</v>
      </c>
      <c r="C145" s="248" t="s">
        <v>514</v>
      </c>
      <c r="D145" s="248" t="s">
        <v>1241</v>
      </c>
      <c r="G145" s="247" t="s">
        <v>616</v>
      </c>
      <c r="H145" s="247" t="s">
        <v>617</v>
      </c>
      <c r="I145" s="247" t="s">
        <v>138</v>
      </c>
      <c r="J145" s="247" t="s">
        <v>84</v>
      </c>
      <c r="L145" s="249">
        <v>44819</v>
      </c>
      <c r="M145" s="249">
        <v>44860</v>
      </c>
      <c r="N145" s="247">
        <v>8.19</v>
      </c>
      <c r="O145" s="247">
        <v>10.45</v>
      </c>
      <c r="R145" s="44">
        <v>94.37</v>
      </c>
      <c r="S145" s="29">
        <f t="shared" si="23"/>
        <v>1.0191162904470727</v>
      </c>
      <c r="T145" s="29">
        <f t="shared" si="24"/>
        <v>1.9748339550485401</v>
      </c>
      <c r="U145" s="356">
        <f>O145*9.63</f>
        <v>100.6335</v>
      </c>
      <c r="V145" s="354">
        <f>9.0013*O145+4.2416</f>
        <v>98.305185000000009</v>
      </c>
      <c r="W145" s="354">
        <f>9.347*O145</f>
        <v>97.676149999999993</v>
      </c>
      <c r="X145" s="239">
        <v>40</v>
      </c>
      <c r="Y145" s="239">
        <v>22</v>
      </c>
      <c r="Z145" s="239">
        <v>38</v>
      </c>
      <c r="AA145" s="239" t="s">
        <v>882</v>
      </c>
      <c r="AB145" s="239" t="s">
        <v>878</v>
      </c>
      <c r="AC145" s="44">
        <v>0.69399999999999995</v>
      </c>
      <c r="AD145" s="44">
        <v>4.3374999999999997E-2</v>
      </c>
      <c r="AE145" s="251">
        <v>69.63</v>
      </c>
      <c r="AF145" s="251">
        <v>505.14</v>
      </c>
      <c r="AG145" s="436">
        <v>20582</v>
      </c>
      <c r="AH145" s="30">
        <v>15269.7858</v>
      </c>
      <c r="AI145" s="436">
        <v>10761</v>
      </c>
      <c r="AJ145" s="30">
        <v>7690.8867</v>
      </c>
      <c r="AK145" s="436">
        <v>3111</v>
      </c>
      <c r="AL145" s="30">
        <v>1875.933</v>
      </c>
      <c r="AM145" s="238">
        <v>220.78224657277619</v>
      </c>
      <c r="AN145" s="339" t="s">
        <v>997</v>
      </c>
      <c r="AO145" s="44">
        <v>0.81</v>
      </c>
      <c r="AP145" s="44">
        <v>3.73</v>
      </c>
      <c r="AQ145" s="44">
        <v>2.95</v>
      </c>
      <c r="AR145" s="44">
        <v>0.33</v>
      </c>
      <c r="AS145" s="247" t="s">
        <v>561</v>
      </c>
      <c r="AT145" s="253">
        <v>47.56</v>
      </c>
      <c r="AU145" s="247">
        <v>23015.37</v>
      </c>
      <c r="AV145" s="44">
        <v>1.98</v>
      </c>
      <c r="AW145" s="448">
        <v>6.3271819064798116</v>
      </c>
      <c r="AX145" s="254"/>
      <c r="AY145" s="255"/>
      <c r="AZ145" s="247">
        <v>1.0722920716112532</v>
      </c>
      <c r="BA145" s="247">
        <v>66.390373043478263</v>
      </c>
      <c r="BB145" s="247">
        <v>38.432142857142857</v>
      </c>
      <c r="BC145" s="247">
        <v>15.439777777777778</v>
      </c>
      <c r="BD145" s="247">
        <v>12.792012559621154</v>
      </c>
      <c r="BE145" s="247" t="s">
        <v>1133</v>
      </c>
      <c r="BF145" s="247">
        <v>1.07242126342711</v>
      </c>
      <c r="BG145" s="247">
        <v>66.249151805132669</v>
      </c>
      <c r="BH145" s="247">
        <v>38.377678143712572</v>
      </c>
      <c r="BI145" s="247">
        <v>11.01294</v>
      </c>
      <c r="BJ145" s="410">
        <v>0.56762837812410583</v>
      </c>
      <c r="BK145" s="247" t="s">
        <v>1129</v>
      </c>
      <c r="BL145" s="247" t="s">
        <v>1136</v>
      </c>
    </row>
    <row r="146" spans="1:64" s="247" customFormat="1" ht="20.25" customHeight="1" thickBot="1" x14ac:dyDescent="0.35">
      <c r="A146" s="246" t="s">
        <v>540</v>
      </c>
      <c r="B146" s="247" t="s">
        <v>81</v>
      </c>
      <c r="C146" s="248" t="s">
        <v>515</v>
      </c>
      <c r="D146" s="248" t="s">
        <v>1240</v>
      </c>
      <c r="G146" s="247" t="s">
        <v>618</v>
      </c>
      <c r="H146" s="247" t="s">
        <v>619</v>
      </c>
      <c r="I146" s="247" t="s">
        <v>138</v>
      </c>
      <c r="J146" s="247" t="s">
        <v>84</v>
      </c>
      <c r="L146" s="249">
        <v>44819</v>
      </c>
      <c r="M146" s="249">
        <v>44860</v>
      </c>
      <c r="N146" s="247">
        <v>8.35</v>
      </c>
      <c r="O146" s="247">
        <v>9.91</v>
      </c>
      <c r="R146" s="44">
        <v>126</v>
      </c>
      <c r="S146" s="29">
        <f t="shared" si="23"/>
        <v>0.99607365448527529</v>
      </c>
      <c r="T146" s="29">
        <f t="shared" si="24"/>
        <v>2.1003705451175629</v>
      </c>
      <c r="U146" s="356">
        <f t="shared" ref="U146:U147" si="25">10.92*O146</f>
        <v>108.21720000000001</v>
      </c>
      <c r="V146" s="356">
        <f>9.5459*O146+2.1572</f>
        <v>96.757069000000001</v>
      </c>
      <c r="W146" s="356">
        <f>9.7271*O146</f>
        <v>96.395561000000001</v>
      </c>
      <c r="X146" s="239">
        <v>26</v>
      </c>
      <c r="Y146" s="239">
        <v>32</v>
      </c>
      <c r="Z146" s="239">
        <v>42</v>
      </c>
      <c r="AA146" s="239" t="s">
        <v>883</v>
      </c>
      <c r="AB146" s="239" t="s">
        <v>888</v>
      </c>
      <c r="AC146" s="44">
        <v>1.1259999999999999</v>
      </c>
      <c r="AD146" s="44">
        <v>7.0374999999999993E-2</v>
      </c>
      <c r="AE146" s="251">
        <v>87.52</v>
      </c>
      <c r="AF146" s="251">
        <v>447.89</v>
      </c>
      <c r="AG146" s="436">
        <v>18130</v>
      </c>
      <c r="AH146" s="30">
        <v>13450.647000000001</v>
      </c>
      <c r="AI146" s="436">
        <v>10209</v>
      </c>
      <c r="AJ146" s="30">
        <v>7296.3723</v>
      </c>
      <c r="AK146" s="436">
        <v>1661</v>
      </c>
      <c r="AL146" s="30">
        <v>1001.583</v>
      </c>
      <c r="AM146" s="238">
        <v>208.82025775946437</v>
      </c>
      <c r="AN146" s="339" t="s">
        <v>997</v>
      </c>
      <c r="AO146" s="247">
        <v>1.0900000000000001</v>
      </c>
      <c r="AP146" s="247">
        <v>22.07</v>
      </c>
      <c r="AQ146" s="247">
        <v>9.9600000000000009</v>
      </c>
      <c r="AR146" s="247">
        <v>0.75</v>
      </c>
      <c r="AS146" s="247" t="s">
        <v>561</v>
      </c>
      <c r="AT146" s="253">
        <v>35.26</v>
      </c>
      <c r="AU146" s="247">
        <v>17104.580000000002</v>
      </c>
      <c r="AV146" s="44">
        <v>1.48</v>
      </c>
      <c r="AW146" s="448">
        <v>9.2977802596677375</v>
      </c>
      <c r="AX146" s="254"/>
      <c r="AY146" s="255"/>
      <c r="AZ146" s="247">
        <v>0.95076393861892572</v>
      </c>
      <c r="BA146" s="247">
        <v>58.481073913043481</v>
      </c>
      <c r="BB146" s="247">
        <v>36.460714285714282</v>
      </c>
      <c r="BC146" s="247">
        <v>8.2434814814814814</v>
      </c>
      <c r="BD146" s="247">
        <v>12.36961532110413</v>
      </c>
      <c r="BE146" s="247" t="s">
        <v>1133</v>
      </c>
      <c r="BF146" s="247">
        <v>0.9508784884910485</v>
      </c>
      <c r="BG146" s="247">
        <v>58.35667681600696</v>
      </c>
      <c r="BH146" s="247">
        <v>36.409043413173649</v>
      </c>
      <c r="BI146" s="247">
        <v>5.8799400000000004</v>
      </c>
      <c r="BJ146" s="410">
        <v>0.57439630869881619</v>
      </c>
      <c r="BK146" s="247" t="s">
        <v>1129</v>
      </c>
      <c r="BL146" s="247" t="s">
        <v>1136</v>
      </c>
    </row>
    <row r="147" spans="1:64" s="247" customFormat="1" ht="20.25" customHeight="1" thickBot="1" x14ac:dyDescent="0.35">
      <c r="A147" s="246" t="s">
        <v>541</v>
      </c>
      <c r="B147" s="247" t="s">
        <v>81</v>
      </c>
      <c r="C147" s="248" t="s">
        <v>516</v>
      </c>
      <c r="D147" s="248" t="s">
        <v>1241</v>
      </c>
      <c r="G147" s="247" t="s">
        <v>618</v>
      </c>
      <c r="H147" s="247" t="s">
        <v>619</v>
      </c>
      <c r="I147" s="247" t="s">
        <v>138</v>
      </c>
      <c r="J147" s="247" t="s">
        <v>84</v>
      </c>
      <c r="L147" s="249">
        <v>44819</v>
      </c>
      <c r="M147" s="249">
        <v>44860</v>
      </c>
      <c r="N147" s="247">
        <v>8.15</v>
      </c>
      <c r="O147" s="247">
        <v>7.32</v>
      </c>
      <c r="R147" s="44">
        <v>93.17</v>
      </c>
      <c r="S147" s="29">
        <f t="shared" si="23"/>
        <v>0.86451108105839192</v>
      </c>
      <c r="T147" s="29">
        <f t="shared" si="24"/>
        <v>1.9692760954889319</v>
      </c>
      <c r="U147" s="356">
        <f t="shared" si="25"/>
        <v>79.934399999999997</v>
      </c>
      <c r="V147" s="356">
        <f>9.5459*O147+2.1572</f>
        <v>72.03318800000001</v>
      </c>
      <c r="W147" s="356">
        <f>9.7271*O147</f>
        <v>71.202371999999997</v>
      </c>
      <c r="X147" s="239">
        <v>26</v>
      </c>
      <c r="Y147" s="239">
        <v>34</v>
      </c>
      <c r="Z147" s="239">
        <v>40</v>
      </c>
      <c r="AA147" s="239" t="s">
        <v>883</v>
      </c>
      <c r="AB147" s="239" t="s">
        <v>888</v>
      </c>
      <c r="AC147" s="44">
        <v>1.1950000000000001</v>
      </c>
      <c r="AD147" s="44">
        <v>7.4687500000000004E-2</v>
      </c>
      <c r="AE147" s="251">
        <v>51.34</v>
      </c>
      <c r="AF147" s="251">
        <v>418.59</v>
      </c>
      <c r="AG147" s="436">
        <v>8792</v>
      </c>
      <c r="AH147" s="30">
        <v>6522.7848000000004</v>
      </c>
      <c r="AI147" s="436">
        <v>11186</v>
      </c>
      <c r="AJ147" s="30">
        <v>7994.6342000000004</v>
      </c>
      <c r="AK147" s="436">
        <v>2677</v>
      </c>
      <c r="AL147" s="30">
        <v>1614.231</v>
      </c>
      <c r="AM147" s="238">
        <v>94.1048480772251</v>
      </c>
      <c r="AN147" s="339" t="s">
        <v>997</v>
      </c>
      <c r="AO147" s="247">
        <v>0.77</v>
      </c>
      <c r="AP147" s="247">
        <v>5.12</v>
      </c>
      <c r="AQ147" s="247">
        <v>3.68</v>
      </c>
      <c r="AR147" s="247">
        <v>0.57999999999999996</v>
      </c>
      <c r="AS147" s="247" t="s">
        <v>561</v>
      </c>
      <c r="AT147" s="253">
        <v>47.05</v>
      </c>
      <c r="AU147" s="247">
        <v>14598.9</v>
      </c>
      <c r="AV147" s="44">
        <v>1.57</v>
      </c>
      <c r="AW147" s="448">
        <v>8.7390761548064901</v>
      </c>
      <c r="AX147" s="254"/>
      <c r="AY147" s="255"/>
      <c r="AZ147" s="247">
        <v>0.88856700767263419</v>
      </c>
      <c r="BA147" s="247">
        <v>28.359933913043481</v>
      </c>
      <c r="BB147" s="247">
        <v>39.950000000000003</v>
      </c>
      <c r="BC147" s="247">
        <v>13.285851851851852</v>
      </c>
      <c r="BD147" s="247">
        <v>5.4969034438061941</v>
      </c>
      <c r="BE147" s="247" t="s">
        <v>1125</v>
      </c>
      <c r="BF147" s="247">
        <v>0.88867406393861881</v>
      </c>
      <c r="BG147" s="247">
        <v>28.299608525445844</v>
      </c>
      <c r="BH147" s="247">
        <v>39.893384231536928</v>
      </c>
      <c r="BI147" s="247">
        <v>9.4765800000000002</v>
      </c>
      <c r="BJ147" s="410">
        <v>0.3602372719691242</v>
      </c>
      <c r="BK147" s="247" t="s">
        <v>1130</v>
      </c>
      <c r="BL147" s="247" t="s">
        <v>1136</v>
      </c>
    </row>
    <row r="148" spans="1:64" s="247" customFormat="1" ht="20.25" customHeight="1" thickBot="1" x14ac:dyDescent="0.35">
      <c r="A148" s="246" t="s">
        <v>542</v>
      </c>
      <c r="B148" s="247" t="s">
        <v>81</v>
      </c>
      <c r="C148" s="248" t="s">
        <v>517</v>
      </c>
      <c r="D148" s="248" t="s">
        <v>1240</v>
      </c>
      <c r="G148" s="247" t="s">
        <v>620</v>
      </c>
      <c r="H148" s="247" t="s">
        <v>621</v>
      </c>
      <c r="I148" s="247" t="s">
        <v>138</v>
      </c>
      <c r="J148" s="247" t="s">
        <v>84</v>
      </c>
      <c r="L148" s="249">
        <v>44819</v>
      </c>
      <c r="M148" s="249">
        <v>44860</v>
      </c>
      <c r="N148" s="247">
        <v>8.27</v>
      </c>
      <c r="O148" s="247">
        <v>11</v>
      </c>
      <c r="R148" s="44">
        <v>128.1</v>
      </c>
      <c r="S148" s="29">
        <f t="shared" si="23"/>
        <v>1.0413926851582251</v>
      </c>
      <c r="T148" s="29">
        <f t="shared" si="24"/>
        <v>2.1075491297446862</v>
      </c>
      <c r="U148" s="356">
        <f>O148*12.43</f>
        <v>136.72999999999999</v>
      </c>
      <c r="V148" s="356">
        <f>13.223*O148-1.5217</f>
        <v>143.93129999999999</v>
      </c>
      <c r="W148" s="356">
        <f>-0.144*(O148*O148)+11.253*O148+3.5274</f>
        <v>109.88640000000001</v>
      </c>
      <c r="X148" s="239">
        <v>26</v>
      </c>
      <c r="Y148" s="239">
        <v>24</v>
      </c>
      <c r="Z148" s="239">
        <v>50</v>
      </c>
      <c r="AA148" s="239" t="s">
        <v>885</v>
      </c>
      <c r="AB148" s="239" t="s">
        <v>880</v>
      </c>
      <c r="AC148" s="44">
        <v>0.53600000000000003</v>
      </c>
      <c r="AD148" s="44">
        <v>3.5000000000000003E-2</v>
      </c>
      <c r="AE148" s="251">
        <v>41.82</v>
      </c>
      <c r="AF148" s="251">
        <v>219.44</v>
      </c>
      <c r="AG148" s="436">
        <v>17568</v>
      </c>
      <c r="AH148" s="30">
        <v>13033.699200000001</v>
      </c>
      <c r="AI148" s="436">
        <v>11494</v>
      </c>
      <c r="AJ148" s="30">
        <v>8214.7618000000002</v>
      </c>
      <c r="AK148" s="436">
        <v>2149</v>
      </c>
      <c r="AL148" s="30">
        <v>1295.847</v>
      </c>
      <c r="AM148" s="238">
        <v>189.00728015287103</v>
      </c>
      <c r="AN148" s="339" t="s">
        <v>997</v>
      </c>
      <c r="AO148" s="247">
        <v>0.72</v>
      </c>
      <c r="AP148" s="247">
        <v>8.41</v>
      </c>
      <c r="AQ148" s="247">
        <v>7.09</v>
      </c>
      <c r="AR148" s="247">
        <v>0.34</v>
      </c>
      <c r="AS148" s="247" t="s">
        <v>561</v>
      </c>
      <c r="AT148" s="253">
        <v>54.18</v>
      </c>
      <c r="AU148" s="247">
        <v>19632.05</v>
      </c>
      <c r="AV148" s="44">
        <v>1.25</v>
      </c>
      <c r="AW148" s="451">
        <v>14.615812917594653</v>
      </c>
      <c r="AX148" s="257">
        <v>5.7500000000000018</v>
      </c>
      <c r="AY148" s="255"/>
      <c r="AZ148" s="247">
        <v>0.46581892583120199</v>
      </c>
      <c r="BA148" s="247">
        <v>56.668257391304351</v>
      </c>
      <c r="BB148" s="247">
        <v>41.05</v>
      </c>
      <c r="BC148" s="247">
        <v>10.665407407407407</v>
      </c>
      <c r="BD148" s="247">
        <v>11.144096920179674</v>
      </c>
      <c r="BE148" s="247" t="s">
        <v>1133</v>
      </c>
      <c r="BF148" s="247">
        <v>0.46587504859335033</v>
      </c>
      <c r="BG148" s="247">
        <v>56.547716398434098</v>
      </c>
      <c r="BH148" s="247">
        <v>40.991825349301401</v>
      </c>
      <c r="BI148" s="247">
        <v>7.6074600000000006</v>
      </c>
      <c r="BJ148" s="410">
        <v>0.53542444930729993</v>
      </c>
      <c r="BK148" s="247" t="s">
        <v>1129</v>
      </c>
      <c r="BL148" s="247" t="s">
        <v>1136</v>
      </c>
    </row>
    <row r="149" spans="1:64" s="247" customFormat="1" ht="20.25" customHeight="1" thickBot="1" x14ac:dyDescent="0.35">
      <c r="A149" s="246" t="s">
        <v>543</v>
      </c>
      <c r="B149" s="247" t="s">
        <v>81</v>
      </c>
      <c r="C149" s="248" t="s">
        <v>518</v>
      </c>
      <c r="D149" s="248" t="s">
        <v>1241</v>
      </c>
      <c r="G149" s="247" t="s">
        <v>620</v>
      </c>
      <c r="H149" s="247" t="s">
        <v>621</v>
      </c>
      <c r="I149" s="247" t="s">
        <v>138</v>
      </c>
      <c r="J149" s="247" t="s">
        <v>84</v>
      </c>
      <c r="L149" s="249">
        <v>44819</v>
      </c>
      <c r="M149" s="249">
        <v>44860</v>
      </c>
      <c r="N149" s="247">
        <v>8.0299999999999994</v>
      </c>
      <c r="O149" s="247">
        <v>11.6</v>
      </c>
      <c r="R149" s="44">
        <v>111.6</v>
      </c>
      <c r="S149" s="29">
        <f t="shared" si="23"/>
        <v>1.0644579892269184</v>
      </c>
      <c r="T149" s="29">
        <f t="shared" si="24"/>
        <v>2.0476641946015599</v>
      </c>
      <c r="U149" s="356">
        <f>10.92*O149</f>
        <v>126.672</v>
      </c>
      <c r="V149" s="356">
        <f>9.5459*O149+2.1572</f>
        <v>112.88964</v>
      </c>
      <c r="W149" s="356">
        <f>9.7271*O149</f>
        <v>112.83436</v>
      </c>
      <c r="X149" s="239">
        <v>16</v>
      </c>
      <c r="Y149" s="239">
        <v>40</v>
      </c>
      <c r="Z149" s="239">
        <v>44</v>
      </c>
      <c r="AA149" s="239" t="s">
        <v>883</v>
      </c>
      <c r="AB149" s="239" t="s">
        <v>888</v>
      </c>
      <c r="AC149" s="44">
        <v>0.54800000000000004</v>
      </c>
      <c r="AD149" s="44">
        <v>3.4250000000000003E-2</v>
      </c>
      <c r="AE149" s="251">
        <v>31.7</v>
      </c>
      <c r="AF149" s="251">
        <v>194.65</v>
      </c>
      <c r="AG149" s="436">
        <v>13919</v>
      </c>
      <c r="AH149" s="30">
        <v>10326.506100000001</v>
      </c>
      <c r="AI149" s="436">
        <v>13277</v>
      </c>
      <c r="AJ149" s="30">
        <v>9489.0719000000008</v>
      </c>
      <c r="AK149" s="436">
        <v>4122</v>
      </c>
      <c r="AL149" s="30">
        <v>2485.5659999999998</v>
      </c>
      <c r="AM149" s="238">
        <v>133.45572498862563</v>
      </c>
      <c r="AN149" s="339" t="s">
        <v>997</v>
      </c>
      <c r="AO149" s="247">
        <v>0.48</v>
      </c>
      <c r="AP149" s="247">
        <v>4.87</v>
      </c>
      <c r="AQ149" s="247">
        <v>3.56</v>
      </c>
      <c r="AR149" s="247">
        <v>0.3</v>
      </c>
      <c r="AS149" s="247" t="s">
        <v>561</v>
      </c>
      <c r="AT149" s="253">
        <v>128.44</v>
      </c>
      <c r="AU149" s="247">
        <v>23899.74</v>
      </c>
      <c r="AV149" s="44">
        <v>0.94</v>
      </c>
      <c r="AW149" s="451">
        <v>16.569037656903767</v>
      </c>
      <c r="AX149" s="257">
        <v>5</v>
      </c>
      <c r="AY149" s="255"/>
      <c r="AZ149" s="247">
        <v>0.41319565217391296</v>
      </c>
      <c r="BA149" s="247">
        <v>44.897852608695658</v>
      </c>
      <c r="BB149" s="247">
        <v>47.417857142857144</v>
      </c>
      <c r="BC149" s="247">
        <v>20.457333333333331</v>
      </c>
      <c r="BD149" s="247">
        <v>7.7069942870886319</v>
      </c>
      <c r="BE149" s="247" t="s">
        <v>1125</v>
      </c>
      <c r="BF149" s="247">
        <v>0.41324543478260867</v>
      </c>
      <c r="BG149" s="247">
        <v>44.802348847324922</v>
      </c>
      <c r="BH149" s="247">
        <v>47.350658183632738</v>
      </c>
      <c r="BI149" s="247">
        <v>14.591880000000002</v>
      </c>
      <c r="BJ149" s="410">
        <v>0.41809564814549904</v>
      </c>
      <c r="BK149" s="247" t="s">
        <v>1130</v>
      </c>
      <c r="BL149" s="247" t="s">
        <v>1136</v>
      </c>
    </row>
    <row r="150" spans="1:64" s="247" customFormat="1" ht="20.25" customHeight="1" thickBot="1" x14ac:dyDescent="0.35">
      <c r="A150" s="246" t="s">
        <v>544</v>
      </c>
      <c r="B150" s="247" t="s">
        <v>81</v>
      </c>
      <c r="C150" s="248" t="s">
        <v>519</v>
      </c>
      <c r="D150" s="248" t="s">
        <v>1240</v>
      </c>
      <c r="G150" s="247" t="s">
        <v>622</v>
      </c>
      <c r="H150" s="247" t="s">
        <v>623</v>
      </c>
      <c r="I150" s="247" t="s">
        <v>138</v>
      </c>
      <c r="J150" s="247" t="s">
        <v>84</v>
      </c>
      <c r="L150" s="249">
        <v>44819</v>
      </c>
      <c r="M150" s="249">
        <v>44860</v>
      </c>
      <c r="N150" s="247">
        <v>8.52</v>
      </c>
      <c r="O150" s="247">
        <v>12.28</v>
      </c>
      <c r="R150" s="44">
        <v>177</v>
      </c>
      <c r="S150" s="29">
        <f t="shared" si="23"/>
        <v>1.0891983668051488</v>
      </c>
      <c r="T150" s="29">
        <f t="shared" si="24"/>
        <v>2.2479732663618068</v>
      </c>
      <c r="U150" s="356">
        <f t="shared" ref="U150:U151" si="26">O150*12.43</f>
        <v>152.6404</v>
      </c>
      <c r="V150" s="356">
        <f t="shared" ref="V150:V151" si="27">13.223*O150-1.5217</f>
        <v>160.85674</v>
      </c>
      <c r="W150" s="356">
        <f t="shared" ref="W150:W151" si="28">-0.144*(O150*O150)+11.253*O150+3.5274</f>
        <v>119.9992704</v>
      </c>
      <c r="X150" s="239">
        <v>22</v>
      </c>
      <c r="Y150" s="239">
        <v>24</v>
      </c>
      <c r="Z150" s="239">
        <v>54</v>
      </c>
      <c r="AA150" s="239" t="s">
        <v>885</v>
      </c>
      <c r="AB150" s="239" t="s">
        <v>880</v>
      </c>
      <c r="AC150" s="44">
        <v>0.80600000000000005</v>
      </c>
      <c r="AD150" s="44">
        <v>5.0375000000000003E-2</v>
      </c>
      <c r="AE150" s="251">
        <v>42.97</v>
      </c>
      <c r="AF150" s="251">
        <v>298.08999999999997</v>
      </c>
      <c r="AG150" s="436">
        <v>27924</v>
      </c>
      <c r="AH150" s="30">
        <v>20716.815600000002</v>
      </c>
      <c r="AI150" s="436">
        <v>9949</v>
      </c>
      <c r="AJ150" s="30">
        <v>7110.5502999999999</v>
      </c>
      <c r="AK150" s="436">
        <v>1024</v>
      </c>
      <c r="AL150" s="30">
        <v>617.47199999999998</v>
      </c>
      <c r="AM150" s="238">
        <v>333.27582713438238</v>
      </c>
      <c r="AN150" s="339" t="s">
        <v>999</v>
      </c>
      <c r="AO150" s="247">
        <v>0.97</v>
      </c>
      <c r="AP150" s="247">
        <v>9.01</v>
      </c>
      <c r="AQ150" s="247">
        <v>5.71</v>
      </c>
      <c r="AR150" s="247">
        <v>0.27</v>
      </c>
      <c r="AS150" s="247" t="s">
        <v>561</v>
      </c>
      <c r="AT150" s="253">
        <v>39.700000000000003</v>
      </c>
      <c r="AU150" s="247">
        <v>24570.78</v>
      </c>
      <c r="AV150" s="44">
        <v>2</v>
      </c>
      <c r="AW150" s="451">
        <v>12.479201331114808</v>
      </c>
      <c r="AX150" s="257">
        <v>3.2500000000000018</v>
      </c>
      <c r="AY150" s="255"/>
      <c r="AZ150" s="247">
        <v>0.6327741687979539</v>
      </c>
      <c r="BA150" s="247">
        <v>90.073111304347819</v>
      </c>
      <c r="BB150" s="247">
        <v>35.532142857142858</v>
      </c>
      <c r="BC150" s="247">
        <v>5.0820740740740735</v>
      </c>
      <c r="BD150" s="247">
        <v>19.988081894252311</v>
      </c>
      <c r="BE150" s="247" t="s">
        <v>1128</v>
      </c>
      <c r="BF150" s="247">
        <v>0.63285040664961623</v>
      </c>
      <c r="BG150" s="247">
        <v>89.881513701609393</v>
      </c>
      <c r="BH150" s="247">
        <v>35.481787924151696</v>
      </c>
      <c r="BI150" s="247">
        <v>3.6249600000000002</v>
      </c>
      <c r="BJ150" s="410">
        <v>0.69341723961707158</v>
      </c>
      <c r="BK150" s="247" t="s">
        <v>1129</v>
      </c>
      <c r="BL150" s="247" t="s">
        <v>1136</v>
      </c>
    </row>
    <row r="151" spans="1:64" s="247" customFormat="1" ht="20.25" customHeight="1" thickBot="1" x14ac:dyDescent="0.35">
      <c r="A151" s="246" t="s">
        <v>545</v>
      </c>
      <c r="B151" s="247" t="s">
        <v>81</v>
      </c>
      <c r="C151" s="248" t="s">
        <v>520</v>
      </c>
      <c r="D151" s="248" t="s">
        <v>1241</v>
      </c>
      <c r="G151" s="247" t="s">
        <v>622</v>
      </c>
      <c r="H151" s="247" t="s">
        <v>623</v>
      </c>
      <c r="I151" s="247" t="s">
        <v>138</v>
      </c>
      <c r="J151" s="247" t="s">
        <v>84</v>
      </c>
      <c r="L151" s="249">
        <v>44819</v>
      </c>
      <c r="M151" s="249">
        <v>44860</v>
      </c>
      <c r="N151" s="247">
        <v>8.44</v>
      </c>
      <c r="O151" s="247">
        <v>10.26</v>
      </c>
      <c r="R151" s="44">
        <v>126.7</v>
      </c>
      <c r="S151" s="29">
        <f t="shared" si="23"/>
        <v>1.0111473607757975</v>
      </c>
      <c r="T151" s="29">
        <f t="shared" si="24"/>
        <v>2.1027766148834415</v>
      </c>
      <c r="U151" s="356">
        <f t="shared" si="26"/>
        <v>127.53179999999999</v>
      </c>
      <c r="V151" s="356">
        <f t="shared" si="27"/>
        <v>134.14627999999999</v>
      </c>
      <c r="W151" s="356">
        <f t="shared" si="28"/>
        <v>103.82464560000001</v>
      </c>
      <c r="X151" s="239">
        <v>24</v>
      </c>
      <c r="Y151" s="239">
        <v>16</v>
      </c>
      <c r="Z151" s="239">
        <v>60</v>
      </c>
      <c r="AA151" s="239" t="s">
        <v>885</v>
      </c>
      <c r="AB151" s="239" t="s">
        <v>880</v>
      </c>
      <c r="AC151" s="44">
        <v>0.69399999999999995</v>
      </c>
      <c r="AD151" s="44">
        <v>4.3749999999999997E-2</v>
      </c>
      <c r="AE151" s="251">
        <v>38.26</v>
      </c>
      <c r="AF151" s="251">
        <v>277.38</v>
      </c>
      <c r="AG151" s="436">
        <v>23145</v>
      </c>
      <c r="AH151" s="30">
        <v>17171.2755</v>
      </c>
      <c r="AI151" s="436">
        <v>10445</v>
      </c>
      <c r="AJ151" s="30">
        <v>7465.0415000000003</v>
      </c>
      <c r="AK151" s="436">
        <v>2130</v>
      </c>
      <c r="AL151" s="30">
        <v>1284.3899999999999</v>
      </c>
      <c r="AM151" s="238">
        <v>259.61371768419997</v>
      </c>
      <c r="AN151" s="339" t="s">
        <v>997</v>
      </c>
      <c r="AO151" s="247">
        <v>0.7</v>
      </c>
      <c r="AP151" s="247">
        <v>3.67</v>
      </c>
      <c r="AQ151" s="247">
        <v>3.7</v>
      </c>
      <c r="AR151" s="247">
        <v>0.22</v>
      </c>
      <c r="AS151" s="247" t="s">
        <v>561</v>
      </c>
      <c r="AT151" s="253">
        <v>68.31</v>
      </c>
      <c r="AU151" s="247">
        <v>20018.93</v>
      </c>
      <c r="AV151" s="44">
        <v>2</v>
      </c>
      <c r="AW151" s="451">
        <v>10.8153078202995</v>
      </c>
      <c r="AX151" s="257">
        <v>6.6250000000000009</v>
      </c>
      <c r="AY151" s="255"/>
      <c r="AZ151" s="247">
        <v>0.58881176470588237</v>
      </c>
      <c r="BA151" s="247">
        <v>74.657719565217391</v>
      </c>
      <c r="BB151" s="247">
        <v>37.303571428571431</v>
      </c>
      <c r="BC151" s="247">
        <v>10.57111111111111</v>
      </c>
      <c r="BD151" s="247">
        <v>15.259375649143665</v>
      </c>
      <c r="BE151" s="247" t="s">
        <v>1133</v>
      </c>
      <c r="BF151" s="247">
        <v>0.58888270588235292</v>
      </c>
      <c r="BG151" s="247">
        <v>74.498912570682904</v>
      </c>
      <c r="BH151" s="247">
        <v>37.250706087824355</v>
      </c>
      <c r="BI151" s="247">
        <v>7.5402000000000005</v>
      </c>
      <c r="BJ151" s="410">
        <v>0.6214524492072373</v>
      </c>
      <c r="BK151" s="247" t="s">
        <v>1129</v>
      </c>
      <c r="BL151" s="247" t="s">
        <v>1136</v>
      </c>
    </row>
    <row r="152" spans="1:64" s="247" customFormat="1" ht="20.25" customHeight="1" thickBot="1" x14ac:dyDescent="0.35">
      <c r="A152" s="246" t="s">
        <v>546</v>
      </c>
      <c r="B152" s="247" t="s">
        <v>81</v>
      </c>
      <c r="C152" s="248" t="s">
        <v>521</v>
      </c>
      <c r="D152" s="248" t="s">
        <v>1240</v>
      </c>
      <c r="G152" s="247" t="s">
        <v>624</v>
      </c>
      <c r="H152" s="247" t="s">
        <v>625</v>
      </c>
      <c r="I152" s="247" t="s">
        <v>138</v>
      </c>
      <c r="J152" s="247" t="s">
        <v>84</v>
      </c>
      <c r="L152" s="249">
        <v>44819</v>
      </c>
      <c r="M152" s="249">
        <v>44860</v>
      </c>
      <c r="N152" s="247">
        <v>8.77</v>
      </c>
      <c r="O152" s="247">
        <v>7.0000000000000007E-2</v>
      </c>
      <c r="R152" s="44">
        <v>3.2650000000000001</v>
      </c>
      <c r="S152" s="29">
        <f t="shared" si="23"/>
        <v>-1.1549019599857431</v>
      </c>
      <c r="T152" s="29">
        <f t="shared" si="24"/>
        <v>0.5138831856110927</v>
      </c>
      <c r="U152" s="356">
        <f t="shared" ref="U152:U154" si="29">O152*9.63</f>
        <v>0.67410000000000014</v>
      </c>
      <c r="V152" s="354">
        <f t="shared" ref="V152:V154" si="30">9.0013*O152+4.2416</f>
        <v>4.8716910000000002</v>
      </c>
      <c r="W152" s="354">
        <f t="shared" ref="W152:W154" si="31">9.347*O152</f>
        <v>0.65429000000000004</v>
      </c>
      <c r="X152" s="239">
        <v>30</v>
      </c>
      <c r="Y152" s="239">
        <v>26</v>
      </c>
      <c r="Z152" s="239">
        <v>44</v>
      </c>
      <c r="AA152" s="239" t="s">
        <v>882</v>
      </c>
      <c r="AB152" s="239" t="s">
        <v>878</v>
      </c>
      <c r="AC152" s="44">
        <v>0.81499999999999995</v>
      </c>
      <c r="AD152" s="44">
        <v>5.9374999999999997E-2</v>
      </c>
      <c r="AE152" s="251">
        <v>59.61</v>
      </c>
      <c r="AF152" s="251">
        <v>501.73</v>
      </c>
      <c r="AG152" s="436">
        <v>71</v>
      </c>
      <c r="AH152" s="30">
        <v>52.674900000000001</v>
      </c>
      <c r="AI152" s="436">
        <v>3754</v>
      </c>
      <c r="AJ152" s="30">
        <v>2682.9838</v>
      </c>
      <c r="AK152" s="436">
        <v>682</v>
      </c>
      <c r="AL152" s="30">
        <v>411.24599999999998</v>
      </c>
      <c r="AM152" s="238">
        <v>1.3391907330373443</v>
      </c>
      <c r="AN152" s="238" t="s">
        <v>1000</v>
      </c>
      <c r="AO152" s="247">
        <v>1.2</v>
      </c>
      <c r="AP152" s="247">
        <v>9.48</v>
      </c>
      <c r="AQ152" s="247">
        <v>5.03</v>
      </c>
      <c r="AR152" s="247">
        <v>0.35</v>
      </c>
      <c r="AS152" s="247" t="s">
        <v>561</v>
      </c>
      <c r="AT152" s="253">
        <v>1.5</v>
      </c>
      <c r="AU152" s="247">
        <v>37.17</v>
      </c>
      <c r="AV152" s="44">
        <v>1.05</v>
      </c>
      <c r="AW152" s="448">
        <v>1.6655100624566273E-2</v>
      </c>
      <c r="AX152" s="254"/>
      <c r="AY152" s="255"/>
      <c r="AZ152" s="247">
        <v>1.0650534526854221</v>
      </c>
      <c r="BA152" s="247">
        <v>0.22902130434782611</v>
      </c>
      <c r="BB152" s="247">
        <v>13.407142857142858</v>
      </c>
      <c r="BC152" s="247">
        <v>3.3847407407407406</v>
      </c>
      <c r="BD152" s="247">
        <v>7.9038952166234772E-2</v>
      </c>
      <c r="BE152" s="247" t="s">
        <v>1125</v>
      </c>
      <c r="BF152" s="247">
        <v>1.0651817723785166</v>
      </c>
      <c r="BG152" s="247">
        <v>0.22853414528055677</v>
      </c>
      <c r="BH152" s="247">
        <v>13.388142714570858</v>
      </c>
      <c r="BI152" s="247">
        <v>2.4142800000000002</v>
      </c>
      <c r="BJ152" s="410">
        <v>1.3367588447704812E-2</v>
      </c>
      <c r="BK152" s="247" t="s">
        <v>1126</v>
      </c>
      <c r="BL152" s="247" t="s">
        <v>1135</v>
      </c>
    </row>
    <row r="153" spans="1:64" s="247" customFormat="1" ht="20.25" customHeight="1" thickBot="1" x14ac:dyDescent="0.35">
      <c r="A153" s="246" t="s">
        <v>547</v>
      </c>
      <c r="B153" s="247" t="s">
        <v>81</v>
      </c>
      <c r="C153" s="248" t="s">
        <v>522</v>
      </c>
      <c r="D153" s="248" t="s">
        <v>1241</v>
      </c>
      <c r="G153" s="247" t="s">
        <v>624</v>
      </c>
      <c r="H153" s="247" t="s">
        <v>625</v>
      </c>
      <c r="I153" s="247" t="s">
        <v>138</v>
      </c>
      <c r="J153" s="247" t="s">
        <v>84</v>
      </c>
      <c r="L153" s="249">
        <v>44819</v>
      </c>
      <c r="M153" s="249">
        <v>44860</v>
      </c>
      <c r="N153" s="247">
        <v>8.8000000000000007</v>
      </c>
      <c r="O153" s="247">
        <v>0.08</v>
      </c>
      <c r="R153" s="44">
        <v>1.05</v>
      </c>
      <c r="S153" s="29">
        <f t="shared" si="23"/>
        <v>-1.0969100130080565</v>
      </c>
      <c r="T153" s="29">
        <f t="shared" si="24"/>
        <v>2.1189299069938092E-2</v>
      </c>
      <c r="U153" s="356">
        <f t="shared" si="29"/>
        <v>0.77040000000000008</v>
      </c>
      <c r="V153" s="354">
        <f t="shared" si="30"/>
        <v>4.9617040000000001</v>
      </c>
      <c r="W153" s="354">
        <f t="shared" si="31"/>
        <v>0.74775999999999998</v>
      </c>
      <c r="X153" s="239">
        <v>32</v>
      </c>
      <c r="Y153" s="239">
        <v>24</v>
      </c>
      <c r="Z153" s="239">
        <v>44</v>
      </c>
      <c r="AA153" s="239" t="s">
        <v>882</v>
      </c>
      <c r="AB153" s="239" t="s">
        <v>878</v>
      </c>
      <c r="AC153" s="44">
        <v>0.86299999999999999</v>
      </c>
      <c r="AD153" s="44">
        <v>5.3937499999999999E-2</v>
      </c>
      <c r="AE153" s="251">
        <v>40.57</v>
      </c>
      <c r="AF153" s="251">
        <v>402.88</v>
      </c>
      <c r="AG153" s="436">
        <v>80</v>
      </c>
      <c r="AH153" s="30">
        <v>59.352000000000004</v>
      </c>
      <c r="AI153" s="436">
        <v>3915</v>
      </c>
      <c r="AJ153" s="30">
        <v>2798.0504999999998</v>
      </c>
      <c r="AK153" s="436">
        <v>758</v>
      </c>
      <c r="AL153" s="30">
        <v>457.07400000000001</v>
      </c>
      <c r="AM153" s="238">
        <v>1.4711825126552072</v>
      </c>
      <c r="AN153" s="238" t="s">
        <v>1000</v>
      </c>
      <c r="AO153" s="247">
        <v>0.99</v>
      </c>
      <c r="AP153" s="247">
        <v>6.02</v>
      </c>
      <c r="AQ153" s="247">
        <v>3</v>
      </c>
      <c r="AR153" s="247">
        <v>0.27</v>
      </c>
      <c r="AS153" s="247" t="s">
        <v>561</v>
      </c>
      <c r="AT153" s="253">
        <v>8.66</v>
      </c>
      <c r="AU153" s="247">
        <v>19.46</v>
      </c>
      <c r="AV153" s="44">
        <v>0.88</v>
      </c>
      <c r="AW153" s="448">
        <v>3.333333333333334E-2</v>
      </c>
      <c r="AX153" s="254"/>
      <c r="AY153" s="255"/>
      <c r="AZ153" s="247">
        <v>0.85521841432225054</v>
      </c>
      <c r="BA153" s="247">
        <v>0.25805217391304347</v>
      </c>
      <c r="BB153" s="247">
        <v>13.982142857142858</v>
      </c>
      <c r="BC153" s="247">
        <v>3.7619259259259259</v>
      </c>
      <c r="BD153" s="247">
        <v>8.6635505495619561E-2</v>
      </c>
      <c r="BE153" s="247" t="s">
        <v>1125</v>
      </c>
      <c r="BF153" s="247">
        <v>0.85532145268542192</v>
      </c>
      <c r="BG153" s="247">
        <v>0.25750326228795128</v>
      </c>
      <c r="BH153" s="247">
        <v>13.962327844311377</v>
      </c>
      <c r="BI153" s="247">
        <v>2.6833200000000001</v>
      </c>
      <c r="BJ153" s="410">
        <v>1.4500304653359369E-2</v>
      </c>
      <c r="BK153" s="247" t="s">
        <v>1126</v>
      </c>
      <c r="BL153" s="247" t="s">
        <v>1135</v>
      </c>
    </row>
    <row r="154" spans="1:64" s="247" customFormat="1" ht="20.25" customHeight="1" thickBot="1" x14ac:dyDescent="0.35">
      <c r="A154" s="246" t="s">
        <v>548</v>
      </c>
      <c r="B154" s="247" t="s">
        <v>81</v>
      </c>
      <c r="C154" s="248" t="s">
        <v>523</v>
      </c>
      <c r="D154" s="248" t="s">
        <v>1240</v>
      </c>
      <c r="G154" s="247" t="s">
        <v>626</v>
      </c>
      <c r="H154" s="247" t="s">
        <v>627</v>
      </c>
      <c r="I154" s="247" t="s">
        <v>138</v>
      </c>
      <c r="J154" s="247" t="s">
        <v>84</v>
      </c>
      <c r="L154" s="249">
        <v>44819</v>
      </c>
      <c r="M154" s="249">
        <v>44860</v>
      </c>
      <c r="N154" s="247">
        <v>8.7899999999999991</v>
      </c>
      <c r="O154" s="247">
        <v>7.0000000000000007E-2</v>
      </c>
      <c r="R154" s="44">
        <v>0.81399999999999995</v>
      </c>
      <c r="S154" s="29">
        <f t="shared" si="23"/>
        <v>-1.1549019599857431</v>
      </c>
      <c r="T154" s="29">
        <f t="shared" si="24"/>
        <v>-8.9375595110798803E-2</v>
      </c>
      <c r="U154" s="356">
        <f t="shared" si="29"/>
        <v>0.67410000000000014</v>
      </c>
      <c r="V154" s="354">
        <f t="shared" si="30"/>
        <v>4.8716910000000002</v>
      </c>
      <c r="W154" s="354">
        <f t="shared" si="31"/>
        <v>0.65429000000000004</v>
      </c>
      <c r="X154" s="239">
        <v>32</v>
      </c>
      <c r="Y154" s="239">
        <v>40</v>
      </c>
      <c r="Z154" s="239">
        <v>28</v>
      </c>
      <c r="AA154" s="239" t="s">
        <v>882</v>
      </c>
      <c r="AB154" s="239" t="s">
        <v>878</v>
      </c>
      <c r="AC154" s="44">
        <v>1.4490000000000001</v>
      </c>
      <c r="AD154" s="44">
        <v>9.0562500000000004E-2</v>
      </c>
      <c r="AE154" s="251">
        <v>60.52</v>
      </c>
      <c r="AF154" s="251">
        <v>264.02</v>
      </c>
      <c r="AG154" s="436">
        <v>112</v>
      </c>
      <c r="AH154" s="30">
        <v>83.092799999999997</v>
      </c>
      <c r="AI154" s="436">
        <v>3132</v>
      </c>
      <c r="AJ154" s="30">
        <v>2238.4404</v>
      </c>
      <c r="AK154" s="436">
        <v>408</v>
      </c>
      <c r="AL154" s="30">
        <v>246.024</v>
      </c>
      <c r="AM154" s="238">
        <v>2.3575559187065855</v>
      </c>
      <c r="AN154" s="238" t="s">
        <v>1000</v>
      </c>
      <c r="AO154" s="247">
        <v>1.56</v>
      </c>
      <c r="AP154" s="247">
        <v>14.15</v>
      </c>
      <c r="AQ154" s="247">
        <v>6.55</v>
      </c>
      <c r="AR154" s="247">
        <v>0.5</v>
      </c>
      <c r="AS154" s="247" t="s">
        <v>561</v>
      </c>
      <c r="AT154" s="253">
        <v>0.41</v>
      </c>
      <c r="AU154" s="247">
        <v>14.75</v>
      </c>
      <c r="AV154" s="44">
        <v>1.02</v>
      </c>
      <c r="AW154" s="448">
        <v>0</v>
      </c>
      <c r="AX154" s="254"/>
      <c r="AY154" s="255"/>
      <c r="AZ154" s="247">
        <v>0.56045166240409205</v>
      </c>
      <c r="BA154" s="247">
        <v>0.36127304347826084</v>
      </c>
      <c r="BB154" s="247">
        <v>11.185714285714287</v>
      </c>
      <c r="BC154" s="247">
        <v>2.024888888888889</v>
      </c>
      <c r="BD154" s="247">
        <v>0.1405688953392889</v>
      </c>
      <c r="BE154" s="247" t="s">
        <v>1125</v>
      </c>
      <c r="BF154" s="247">
        <v>0.56051918670076717</v>
      </c>
      <c r="BG154" s="247">
        <v>0.36050456720313179</v>
      </c>
      <c r="BH154" s="247">
        <v>11.169862275449102</v>
      </c>
      <c r="BI154" s="247">
        <v>1.44432</v>
      </c>
      <c r="BJ154" s="410">
        <v>2.6634582910768173E-2</v>
      </c>
      <c r="BK154" s="247" t="s">
        <v>1126</v>
      </c>
      <c r="BL154" s="247" t="s">
        <v>1135</v>
      </c>
    </row>
    <row r="155" spans="1:64" s="247" customFormat="1" ht="20.25" customHeight="1" thickBot="1" x14ac:dyDescent="0.35">
      <c r="A155" s="246" t="s">
        <v>549</v>
      </c>
      <c r="B155" s="247" t="s">
        <v>81</v>
      </c>
      <c r="C155" s="248" t="s">
        <v>524</v>
      </c>
      <c r="D155" s="248" t="s">
        <v>1241</v>
      </c>
      <c r="G155" s="247" t="s">
        <v>626</v>
      </c>
      <c r="H155" s="247" t="s">
        <v>627</v>
      </c>
      <c r="I155" s="247" t="s">
        <v>138</v>
      </c>
      <c r="J155" s="247" t="s">
        <v>84</v>
      </c>
      <c r="L155" s="249">
        <v>44819</v>
      </c>
      <c r="M155" s="249">
        <v>44860</v>
      </c>
      <c r="N155" s="247">
        <v>7.95</v>
      </c>
      <c r="O155" s="247">
        <v>0.73</v>
      </c>
      <c r="R155" s="44">
        <v>9.5210000000000008</v>
      </c>
      <c r="S155" s="29">
        <f t="shared" si="23"/>
        <v>-0.13667713987954411</v>
      </c>
      <c r="T155" s="29">
        <f t="shared" si="24"/>
        <v>0.97868256515694463</v>
      </c>
      <c r="U155" s="356">
        <f t="shared" ref="U155:U157" si="32">O155*5.25</f>
        <v>3.8325</v>
      </c>
      <c r="V155" s="363">
        <f t="shared" ref="V155:V157" si="33">5.3954*O155+8.0586</f>
        <v>11.997242</v>
      </c>
      <c r="W155" s="363">
        <f t="shared" ref="W155:W157" si="34">O155*5.8798</f>
        <v>4.2922539999999998</v>
      </c>
      <c r="X155" s="239">
        <v>50</v>
      </c>
      <c r="Y155" s="239">
        <v>32</v>
      </c>
      <c r="Z155" s="239">
        <v>18</v>
      </c>
      <c r="AA155" s="239" t="s">
        <v>876</v>
      </c>
      <c r="AB155" s="239" t="s">
        <v>877</v>
      </c>
      <c r="AC155" s="44">
        <v>1.573</v>
      </c>
      <c r="AD155" s="44">
        <v>9.8312499999999997E-2</v>
      </c>
      <c r="AE155" s="251">
        <v>49.75</v>
      </c>
      <c r="AF155" s="251">
        <v>269.20999999999998</v>
      </c>
      <c r="AG155" s="436">
        <v>567</v>
      </c>
      <c r="AH155" s="30">
        <v>420.65730000000002</v>
      </c>
      <c r="AI155" s="436">
        <v>4810</v>
      </c>
      <c r="AJ155" s="30">
        <v>3437.7069999999999</v>
      </c>
      <c r="AK155" s="436">
        <v>881</v>
      </c>
      <c r="AL155" s="30">
        <v>531.24299999999994</v>
      </c>
      <c r="AM155" s="238">
        <v>9.4429048566272407</v>
      </c>
      <c r="AN155" s="238" t="s">
        <v>1000</v>
      </c>
      <c r="AO155" s="247">
        <v>1.25</v>
      </c>
      <c r="AP155" s="247">
        <v>16.079999999999998</v>
      </c>
      <c r="AQ155" s="247">
        <v>3.72</v>
      </c>
      <c r="AR155" s="247">
        <v>0.4</v>
      </c>
      <c r="AS155" s="247" t="s">
        <v>561</v>
      </c>
      <c r="AT155" s="253">
        <v>173.03</v>
      </c>
      <c r="AU155" s="247">
        <v>1093.94</v>
      </c>
      <c r="AV155" s="44">
        <v>1</v>
      </c>
      <c r="AW155" s="448">
        <v>0</v>
      </c>
      <c r="AX155" s="254"/>
      <c r="AY155" s="255"/>
      <c r="AZ155" s="247">
        <v>0.5714687979539641</v>
      </c>
      <c r="BA155" s="247">
        <v>1.8289447826086958</v>
      </c>
      <c r="BB155" s="247">
        <v>17.178571428571427</v>
      </c>
      <c r="BC155" s="247">
        <v>4.3723703703703691</v>
      </c>
      <c r="BD155" s="247">
        <v>0.55716325225225827</v>
      </c>
      <c r="BE155" s="247" t="s">
        <v>1125</v>
      </c>
      <c r="BF155" s="247">
        <v>0.57153764961636822</v>
      </c>
      <c r="BG155" s="247">
        <v>1.8250543714658547</v>
      </c>
      <c r="BH155" s="247">
        <v>17.154226546906187</v>
      </c>
      <c r="BI155" s="247">
        <v>3.1187400000000003</v>
      </c>
      <c r="BJ155" s="410">
        <v>8.0506833249192875E-2</v>
      </c>
      <c r="BK155" s="247" t="s">
        <v>1126</v>
      </c>
      <c r="BL155" s="247" t="s">
        <v>1136</v>
      </c>
    </row>
    <row r="156" spans="1:64" s="247" customFormat="1" ht="20.25" customHeight="1" thickBot="1" x14ac:dyDescent="0.35">
      <c r="A156" s="246" t="s">
        <v>550</v>
      </c>
      <c r="B156" s="247" t="s">
        <v>81</v>
      </c>
      <c r="C156" s="248" t="s">
        <v>525</v>
      </c>
      <c r="D156" s="248" t="s">
        <v>1240</v>
      </c>
      <c r="G156" s="247" t="s">
        <v>628</v>
      </c>
      <c r="H156" s="247" t="s">
        <v>629</v>
      </c>
      <c r="I156" s="247" t="s">
        <v>138</v>
      </c>
      <c r="J156" s="247" t="s">
        <v>84</v>
      </c>
      <c r="L156" s="249">
        <v>44819</v>
      </c>
      <c r="M156" s="249">
        <v>44860</v>
      </c>
      <c r="N156" s="247">
        <v>8.5299999999999994</v>
      </c>
      <c r="O156" s="247">
        <v>0.23</v>
      </c>
      <c r="R156" s="44">
        <v>2.66</v>
      </c>
      <c r="S156" s="29">
        <f t="shared" si="23"/>
        <v>-0.63827216398240705</v>
      </c>
      <c r="T156" s="29">
        <f t="shared" si="24"/>
        <v>0.42488163663106698</v>
      </c>
      <c r="U156" s="356">
        <f t="shared" si="32"/>
        <v>1.2075</v>
      </c>
      <c r="V156" s="363">
        <f t="shared" si="33"/>
        <v>9.2995420000000006</v>
      </c>
      <c r="W156" s="363">
        <f t="shared" si="34"/>
        <v>1.3523540000000001</v>
      </c>
      <c r="X156" s="239">
        <v>42</v>
      </c>
      <c r="Y156" s="239">
        <v>38</v>
      </c>
      <c r="Z156" s="239">
        <v>20</v>
      </c>
      <c r="AA156" s="239" t="s">
        <v>876</v>
      </c>
      <c r="AB156" s="239" t="s">
        <v>877</v>
      </c>
      <c r="AC156" s="44">
        <v>1.631</v>
      </c>
      <c r="AD156" s="44">
        <v>0.11</v>
      </c>
      <c r="AE156" s="251">
        <v>69.599999999999994</v>
      </c>
      <c r="AF156" s="251">
        <v>429.05</v>
      </c>
      <c r="AG156" s="436">
        <v>523</v>
      </c>
      <c r="AH156" s="30">
        <v>388.01370000000003</v>
      </c>
      <c r="AI156" s="436">
        <v>3864</v>
      </c>
      <c r="AJ156" s="30">
        <v>2761.6008000000002</v>
      </c>
      <c r="AK156" s="436">
        <v>681</v>
      </c>
      <c r="AL156" s="30">
        <v>410.64299999999997</v>
      </c>
      <c r="AM156" s="238">
        <v>9.7426876463936001</v>
      </c>
      <c r="AN156" s="238" t="s">
        <v>1000</v>
      </c>
      <c r="AO156" s="247">
        <v>1.65</v>
      </c>
      <c r="AP156" s="247">
        <v>20.8</v>
      </c>
      <c r="AQ156" s="247">
        <v>7.09</v>
      </c>
      <c r="AR156" s="247">
        <v>0.51</v>
      </c>
      <c r="AS156" s="247" t="s">
        <v>561</v>
      </c>
      <c r="AT156" s="253">
        <v>65.959999999999994</v>
      </c>
      <c r="AU156" s="247">
        <v>165.18</v>
      </c>
      <c r="AV156" s="44">
        <v>1.1599999999999999</v>
      </c>
      <c r="AW156" s="448">
        <v>0</v>
      </c>
      <c r="AX156" s="254"/>
      <c r="AY156" s="255"/>
      <c r="AZ156" s="247">
        <v>0.91077109974424542</v>
      </c>
      <c r="BA156" s="247">
        <v>1.6870160869565221</v>
      </c>
      <c r="BB156" s="247">
        <v>13.8</v>
      </c>
      <c r="BC156" s="247">
        <v>3.3797777777777775</v>
      </c>
      <c r="BD156" s="247">
        <v>0.57560618360983185</v>
      </c>
      <c r="BE156" s="247" t="s">
        <v>1125</v>
      </c>
      <c r="BF156" s="247">
        <v>0.91088083120204599</v>
      </c>
      <c r="BG156" s="247">
        <v>1.6834275772074814</v>
      </c>
      <c r="BH156" s="247">
        <v>13.780443113772456</v>
      </c>
      <c r="BI156" s="247">
        <v>2.4107400000000001</v>
      </c>
      <c r="BJ156" s="410">
        <v>8.9613177021196561E-2</v>
      </c>
      <c r="BK156" s="247" t="s">
        <v>1126</v>
      </c>
      <c r="BL156" s="247" t="s">
        <v>1135</v>
      </c>
    </row>
    <row r="157" spans="1:64" s="247" customFormat="1" ht="20.25" customHeight="1" thickBot="1" x14ac:dyDescent="0.35">
      <c r="A157" s="246" t="s">
        <v>551</v>
      </c>
      <c r="B157" s="247" t="s">
        <v>81</v>
      </c>
      <c r="C157" s="248" t="s">
        <v>526</v>
      </c>
      <c r="D157" s="248" t="s">
        <v>1241</v>
      </c>
      <c r="G157" s="247" t="s">
        <v>628</v>
      </c>
      <c r="H157" s="247" t="s">
        <v>629</v>
      </c>
      <c r="I157" s="247" t="s">
        <v>138</v>
      </c>
      <c r="J157" s="247" t="s">
        <v>84</v>
      </c>
      <c r="L157" s="249">
        <v>44819</v>
      </c>
      <c r="M157" s="249">
        <v>44860</v>
      </c>
      <c r="N157" s="247">
        <v>8.31</v>
      </c>
      <c r="O157" s="247">
        <v>0.35</v>
      </c>
      <c r="R157" s="44">
        <v>3.42</v>
      </c>
      <c r="S157" s="29">
        <f t="shared" si="23"/>
        <v>-0.45593195564972439</v>
      </c>
      <c r="T157" s="29">
        <f t="shared" si="24"/>
        <v>0.53402610605613499</v>
      </c>
      <c r="U157" s="356">
        <f t="shared" si="32"/>
        <v>1.8374999999999999</v>
      </c>
      <c r="V157" s="363">
        <f t="shared" si="33"/>
        <v>9.9469899999999996</v>
      </c>
      <c r="W157" s="363">
        <f t="shared" si="34"/>
        <v>2.0579299999999998</v>
      </c>
      <c r="X157" s="239">
        <v>50</v>
      </c>
      <c r="Y157" s="239">
        <v>30</v>
      </c>
      <c r="Z157" s="239">
        <v>20</v>
      </c>
      <c r="AA157" s="239" t="s">
        <v>876</v>
      </c>
      <c r="AB157" s="239" t="s">
        <v>877</v>
      </c>
      <c r="AC157" s="44">
        <v>1.569</v>
      </c>
      <c r="AD157" s="44">
        <v>9.8062499999999997E-2</v>
      </c>
      <c r="AE157" s="251">
        <v>49.38</v>
      </c>
      <c r="AF157" s="251">
        <v>318.5</v>
      </c>
      <c r="AG157" s="436">
        <v>408</v>
      </c>
      <c r="AH157" s="30">
        <v>302.6952</v>
      </c>
      <c r="AI157" s="436">
        <v>4017</v>
      </c>
      <c r="AJ157" s="30">
        <v>2870.9499000000001</v>
      </c>
      <c r="AK157" s="436">
        <v>924</v>
      </c>
      <c r="AL157" s="30">
        <v>557.17200000000003</v>
      </c>
      <c r="AM157" s="238">
        <v>7.3112629521320596</v>
      </c>
      <c r="AN157" s="238" t="s">
        <v>1000</v>
      </c>
      <c r="AO157" s="247">
        <v>1.25</v>
      </c>
      <c r="AP157" s="247">
        <v>10.68</v>
      </c>
      <c r="AQ157" s="247">
        <v>3.8</v>
      </c>
      <c r="AR157" s="247">
        <v>0.34</v>
      </c>
      <c r="AS157" s="247" t="s">
        <v>561</v>
      </c>
      <c r="AT157" s="253">
        <v>39.79</v>
      </c>
      <c r="AU157" s="247">
        <v>335.81</v>
      </c>
      <c r="AV157" s="44">
        <v>1.71</v>
      </c>
      <c r="AW157" s="448">
        <v>0</v>
      </c>
      <c r="AX157" s="254"/>
      <c r="AY157" s="255"/>
      <c r="AZ157" s="247">
        <v>0.67609974424552421</v>
      </c>
      <c r="BA157" s="247">
        <v>1.3160660869565217</v>
      </c>
      <c r="BB157" s="247">
        <v>14.346428571428572</v>
      </c>
      <c r="BC157" s="247">
        <v>4.5857777777777784</v>
      </c>
      <c r="BD157" s="247">
        <v>0.42775203200775491</v>
      </c>
      <c r="BE157" s="247" t="s">
        <v>1125</v>
      </c>
      <c r="BF157" s="247">
        <v>0.67618120204603571</v>
      </c>
      <c r="BG157" s="247">
        <v>1.3132666376685516</v>
      </c>
      <c r="BH157" s="247">
        <v>14.326097305389222</v>
      </c>
      <c r="BI157" s="247">
        <v>3.2709600000000001</v>
      </c>
      <c r="BJ157" s="410">
        <v>6.7049564378096269E-2</v>
      </c>
      <c r="BK157" s="247" t="s">
        <v>1126</v>
      </c>
      <c r="BL157" s="247" t="s">
        <v>1135</v>
      </c>
    </row>
    <row r="158" spans="1:64" s="247" customFormat="1" ht="20.25" customHeight="1" thickBot="1" x14ac:dyDescent="0.35">
      <c r="A158" s="246" t="s">
        <v>552</v>
      </c>
      <c r="B158" s="247" t="s">
        <v>81</v>
      </c>
      <c r="C158" s="248" t="s">
        <v>527</v>
      </c>
      <c r="D158" s="248" t="s">
        <v>1240</v>
      </c>
      <c r="G158" s="247" t="s">
        <v>630</v>
      </c>
      <c r="H158" s="247" t="s">
        <v>631</v>
      </c>
      <c r="I158" s="247" t="s">
        <v>138</v>
      </c>
      <c r="J158" s="247" t="s">
        <v>84</v>
      </c>
      <c r="L158" s="249">
        <v>44819</v>
      </c>
      <c r="M158" s="249">
        <v>44860</v>
      </c>
      <c r="N158" s="247">
        <v>8.01</v>
      </c>
      <c r="O158" s="247">
        <v>2.21</v>
      </c>
      <c r="R158" s="44">
        <v>3.21</v>
      </c>
      <c r="S158" s="29">
        <f t="shared" si="23"/>
        <v>0.34439227368511072</v>
      </c>
      <c r="T158" s="29">
        <f t="shared" si="24"/>
        <v>0.5065050324048721</v>
      </c>
      <c r="U158" s="356">
        <f>10.92*O158</f>
        <v>24.133199999999999</v>
      </c>
      <c r="V158" s="356">
        <f>9.5459*O158+2.1572</f>
        <v>23.253639</v>
      </c>
      <c r="W158" s="356">
        <f>9.7271*O158</f>
        <v>21.496891000000002</v>
      </c>
      <c r="X158" s="239">
        <v>10</v>
      </c>
      <c r="Y158" s="239">
        <v>50</v>
      </c>
      <c r="Z158" s="239">
        <v>40</v>
      </c>
      <c r="AA158" s="239" t="s">
        <v>883</v>
      </c>
      <c r="AB158" s="239" t="s">
        <v>888</v>
      </c>
      <c r="AC158" s="44">
        <v>1.121</v>
      </c>
      <c r="AD158" s="44">
        <v>7.00625E-2</v>
      </c>
      <c r="AE158" s="251">
        <v>42.92</v>
      </c>
      <c r="AF158" s="251">
        <v>185.64</v>
      </c>
      <c r="AG158" s="436">
        <v>117</v>
      </c>
      <c r="AH158" s="30">
        <v>86.802300000000002</v>
      </c>
      <c r="AI158" s="436">
        <v>49582</v>
      </c>
      <c r="AJ158" s="30">
        <v>35436.255400000002</v>
      </c>
      <c r="AK158" s="436">
        <v>262</v>
      </c>
      <c r="AL158" s="30">
        <v>157.98599999999999</v>
      </c>
      <c r="AM158" s="238">
        <v>0.65066337254738082</v>
      </c>
      <c r="AN158" s="238" t="s">
        <v>1000</v>
      </c>
      <c r="AO158" s="247">
        <v>0.8</v>
      </c>
      <c r="AP158" s="247">
        <v>11.67</v>
      </c>
      <c r="AQ158" s="247">
        <v>4.17</v>
      </c>
      <c r="AR158" s="247">
        <v>0.33</v>
      </c>
      <c r="AS158" s="247" t="s">
        <v>561</v>
      </c>
      <c r="AT158" s="253">
        <v>4.3600000000000003</v>
      </c>
      <c r="AU158" s="247">
        <v>30.24</v>
      </c>
      <c r="AV158" s="44">
        <v>1.45</v>
      </c>
      <c r="AW158" s="448">
        <v>2.6778242677824267</v>
      </c>
      <c r="AX158" s="254"/>
      <c r="AY158" s="255"/>
      <c r="AZ158" s="247">
        <v>0.39406956521739123</v>
      </c>
      <c r="BA158" s="247">
        <v>0.37740130434782609</v>
      </c>
      <c r="BB158" s="247">
        <v>177.07857142857142</v>
      </c>
      <c r="BC158" s="247">
        <v>1.3002962962962961</v>
      </c>
      <c r="BD158" s="247">
        <v>3.9961951943157124E-2</v>
      </c>
      <c r="BE158" s="247" t="s">
        <v>1125</v>
      </c>
      <c r="BF158" s="247">
        <v>0.39411704347826088</v>
      </c>
      <c r="BG158" s="247">
        <v>0.37659852109612874</v>
      </c>
      <c r="BH158" s="247">
        <v>176.82762175648702</v>
      </c>
      <c r="BI158" s="247">
        <v>0.92748000000000008</v>
      </c>
      <c r="BJ158" s="410">
        <v>2.109490530542441E-3</v>
      </c>
      <c r="BK158" s="247" t="s">
        <v>1126</v>
      </c>
      <c r="BL158" s="247" t="s">
        <v>1136</v>
      </c>
    </row>
    <row r="159" spans="1:64" s="247" customFormat="1" ht="20.25" customHeight="1" thickBot="1" x14ac:dyDescent="0.35">
      <c r="A159" s="246" t="s">
        <v>553</v>
      </c>
      <c r="B159" s="247" t="s">
        <v>81</v>
      </c>
      <c r="C159" s="248" t="s">
        <v>528</v>
      </c>
      <c r="D159" s="248" t="s">
        <v>1241</v>
      </c>
      <c r="G159" s="247" t="s">
        <v>630</v>
      </c>
      <c r="H159" s="247" t="s">
        <v>631</v>
      </c>
      <c r="I159" s="247" t="s">
        <v>138</v>
      </c>
      <c r="J159" s="247" t="s">
        <v>84</v>
      </c>
      <c r="L159" s="249">
        <v>44819</v>
      </c>
      <c r="M159" s="249">
        <v>44860</v>
      </c>
      <c r="N159" s="247">
        <v>8.0299999999999994</v>
      </c>
      <c r="O159" s="247">
        <v>2.34</v>
      </c>
      <c r="R159" s="44">
        <v>4.17</v>
      </c>
      <c r="S159" s="29">
        <f t="shared" si="23"/>
        <v>0.36921585741014279</v>
      </c>
      <c r="T159" s="29">
        <f t="shared" si="24"/>
        <v>0.62013605497375746</v>
      </c>
      <c r="U159" s="356">
        <f t="shared" ref="U159" si="35">O159*5.4</f>
        <v>12.635999999999999</v>
      </c>
      <c r="V159" s="356">
        <f>5.4577*O159-1.0593</f>
        <v>11.711717999999999</v>
      </c>
      <c r="W159" s="356">
        <f>4.8306*O159</f>
        <v>11.303603999999998</v>
      </c>
      <c r="X159" s="239">
        <v>10</v>
      </c>
      <c r="Y159" s="239">
        <v>52</v>
      </c>
      <c r="Z159" s="239">
        <v>38</v>
      </c>
      <c r="AA159" s="239" t="s">
        <v>884</v>
      </c>
      <c r="AB159" s="239" t="s">
        <v>879</v>
      </c>
      <c r="AC159" s="44">
        <v>1.3069999999999999</v>
      </c>
      <c r="AD159" s="44">
        <v>8.1687499999999996E-2</v>
      </c>
      <c r="AE159" s="251">
        <v>40.83</v>
      </c>
      <c r="AF159" s="251">
        <v>154.28</v>
      </c>
      <c r="AG159" s="436">
        <v>289</v>
      </c>
      <c r="AH159" s="30">
        <v>214.4091</v>
      </c>
      <c r="AI159" s="436">
        <v>49890</v>
      </c>
      <c r="AJ159" s="30">
        <v>35656.383000000002</v>
      </c>
      <c r="AK159" s="436">
        <v>316</v>
      </c>
      <c r="AL159" s="30">
        <v>190.548</v>
      </c>
      <c r="AM159" s="238">
        <v>1.6015194658772378</v>
      </c>
      <c r="AN159" s="238" t="s">
        <v>1000</v>
      </c>
      <c r="AO159" s="247">
        <v>0.54</v>
      </c>
      <c r="AP159" s="247">
        <v>6.25</v>
      </c>
      <c r="AQ159" s="247">
        <v>2.0699999999999998</v>
      </c>
      <c r="AR159" s="247">
        <v>0.3</v>
      </c>
      <c r="AS159" s="247" t="s">
        <v>561</v>
      </c>
      <c r="AT159" s="253">
        <v>11.88</v>
      </c>
      <c r="AU159" s="247">
        <v>139.57</v>
      </c>
      <c r="AV159" s="44">
        <v>1.28</v>
      </c>
      <c r="AW159" s="448">
        <v>2.6301828842663686</v>
      </c>
      <c r="AX159" s="254"/>
      <c r="AY159" s="255"/>
      <c r="AZ159" s="247">
        <v>0.3274997442455243</v>
      </c>
      <c r="BA159" s="247">
        <v>0.93221347826086953</v>
      </c>
      <c r="BB159" s="247">
        <v>178.17857142857142</v>
      </c>
      <c r="BC159" s="247">
        <v>1.5682962962962963</v>
      </c>
      <c r="BD159" s="247">
        <v>9.8333095330942533E-2</v>
      </c>
      <c r="BE159" s="247" t="s">
        <v>1125</v>
      </c>
      <c r="BF159" s="247">
        <v>0.32753920204603576</v>
      </c>
      <c r="BG159" s="247">
        <v>0.9302305350152239</v>
      </c>
      <c r="BH159" s="247">
        <v>177.9260628742515</v>
      </c>
      <c r="BI159" s="247">
        <v>1.1186400000000001</v>
      </c>
      <c r="BJ159" s="410">
        <v>5.1592777489001453E-3</v>
      </c>
      <c r="BK159" s="247" t="s">
        <v>1126</v>
      </c>
      <c r="BL159" s="247" t="s">
        <v>1136</v>
      </c>
    </row>
    <row r="160" spans="1:64" s="247" customFormat="1" ht="20.25" customHeight="1" thickBot="1" x14ac:dyDescent="0.35">
      <c r="A160" s="246" t="s">
        <v>554</v>
      </c>
      <c r="B160" s="247" t="s">
        <v>81</v>
      </c>
      <c r="C160" s="248" t="s">
        <v>529</v>
      </c>
      <c r="D160" s="248" t="s">
        <v>1240</v>
      </c>
      <c r="G160" s="247" t="s">
        <v>632</v>
      </c>
      <c r="H160" s="247" t="s">
        <v>633</v>
      </c>
      <c r="I160" s="247" t="s">
        <v>138</v>
      </c>
      <c r="J160" s="247" t="s">
        <v>84</v>
      </c>
      <c r="L160" s="249">
        <v>44819</v>
      </c>
      <c r="M160" s="249">
        <v>44860</v>
      </c>
      <c r="N160" s="247">
        <v>7.97</v>
      </c>
      <c r="O160" s="247">
        <v>18.78</v>
      </c>
      <c r="R160" s="256">
        <v>157.80000000000001</v>
      </c>
      <c r="S160" s="29">
        <f t="shared" si="23"/>
        <v>1.2736955879300922</v>
      </c>
      <c r="T160" s="29">
        <f t="shared" si="24"/>
        <v>2.1981069988734014</v>
      </c>
      <c r="U160" s="362">
        <f>O160*5.4</f>
        <v>101.41200000000001</v>
      </c>
      <c r="V160" s="356">
        <f>5.4577*O160-1.0593</f>
        <v>101.43630600000002</v>
      </c>
      <c r="W160" s="356">
        <f>4.8306*O160</f>
        <v>90.718667999999994</v>
      </c>
      <c r="X160" s="239">
        <v>26</v>
      </c>
      <c r="Y160" s="239">
        <v>64</v>
      </c>
      <c r="Z160" s="239">
        <v>10</v>
      </c>
      <c r="AA160" s="239" t="s">
        <v>884</v>
      </c>
      <c r="AB160" s="239" t="s">
        <v>879</v>
      </c>
      <c r="AC160" s="44">
        <v>2.2189999999999999</v>
      </c>
      <c r="AD160" s="44">
        <v>0.13</v>
      </c>
      <c r="AE160" s="251">
        <v>80.69</v>
      </c>
      <c r="AF160" s="251">
        <v>1458.75</v>
      </c>
      <c r="AG160" s="436">
        <v>44047</v>
      </c>
      <c r="AH160" s="30">
        <v>32678.469300000001</v>
      </c>
      <c r="AI160" s="436">
        <v>13425</v>
      </c>
      <c r="AJ160" s="30">
        <v>9594.8474999999999</v>
      </c>
      <c r="AK160" s="436">
        <v>4087</v>
      </c>
      <c r="AL160" s="30">
        <v>2464.4609999999998</v>
      </c>
      <c r="AM160" s="238">
        <v>420.83853548235618</v>
      </c>
      <c r="AN160" s="339" t="s">
        <v>997</v>
      </c>
      <c r="AO160" s="247">
        <v>2.4900000000000002</v>
      </c>
      <c r="AP160" s="247">
        <v>59.74</v>
      </c>
      <c r="AQ160" s="247">
        <v>11.09</v>
      </c>
      <c r="AR160" s="247">
        <v>1.77</v>
      </c>
      <c r="AS160" s="247">
        <v>3.19</v>
      </c>
      <c r="AT160" s="253">
        <v>95.05</v>
      </c>
      <c r="AU160" s="247">
        <v>57653.9</v>
      </c>
      <c r="AV160" s="44">
        <v>3.8</v>
      </c>
      <c r="AW160" s="448">
        <v>1.4129380800664912</v>
      </c>
      <c r="AX160" s="254"/>
      <c r="AY160" s="255"/>
      <c r="AZ160" s="247">
        <v>3.0965792838874679</v>
      </c>
      <c r="BA160" s="247">
        <v>142.08030130434784</v>
      </c>
      <c r="BB160" s="247">
        <v>47.946428571428569</v>
      </c>
      <c r="BC160" s="247">
        <v>20.283629629629626</v>
      </c>
      <c r="BD160" s="247">
        <v>24.325456346061181</v>
      </c>
      <c r="BE160" s="247" t="s">
        <v>1128</v>
      </c>
      <c r="BF160" s="247">
        <v>3.0969523657289</v>
      </c>
      <c r="BG160" s="247">
        <v>141.77807742496736</v>
      </c>
      <c r="BH160" s="247">
        <v>47.878480538922155</v>
      </c>
      <c r="BI160" s="247">
        <v>14.467980000000001</v>
      </c>
      <c r="BJ160" s="410">
        <v>0.68418616814041344</v>
      </c>
      <c r="BK160" s="247" t="s">
        <v>1129</v>
      </c>
      <c r="BL160" s="247" t="s">
        <v>1136</v>
      </c>
    </row>
    <row r="161" spans="1:64" s="247" customFormat="1" ht="20.25" customHeight="1" thickBot="1" x14ac:dyDescent="0.35">
      <c r="A161" s="246" t="s">
        <v>555</v>
      </c>
      <c r="B161" s="247" t="s">
        <v>81</v>
      </c>
      <c r="C161" s="248" t="s">
        <v>530</v>
      </c>
      <c r="D161" s="248" t="s">
        <v>1241</v>
      </c>
      <c r="G161" s="247" t="s">
        <v>632</v>
      </c>
      <c r="H161" s="247" t="s">
        <v>633</v>
      </c>
      <c r="I161" s="247" t="s">
        <v>138</v>
      </c>
      <c r="J161" s="247" t="s">
        <v>84</v>
      </c>
      <c r="L161" s="249">
        <v>44819</v>
      </c>
      <c r="M161" s="249">
        <v>44860</v>
      </c>
      <c r="N161" s="247">
        <v>8.14</v>
      </c>
      <c r="O161" s="247">
        <v>10.4</v>
      </c>
      <c r="R161" s="256">
        <v>103.6</v>
      </c>
      <c r="S161" s="29">
        <f t="shared" si="23"/>
        <v>1.0170333392987803</v>
      </c>
      <c r="T161" s="29">
        <f t="shared" si="24"/>
        <v>2.0153597554092144</v>
      </c>
      <c r="U161" s="362">
        <f t="shared" ref="U161:U163" si="36">O161*5.25</f>
        <v>54.6</v>
      </c>
      <c r="V161" s="363">
        <f t="shared" ref="V161:V163" si="37">5.3954*O161+8.0586</f>
        <v>64.170760000000001</v>
      </c>
      <c r="W161" s="363">
        <f t="shared" ref="W161:W163" si="38">O161*5.8798</f>
        <v>61.149920000000009</v>
      </c>
      <c r="X161" s="239">
        <v>46</v>
      </c>
      <c r="Y161" s="239">
        <v>34</v>
      </c>
      <c r="Z161" s="239">
        <v>20</v>
      </c>
      <c r="AA161" s="239" t="s">
        <v>876</v>
      </c>
      <c r="AB161" s="239" t="s">
        <v>877</v>
      </c>
      <c r="AC161" s="44">
        <v>1.5449999999999999</v>
      </c>
      <c r="AD161" s="44">
        <v>9.6562499999999996E-2</v>
      </c>
      <c r="AE161" s="251">
        <v>58.69</v>
      </c>
      <c r="AF161" s="251">
        <v>2101.94</v>
      </c>
      <c r="AG161" s="436">
        <v>27962</v>
      </c>
      <c r="AH161" s="30">
        <v>20745.007799999999</v>
      </c>
      <c r="AI161" s="436">
        <v>25536</v>
      </c>
      <c r="AJ161" s="30">
        <v>18250.5792</v>
      </c>
      <c r="AK161" s="436">
        <v>4995</v>
      </c>
      <c r="AL161" s="30">
        <v>3011.9850000000001</v>
      </c>
      <c r="AM161" s="238">
        <v>201.19666670003966</v>
      </c>
      <c r="AN161" s="339" t="s">
        <v>997</v>
      </c>
      <c r="AO161" s="247">
        <v>1.49</v>
      </c>
      <c r="AP161" s="247">
        <v>7.88</v>
      </c>
      <c r="AQ161" s="247">
        <v>6.41</v>
      </c>
      <c r="AR161" s="247">
        <v>0.76</v>
      </c>
      <c r="AS161" s="247" t="s">
        <v>561</v>
      </c>
      <c r="AT161" s="253">
        <v>36.51</v>
      </c>
      <c r="AU161" s="247">
        <v>26467.19</v>
      </c>
      <c r="AV161" s="44">
        <v>4.28</v>
      </c>
      <c r="AW161" s="448">
        <v>2.6163522012578615</v>
      </c>
      <c r="AX161" s="254"/>
      <c r="AY161" s="255"/>
      <c r="AZ161" s="247">
        <v>4.4619186700767264</v>
      </c>
      <c r="BA161" s="247">
        <v>90.195686086956513</v>
      </c>
      <c r="BB161" s="247">
        <v>91.2</v>
      </c>
      <c r="BC161" s="247">
        <v>24.790000000000003</v>
      </c>
      <c r="BD161" s="247">
        <v>11.843784318361124</v>
      </c>
      <c r="BE161" s="247" t="s">
        <v>1133</v>
      </c>
      <c r="BF161" s="247">
        <v>4.4624562506393861</v>
      </c>
      <c r="BG161" s="247">
        <v>90.00382775119617</v>
      </c>
      <c r="BH161" s="247">
        <v>91.070754491017965</v>
      </c>
      <c r="BI161" s="247">
        <v>17.682300000000001</v>
      </c>
      <c r="BJ161" s="410">
        <v>0.44289007344820813</v>
      </c>
      <c r="BK161" s="247" t="s">
        <v>1130</v>
      </c>
      <c r="BL161" s="247" t="s">
        <v>1136</v>
      </c>
    </row>
    <row r="162" spans="1:64" s="247" customFormat="1" ht="20.25" customHeight="1" thickBot="1" x14ac:dyDescent="0.35">
      <c r="A162" s="246" t="s">
        <v>556</v>
      </c>
      <c r="B162" s="247" t="s">
        <v>81</v>
      </c>
      <c r="C162" s="248" t="s">
        <v>531</v>
      </c>
      <c r="D162" s="248" t="s">
        <v>1240</v>
      </c>
      <c r="G162" s="247" t="s">
        <v>634</v>
      </c>
      <c r="H162" s="247" t="s">
        <v>635</v>
      </c>
      <c r="I162" s="247" t="s">
        <v>138</v>
      </c>
      <c r="J162" s="247" t="s">
        <v>84</v>
      </c>
      <c r="L162" s="249">
        <v>44819</v>
      </c>
      <c r="M162" s="249">
        <v>44860</v>
      </c>
      <c r="N162" s="247">
        <v>8.4600000000000009</v>
      </c>
      <c r="O162" s="247">
        <v>0.46</v>
      </c>
      <c r="R162" s="44">
        <v>5.8120000000000003</v>
      </c>
      <c r="S162" s="29">
        <f t="shared" si="23"/>
        <v>-0.33724216831842591</v>
      </c>
      <c r="T162" s="29">
        <f t="shared" si="24"/>
        <v>0.76432560562598395</v>
      </c>
      <c r="U162" s="356">
        <f t="shared" si="36"/>
        <v>2.415</v>
      </c>
      <c r="V162" s="363">
        <f t="shared" si="37"/>
        <v>10.540484000000001</v>
      </c>
      <c r="W162" s="363">
        <f t="shared" si="38"/>
        <v>2.7047080000000001</v>
      </c>
      <c r="X162" s="239">
        <v>50</v>
      </c>
      <c r="Y162" s="239">
        <v>30</v>
      </c>
      <c r="Z162" s="239">
        <v>20</v>
      </c>
      <c r="AA162" s="239" t="s">
        <v>876</v>
      </c>
      <c r="AB162" s="239" t="s">
        <v>877</v>
      </c>
      <c r="AC162" s="44">
        <v>1.786</v>
      </c>
      <c r="AD162" s="44">
        <v>0.111625</v>
      </c>
      <c r="AE162" s="251">
        <v>103.94</v>
      </c>
      <c r="AF162" s="251">
        <v>1294.24</v>
      </c>
      <c r="AG162" s="436">
        <v>816</v>
      </c>
      <c r="AH162" s="30">
        <v>605.3904</v>
      </c>
      <c r="AI162" s="436">
        <v>10108</v>
      </c>
      <c r="AJ162" s="30">
        <v>7224.1876000000002</v>
      </c>
      <c r="AK162" s="436">
        <v>1461</v>
      </c>
      <c r="AL162" s="30">
        <v>880.98299999999995</v>
      </c>
      <c r="AM162" s="238">
        <v>9.5097576080087531</v>
      </c>
      <c r="AN162" s="238" t="s">
        <v>1000</v>
      </c>
      <c r="AO162" s="247">
        <v>3.08</v>
      </c>
      <c r="AP162" s="247">
        <v>10.31</v>
      </c>
      <c r="AQ162" s="247">
        <v>26.57</v>
      </c>
      <c r="AR162" s="247">
        <v>1.07</v>
      </c>
      <c r="AS162" s="247" t="s">
        <v>561</v>
      </c>
      <c r="AT162" s="253">
        <v>5.25</v>
      </c>
      <c r="AU162" s="247">
        <v>607.12</v>
      </c>
      <c r="AV162" s="44">
        <v>2</v>
      </c>
      <c r="AW162" s="448">
        <v>2.8317601332593005</v>
      </c>
      <c r="AX162" s="254"/>
      <c r="AY162" s="255"/>
      <c r="AZ162" s="247">
        <v>2.7473636828644499</v>
      </c>
      <c r="BA162" s="247">
        <v>2.6321321739130434</v>
      </c>
      <c r="BB162" s="247">
        <v>36.1</v>
      </c>
      <c r="BC162" s="247">
        <v>7.2508888888888885</v>
      </c>
      <c r="BD162" s="247">
        <v>0.56535819037520341</v>
      </c>
      <c r="BE162" s="247" t="s">
        <v>1125</v>
      </c>
      <c r="BF162" s="247">
        <v>2.7476946905370845</v>
      </c>
      <c r="BG162" s="247">
        <v>2.6265332753371031</v>
      </c>
      <c r="BH162" s="247">
        <v>36.048840319361275</v>
      </c>
      <c r="BI162" s="247">
        <v>5.1719400000000002</v>
      </c>
      <c r="BJ162" s="410">
        <v>5.6369413205349113E-2</v>
      </c>
      <c r="BK162" s="247" t="s">
        <v>1126</v>
      </c>
      <c r="BL162" s="247" t="s">
        <v>1135</v>
      </c>
    </row>
    <row r="163" spans="1:64" s="247" customFormat="1" ht="20.25" customHeight="1" thickBot="1" x14ac:dyDescent="0.35">
      <c r="A163" s="246" t="s">
        <v>557</v>
      </c>
      <c r="B163" s="247" t="s">
        <v>81</v>
      </c>
      <c r="C163" s="248" t="s">
        <v>532</v>
      </c>
      <c r="D163" s="248" t="s">
        <v>1241</v>
      </c>
      <c r="G163" s="247" t="s">
        <v>634</v>
      </c>
      <c r="H163" s="247" t="s">
        <v>635</v>
      </c>
      <c r="I163" s="247" t="s">
        <v>138</v>
      </c>
      <c r="J163" s="247" t="s">
        <v>84</v>
      </c>
      <c r="L163" s="249">
        <v>44819</v>
      </c>
      <c r="M163" s="249">
        <v>44860</v>
      </c>
      <c r="N163" s="247">
        <v>8.26</v>
      </c>
      <c r="O163" s="247">
        <v>2.96</v>
      </c>
      <c r="R163" s="44">
        <v>26.16</v>
      </c>
      <c r="S163" s="29">
        <f t="shared" si="23"/>
        <v>0.47129171105893858</v>
      </c>
      <c r="T163" s="29">
        <f t="shared" si="24"/>
        <v>1.4176377396522297</v>
      </c>
      <c r="U163" s="356">
        <f t="shared" si="36"/>
        <v>15.54</v>
      </c>
      <c r="V163" s="363">
        <f t="shared" si="37"/>
        <v>24.028984000000001</v>
      </c>
      <c r="W163" s="363">
        <f t="shared" si="38"/>
        <v>17.404208000000001</v>
      </c>
      <c r="X163" s="239">
        <v>60</v>
      </c>
      <c r="Y163" s="239">
        <v>20</v>
      </c>
      <c r="Z163" s="239">
        <v>20</v>
      </c>
      <c r="AA163" s="239" t="s">
        <v>876</v>
      </c>
      <c r="AB163" s="239" t="s">
        <v>877</v>
      </c>
      <c r="AC163" s="44">
        <v>1.619</v>
      </c>
      <c r="AD163" s="44">
        <v>0.1011875</v>
      </c>
      <c r="AE163" s="251">
        <v>71.510000000000005</v>
      </c>
      <c r="AF163" s="251">
        <v>1409.6</v>
      </c>
      <c r="AG163" s="436">
        <v>6078</v>
      </c>
      <c r="AH163" s="30">
        <v>4509.2682000000004</v>
      </c>
      <c r="AI163" s="436">
        <v>10067</v>
      </c>
      <c r="AJ163" s="30">
        <v>7194.8849</v>
      </c>
      <c r="AK163" s="436">
        <v>2345</v>
      </c>
      <c r="AL163" s="30">
        <v>1414.0349999999999</v>
      </c>
      <c r="AM163" s="238">
        <v>68.730061282270228</v>
      </c>
      <c r="AN163" s="339" t="s">
        <v>999</v>
      </c>
      <c r="AO163" s="247">
        <v>1.78</v>
      </c>
      <c r="AP163" s="247">
        <v>5.17</v>
      </c>
      <c r="AQ163" s="247">
        <v>9.02</v>
      </c>
      <c r="AR163" s="247">
        <v>0.8</v>
      </c>
      <c r="AS163" s="247" t="s">
        <v>561</v>
      </c>
      <c r="AT163" s="253">
        <v>11.61</v>
      </c>
      <c r="AU163" s="247">
        <v>5960.88</v>
      </c>
      <c r="AV163" s="44">
        <v>5</v>
      </c>
      <c r="AW163" s="448">
        <v>2.6166666666666667</v>
      </c>
      <c r="AX163" s="254"/>
      <c r="AY163" s="255"/>
      <c r="AZ163" s="247">
        <v>2.9922455242966746</v>
      </c>
      <c r="BA163" s="247">
        <v>19.605513913043477</v>
      </c>
      <c r="BB163" s="247">
        <v>35.953571428571429</v>
      </c>
      <c r="BC163" s="247">
        <v>11.638148148148145</v>
      </c>
      <c r="BD163" s="247">
        <v>4.0190881366859577</v>
      </c>
      <c r="BE163" s="247" t="s">
        <v>1125</v>
      </c>
      <c r="BF163" s="247">
        <v>2.9926060358056259</v>
      </c>
      <c r="BG163" s="247">
        <v>19.563810352327099</v>
      </c>
      <c r="BH163" s="247">
        <v>35.902619261477042</v>
      </c>
      <c r="BI163" s="247">
        <v>8.3013000000000012</v>
      </c>
      <c r="BJ163" s="410">
        <v>0.29304541629340136</v>
      </c>
      <c r="BK163" s="247" t="s">
        <v>1127</v>
      </c>
      <c r="BL163" s="247" t="s">
        <v>1136</v>
      </c>
    </row>
    <row r="164" spans="1:64" s="247" customFormat="1" ht="20.25" customHeight="1" thickBot="1" x14ac:dyDescent="0.35">
      <c r="A164" s="246" t="s">
        <v>558</v>
      </c>
      <c r="B164" s="247" t="s">
        <v>81</v>
      </c>
      <c r="C164" s="248" t="s">
        <v>533</v>
      </c>
      <c r="D164" s="248" t="s">
        <v>1240</v>
      </c>
      <c r="G164" s="247" t="s">
        <v>636</v>
      </c>
      <c r="H164" s="247" t="s">
        <v>637</v>
      </c>
      <c r="I164" s="247" t="s">
        <v>138</v>
      </c>
      <c r="J164" s="247" t="s">
        <v>84</v>
      </c>
      <c r="L164" s="249">
        <v>44819</v>
      </c>
      <c r="M164" s="249">
        <v>44860</v>
      </c>
      <c r="N164" s="247">
        <v>8.3800000000000008</v>
      </c>
      <c r="O164" s="247">
        <v>7.04</v>
      </c>
      <c r="R164" s="44">
        <v>60.24</v>
      </c>
      <c r="S164" s="29">
        <f t="shared" si="23"/>
        <v>0.84757265914211222</v>
      </c>
      <c r="T164" s="29">
        <f t="shared" si="24"/>
        <v>1.7798849631926441</v>
      </c>
      <c r="U164" s="356">
        <f>O164*12.43</f>
        <v>87.507199999999997</v>
      </c>
      <c r="V164" s="356">
        <f>9.4944*O164-4.8391</f>
        <v>62.001475999999997</v>
      </c>
      <c r="W164" s="356">
        <f>-0.144*(O164*O164)+11.253*O164+3.5274</f>
        <v>75.611649599999993</v>
      </c>
      <c r="X164" s="239">
        <v>20</v>
      </c>
      <c r="Y164" s="239">
        <v>16</v>
      </c>
      <c r="Z164" s="239">
        <v>64</v>
      </c>
      <c r="AA164" s="239" t="s">
        <v>886</v>
      </c>
      <c r="AB164" s="239" t="s">
        <v>881</v>
      </c>
      <c r="AC164" s="44">
        <v>0.64800000000000002</v>
      </c>
      <c r="AD164" s="44">
        <v>0.05</v>
      </c>
      <c r="AE164" s="251">
        <v>49.35</v>
      </c>
      <c r="AF164" s="251">
        <v>328.52</v>
      </c>
      <c r="AG164" s="436">
        <v>13378</v>
      </c>
      <c r="AH164" s="30">
        <v>9925.1381999999994</v>
      </c>
      <c r="AI164" s="436">
        <v>10230</v>
      </c>
      <c r="AJ164" s="30">
        <v>7311.3810000000003</v>
      </c>
      <c r="AK164" s="436">
        <v>1836</v>
      </c>
      <c r="AL164" s="30">
        <v>1107.1079999999999</v>
      </c>
      <c r="AM164" s="238">
        <v>152.97993996339127</v>
      </c>
      <c r="AN164" s="339" t="s">
        <v>997</v>
      </c>
      <c r="AO164" s="247">
        <v>0.57999999999999996</v>
      </c>
      <c r="AP164" s="247">
        <v>4.58</v>
      </c>
      <c r="AQ164" s="247">
        <v>7.32</v>
      </c>
      <c r="AR164" s="247">
        <v>0.66</v>
      </c>
      <c r="AS164" s="247" t="s">
        <v>561</v>
      </c>
      <c r="AT164" s="253">
        <v>27.98</v>
      </c>
      <c r="AU164" s="247">
        <v>15021.28</v>
      </c>
      <c r="AV164" s="44">
        <v>1.44</v>
      </c>
      <c r="AW164" s="451">
        <v>55.864369093941065</v>
      </c>
      <c r="AX164" s="257">
        <v>6.5000000000000036</v>
      </c>
      <c r="AY164" s="255"/>
      <c r="AZ164" s="247">
        <v>0.69736982097186695</v>
      </c>
      <c r="BA164" s="247">
        <v>43.152774782608688</v>
      </c>
      <c r="BB164" s="247">
        <v>36.535714285714285</v>
      </c>
      <c r="BC164" s="247">
        <v>9.1119999999999983</v>
      </c>
      <c r="BD164" s="247">
        <v>9.0326297033034688</v>
      </c>
      <c r="BE164" s="247" t="s">
        <v>1125</v>
      </c>
      <c r="BF164" s="247">
        <v>0.69745384143222489</v>
      </c>
      <c r="BG164" s="247">
        <v>43.060983036102648</v>
      </c>
      <c r="BH164" s="247">
        <v>36.483937125748504</v>
      </c>
      <c r="BI164" s="247">
        <v>6.4994399999999999</v>
      </c>
      <c r="BJ164" s="410">
        <v>0.49642705229190498</v>
      </c>
      <c r="BK164" s="247" t="s">
        <v>1130</v>
      </c>
      <c r="BL164" s="247" t="s">
        <v>1136</v>
      </c>
    </row>
    <row r="165" spans="1:64" s="247" customFormat="1" ht="20.25" customHeight="1" thickBot="1" x14ac:dyDescent="0.35">
      <c r="A165" s="246" t="s">
        <v>559</v>
      </c>
      <c r="B165" s="247" t="s">
        <v>81</v>
      </c>
      <c r="C165" s="248" t="s">
        <v>534</v>
      </c>
      <c r="D165" s="248" t="s">
        <v>1240</v>
      </c>
      <c r="G165" s="247" t="s">
        <v>638</v>
      </c>
      <c r="H165" s="247" t="s">
        <v>639</v>
      </c>
      <c r="I165" s="247" t="s">
        <v>138</v>
      </c>
      <c r="J165" s="247" t="s">
        <v>84</v>
      </c>
      <c r="L165" s="249">
        <v>44819</v>
      </c>
      <c r="M165" s="249">
        <v>44860</v>
      </c>
      <c r="N165" s="247">
        <v>8.73</v>
      </c>
      <c r="O165" s="247">
        <v>0.1</v>
      </c>
      <c r="R165" s="44">
        <v>1.83</v>
      </c>
      <c r="S165" s="29">
        <f t="shared" si="23"/>
        <v>-1</v>
      </c>
      <c r="T165" s="29">
        <f t="shared" si="24"/>
        <v>0.26245108973042947</v>
      </c>
      <c r="U165" s="356">
        <f t="shared" ref="U165:U166" si="39">10.92*O165</f>
        <v>1.0920000000000001</v>
      </c>
      <c r="V165" s="356">
        <f t="shared" ref="V165:V166" si="40">9.5459*O165+2.1572</f>
        <v>3.1117900000000001</v>
      </c>
      <c r="W165" s="356">
        <f t="shared" ref="W165:W166" si="41">9.7271*O165</f>
        <v>0.97271000000000007</v>
      </c>
      <c r="X165" s="239">
        <v>16</v>
      </c>
      <c r="Y165" s="239">
        <v>40</v>
      </c>
      <c r="Z165" s="239">
        <v>44</v>
      </c>
      <c r="AA165" s="239" t="s">
        <v>883</v>
      </c>
      <c r="AB165" s="239" t="s">
        <v>888</v>
      </c>
      <c r="AC165" s="44">
        <v>1.45</v>
      </c>
      <c r="AD165" s="44">
        <v>9.0624999999999997E-2</v>
      </c>
      <c r="AE165" s="251">
        <v>109.33</v>
      </c>
      <c r="AF165" s="251">
        <v>640.84</v>
      </c>
      <c r="AG165" s="436">
        <v>74</v>
      </c>
      <c r="AH165" s="30">
        <v>54.900599999999997</v>
      </c>
      <c r="AI165" s="436">
        <v>10100</v>
      </c>
      <c r="AJ165" s="30">
        <v>7218.47</v>
      </c>
      <c r="AK165" s="436">
        <v>597</v>
      </c>
      <c r="AL165" s="30">
        <v>359.99099999999999</v>
      </c>
      <c r="AM165" s="238">
        <v>0.89187004706427897</v>
      </c>
      <c r="AN165" s="238" t="s">
        <v>1000</v>
      </c>
      <c r="AO165" s="247">
        <v>0.87</v>
      </c>
      <c r="AP165" s="247">
        <v>4.01</v>
      </c>
      <c r="AQ165" s="247">
        <v>2.63</v>
      </c>
      <c r="AR165" s="247">
        <v>0.53</v>
      </c>
      <c r="AS165" s="247" t="s">
        <v>561</v>
      </c>
      <c r="AT165" s="253" t="s">
        <v>562</v>
      </c>
      <c r="AU165" s="247">
        <v>28.51</v>
      </c>
      <c r="AV165" s="44">
        <v>0.96</v>
      </c>
      <c r="AW165" s="451">
        <v>26.744671959882993</v>
      </c>
      <c r="AX165" s="257">
        <v>6.0000000000000009</v>
      </c>
      <c r="AY165" s="255"/>
      <c r="AZ165" s="247">
        <v>1.3603508951406649</v>
      </c>
      <c r="BA165" s="247">
        <v>0.23869826086956519</v>
      </c>
      <c r="BB165" s="247">
        <v>36.071428571428569</v>
      </c>
      <c r="BC165" s="247">
        <v>2.9628888888888887</v>
      </c>
      <c r="BD165" s="247">
        <v>5.4030745233015758E-2</v>
      </c>
      <c r="BE165" s="247" t="s">
        <v>1125</v>
      </c>
      <c r="BF165" s="247">
        <v>1.3605147928388746</v>
      </c>
      <c r="BG165" s="247">
        <v>0.23819051761635493</v>
      </c>
      <c r="BH165" s="247">
        <v>36.020309381237524</v>
      </c>
      <c r="BI165" s="247">
        <v>2.1133800000000003</v>
      </c>
      <c r="BJ165" s="410">
        <v>5.9948694123426642E-3</v>
      </c>
      <c r="BK165" s="247" t="s">
        <v>1126</v>
      </c>
      <c r="BL165" s="247" t="s">
        <v>1135</v>
      </c>
    </row>
    <row r="166" spans="1:64" s="259" customFormat="1" ht="20.25" customHeight="1" thickBot="1" x14ac:dyDescent="0.35">
      <c r="A166" s="258" t="s">
        <v>560</v>
      </c>
      <c r="B166" s="259" t="s">
        <v>81</v>
      </c>
      <c r="C166" s="260" t="s">
        <v>535</v>
      </c>
      <c r="D166" s="260" t="s">
        <v>1241</v>
      </c>
      <c r="G166" s="259" t="s">
        <v>638</v>
      </c>
      <c r="H166" s="259" t="s">
        <v>639</v>
      </c>
      <c r="I166" s="259" t="s">
        <v>138</v>
      </c>
      <c r="J166" s="259" t="s">
        <v>84</v>
      </c>
      <c r="L166" s="261">
        <v>44819</v>
      </c>
      <c r="M166" s="261">
        <v>44860</v>
      </c>
      <c r="N166" s="259">
        <v>8.74</v>
      </c>
      <c r="O166" s="259">
        <v>0.15</v>
      </c>
      <c r="R166" s="262">
        <v>1.48</v>
      </c>
      <c r="S166" s="29">
        <f t="shared" si="23"/>
        <v>-0.82390874094431876</v>
      </c>
      <c r="T166" s="29">
        <f t="shared" si="24"/>
        <v>0.17026171539495738</v>
      </c>
      <c r="U166" s="356">
        <f t="shared" si="39"/>
        <v>1.6379999999999999</v>
      </c>
      <c r="V166" s="356">
        <f t="shared" si="40"/>
        <v>3.5890849999999999</v>
      </c>
      <c r="W166" s="356">
        <f t="shared" si="41"/>
        <v>1.4590650000000001</v>
      </c>
      <c r="X166" s="263">
        <v>16</v>
      </c>
      <c r="Y166" s="263">
        <v>40</v>
      </c>
      <c r="Z166" s="262">
        <v>44</v>
      </c>
      <c r="AA166" s="239" t="s">
        <v>883</v>
      </c>
      <c r="AB166" s="239" t="s">
        <v>888</v>
      </c>
      <c r="AC166" s="262">
        <v>1.4279999999999999</v>
      </c>
      <c r="AD166" s="262">
        <v>8.9249999999999996E-2</v>
      </c>
      <c r="AE166" s="264">
        <v>62.98</v>
      </c>
      <c r="AF166" s="264">
        <v>774.5</v>
      </c>
      <c r="AG166" s="440">
        <v>154</v>
      </c>
      <c r="AH166" s="30">
        <v>114.2526</v>
      </c>
      <c r="AI166" s="440">
        <v>10032</v>
      </c>
      <c r="AJ166" s="30">
        <v>7169.8703999999998</v>
      </c>
      <c r="AK166" s="440">
        <v>619</v>
      </c>
      <c r="AL166" s="30">
        <v>373.25700000000001</v>
      </c>
      <c r="AM166" s="238">
        <v>1.8603958769262294</v>
      </c>
      <c r="AN166" s="238" t="s">
        <v>1000</v>
      </c>
      <c r="AO166" s="259">
        <v>0.69</v>
      </c>
      <c r="AP166" s="259">
        <v>3.92</v>
      </c>
      <c r="AQ166" s="259">
        <v>1.83</v>
      </c>
      <c r="AR166" s="259">
        <v>0.35</v>
      </c>
      <c r="AS166" s="259" t="s">
        <v>561</v>
      </c>
      <c r="AT166" s="259">
        <v>16.52</v>
      </c>
      <c r="AU166" s="259">
        <v>86.15</v>
      </c>
      <c r="AV166" s="262">
        <v>1.27</v>
      </c>
      <c r="AW166" s="452">
        <v>26.170301430754265</v>
      </c>
      <c r="AX166" s="265">
        <v>5.8750000000000036</v>
      </c>
      <c r="AY166" s="266"/>
      <c r="AZ166" s="259">
        <v>1.6440792838874676</v>
      </c>
      <c r="BA166" s="259">
        <v>0.49675043478260866</v>
      </c>
      <c r="BB166" s="259">
        <v>35.828571428571429</v>
      </c>
      <c r="BC166" s="259">
        <v>3.0720740740740737</v>
      </c>
      <c r="BD166" s="259">
        <v>0.11263538549996156</v>
      </c>
      <c r="BE166" s="259" t="s">
        <v>1125</v>
      </c>
      <c r="BF166" s="259">
        <v>1.6442773657289</v>
      </c>
      <c r="BG166" s="259">
        <v>0.49569377990430619</v>
      </c>
      <c r="BH166" s="259">
        <v>35.777796407185626</v>
      </c>
      <c r="BI166" s="259">
        <v>2.1912600000000002</v>
      </c>
      <c r="BJ166" s="411">
        <v>1.2358658639916819E-2</v>
      </c>
      <c r="BK166" s="259" t="s">
        <v>1126</v>
      </c>
      <c r="BL166" s="259" t="s">
        <v>1135</v>
      </c>
    </row>
    <row r="167" spans="1:64" s="278" customFormat="1" ht="20.25" customHeight="1" thickBot="1" x14ac:dyDescent="0.35">
      <c r="A167" s="267" t="s">
        <v>720</v>
      </c>
      <c r="B167" s="268" t="s">
        <v>721</v>
      </c>
      <c r="C167" s="268" t="s">
        <v>722</v>
      </c>
      <c r="D167" s="268" t="s">
        <v>1240</v>
      </c>
      <c r="E167" s="268"/>
      <c r="F167" s="268"/>
      <c r="G167" s="268" t="s">
        <v>832</v>
      </c>
      <c r="H167" s="268" t="s">
        <v>854</v>
      </c>
      <c r="I167" s="268"/>
      <c r="J167" s="268" t="s">
        <v>829</v>
      </c>
      <c r="K167" s="268"/>
      <c r="L167" s="269">
        <v>44861</v>
      </c>
      <c r="M167" s="269">
        <v>44890</v>
      </c>
      <c r="N167" s="268">
        <v>8.65</v>
      </c>
      <c r="O167" s="268">
        <v>0.1</v>
      </c>
      <c r="P167" s="268"/>
      <c r="Q167" s="268"/>
      <c r="R167" s="268">
        <v>4.6280000000000001</v>
      </c>
      <c r="S167" s="29">
        <f t="shared" si="23"/>
        <v>-1</v>
      </c>
      <c r="T167" s="29">
        <f t="shared" si="24"/>
        <v>0.66539335027971191</v>
      </c>
      <c r="U167" s="356">
        <f>O167*12.43</f>
        <v>1.2430000000000001</v>
      </c>
      <c r="V167" s="356">
        <f>13.223*O167-1.5217</f>
        <v>-0.1993999999999998</v>
      </c>
      <c r="W167" s="356">
        <f>-0.144*(O167*O167)+11.253*O167+3.5274</f>
        <v>4.6512599999999997</v>
      </c>
      <c r="X167" s="270">
        <v>26</v>
      </c>
      <c r="Y167" s="270">
        <v>24</v>
      </c>
      <c r="Z167" s="270">
        <v>50</v>
      </c>
      <c r="AA167" s="239" t="s">
        <v>885</v>
      </c>
      <c r="AB167" s="239" t="s">
        <v>880</v>
      </c>
      <c r="AC167" s="272">
        <v>1.819</v>
      </c>
      <c r="AD167" s="268">
        <v>0.1</v>
      </c>
      <c r="AE167" s="270">
        <v>54.48</v>
      </c>
      <c r="AF167" s="273">
        <v>731.13</v>
      </c>
      <c r="AG167" s="438">
        <v>30</v>
      </c>
      <c r="AH167" s="30">
        <v>22.257000000000001</v>
      </c>
      <c r="AI167" s="438">
        <v>2487</v>
      </c>
      <c r="AJ167" s="30">
        <v>1777.4589000000001</v>
      </c>
      <c r="AK167" s="438">
        <v>415</v>
      </c>
      <c r="AL167" s="30">
        <v>250.245</v>
      </c>
      <c r="AM167" s="238">
        <v>0.69900350817572099</v>
      </c>
      <c r="AN167" s="238" t="s">
        <v>1000</v>
      </c>
      <c r="AO167" s="272">
        <v>1.32</v>
      </c>
      <c r="AP167" s="272">
        <v>4.6900000000000004</v>
      </c>
      <c r="AQ167" s="272">
        <v>3</v>
      </c>
      <c r="AR167" s="272">
        <v>0.56999999999999995</v>
      </c>
      <c r="AS167" s="274" t="s">
        <v>562</v>
      </c>
      <c r="AT167" s="274" t="s">
        <v>561</v>
      </c>
      <c r="AU167" s="275">
        <v>13.09</v>
      </c>
      <c r="AV167" s="272">
        <v>0.69</v>
      </c>
      <c r="AW167" s="447">
        <v>0.3181691320122802</v>
      </c>
      <c r="AX167" s="276"/>
      <c r="AY167" s="277"/>
      <c r="AZ167" s="278">
        <v>1.5520150895140665</v>
      </c>
      <c r="BA167" s="278">
        <v>9.6769565217391315E-2</v>
      </c>
      <c r="BB167" s="278">
        <v>8.8821428571428562</v>
      </c>
      <c r="BC167" s="278">
        <v>2.0596296296296295</v>
      </c>
      <c r="BD167" s="278">
        <v>4.1372326894432085E-2</v>
      </c>
      <c r="BE167" s="278" t="s">
        <v>1125</v>
      </c>
      <c r="BF167" s="278">
        <v>1.5522020792838873</v>
      </c>
      <c r="BG167" s="278">
        <v>9.6563723357981732E-2</v>
      </c>
      <c r="BH167" s="278">
        <v>8.8695553892215564</v>
      </c>
      <c r="BI167" s="278">
        <v>1.4691000000000001</v>
      </c>
      <c r="BJ167" s="412">
        <v>8.0554209126751358E-3</v>
      </c>
      <c r="BK167" s="278" t="s">
        <v>1126</v>
      </c>
      <c r="BL167" s="278" t="s">
        <v>1135</v>
      </c>
    </row>
    <row r="168" spans="1:64" s="287" customFormat="1" ht="20.25" customHeight="1" thickBot="1" x14ac:dyDescent="0.35">
      <c r="A168" s="279" t="s">
        <v>723</v>
      </c>
      <c r="B168" s="6" t="s">
        <v>721</v>
      </c>
      <c r="C168" s="6" t="s">
        <v>724</v>
      </c>
      <c r="D168" s="6" t="s">
        <v>1241</v>
      </c>
      <c r="E168" s="6"/>
      <c r="F168" s="6"/>
      <c r="G168" s="6" t="s">
        <v>832</v>
      </c>
      <c r="H168" s="6" t="s">
        <v>854</v>
      </c>
      <c r="I168" s="6"/>
      <c r="J168" s="6" t="s">
        <v>829</v>
      </c>
      <c r="K168" s="6"/>
      <c r="L168" s="280">
        <v>44861</v>
      </c>
      <c r="M168" s="280">
        <v>44890</v>
      </c>
      <c r="N168" s="6">
        <v>8.74</v>
      </c>
      <c r="O168" s="6">
        <v>0.1</v>
      </c>
      <c r="P168" s="6"/>
      <c r="Q168" s="6"/>
      <c r="R168" s="6"/>
      <c r="S168" s="6"/>
      <c r="T168" s="6"/>
      <c r="U168" s="356">
        <f>O168*9.63</f>
        <v>0.96300000000000008</v>
      </c>
      <c r="V168" s="354">
        <f>9.0013*O168+4.2416</f>
        <v>5.1417299999999999</v>
      </c>
      <c r="W168" s="354">
        <f>9.347*O168</f>
        <v>0.93469999999999998</v>
      </c>
      <c r="X168" s="271">
        <v>30</v>
      </c>
      <c r="Y168" s="271">
        <v>26</v>
      </c>
      <c r="Z168" s="271">
        <v>44</v>
      </c>
      <c r="AA168" s="239" t="s">
        <v>882</v>
      </c>
      <c r="AB168" s="239" t="s">
        <v>878</v>
      </c>
      <c r="AC168" s="281">
        <v>1.0569999999999999</v>
      </c>
      <c r="AD168" s="6">
        <v>7.0000000000000007E-2</v>
      </c>
      <c r="AE168" s="271">
        <v>40.53</v>
      </c>
      <c r="AF168" s="282">
        <v>590.36</v>
      </c>
      <c r="AG168" s="436">
        <v>38</v>
      </c>
      <c r="AH168" s="30">
        <v>28.1922</v>
      </c>
      <c r="AI168" s="436">
        <v>3103</v>
      </c>
      <c r="AJ168" s="30">
        <v>2217.7141000000001</v>
      </c>
      <c r="AK168" s="436">
        <v>443</v>
      </c>
      <c r="AL168" s="30">
        <v>267.12900000000002</v>
      </c>
      <c r="AM168" s="238">
        <v>0.79982408868870158</v>
      </c>
      <c r="AN168" s="238" t="s">
        <v>1000</v>
      </c>
      <c r="AO168" s="6">
        <v>1.21</v>
      </c>
      <c r="AP168" s="6">
        <v>3.42</v>
      </c>
      <c r="AQ168" s="6">
        <v>2.77</v>
      </c>
      <c r="AR168" s="6">
        <v>0.38</v>
      </c>
      <c r="AS168" s="283" t="s">
        <v>562</v>
      </c>
      <c r="AT168" s="283" t="s">
        <v>561</v>
      </c>
      <c r="AU168" s="284">
        <v>13.09</v>
      </c>
      <c r="AV168" s="281">
        <v>0.52</v>
      </c>
      <c r="AW168" s="448">
        <v>0.68409343715239146</v>
      </c>
      <c r="AX168" s="285"/>
      <c r="AY168" s="286"/>
      <c r="AZ168" s="287">
        <v>1.2531938618925831</v>
      </c>
      <c r="BA168" s="287">
        <v>0.12257478260869566</v>
      </c>
      <c r="BB168" s="287">
        <v>11.082142857142859</v>
      </c>
      <c r="BC168" s="287">
        <v>2.1985925925925924</v>
      </c>
      <c r="BD168" s="287">
        <v>4.756692386417926E-2</v>
      </c>
      <c r="BE168" s="287" t="s">
        <v>1125</v>
      </c>
      <c r="BF168" s="287">
        <v>1.2533448491048593</v>
      </c>
      <c r="BG168" s="287">
        <v>0.12231404958677686</v>
      </c>
      <c r="BH168" s="287">
        <v>11.066437624750499</v>
      </c>
      <c r="BI168" s="287">
        <v>1.5682200000000002</v>
      </c>
      <c r="BJ168" s="413">
        <v>8.7302845286985741E-3</v>
      </c>
      <c r="BK168" s="287" t="s">
        <v>1126</v>
      </c>
      <c r="BL168" s="287" t="s">
        <v>1135</v>
      </c>
    </row>
    <row r="169" spans="1:64" s="287" customFormat="1" ht="20.25" customHeight="1" thickBot="1" x14ac:dyDescent="0.35">
      <c r="A169" s="279" t="s">
        <v>725</v>
      </c>
      <c r="B169" s="6" t="s">
        <v>721</v>
      </c>
      <c r="C169" s="6" t="s">
        <v>726</v>
      </c>
      <c r="D169" s="6" t="s">
        <v>1240</v>
      </c>
      <c r="E169" s="6"/>
      <c r="F169" s="6"/>
      <c r="G169" s="6" t="s">
        <v>833</v>
      </c>
      <c r="H169" s="6" t="s">
        <v>855</v>
      </c>
      <c r="I169" s="6"/>
      <c r="J169" s="6" t="s">
        <v>829</v>
      </c>
      <c r="K169" s="6"/>
      <c r="L169" s="280">
        <v>44861</v>
      </c>
      <c r="M169" s="280">
        <v>44890</v>
      </c>
      <c r="N169" s="6">
        <v>8.82</v>
      </c>
      <c r="O169" s="6">
        <v>0.14000000000000001</v>
      </c>
      <c r="P169" s="6"/>
      <c r="Q169" s="6"/>
      <c r="R169" s="6">
        <v>4.62</v>
      </c>
      <c r="S169" s="29">
        <f>LOG10(O169)</f>
        <v>-0.85387196432176193</v>
      </c>
      <c r="T169" s="29">
        <f>LOG10(R169)</f>
        <v>0.66464197555612547</v>
      </c>
      <c r="U169" s="356">
        <f t="shared" ref="U169:U170" si="42">10.92*O169</f>
        <v>1.5288000000000002</v>
      </c>
      <c r="V169" s="356">
        <f t="shared" ref="V169:V170" si="43">9.5459*O169+2.1572</f>
        <v>3.4936259999999999</v>
      </c>
      <c r="W169" s="356">
        <f t="shared" ref="W169:W170" si="44">9.7271*O169</f>
        <v>1.3617940000000002</v>
      </c>
      <c r="X169" s="271">
        <v>16</v>
      </c>
      <c r="Y169" s="271">
        <v>42</v>
      </c>
      <c r="Z169" s="271">
        <v>42</v>
      </c>
      <c r="AA169" s="239" t="s">
        <v>883</v>
      </c>
      <c r="AB169" s="239" t="s">
        <v>888</v>
      </c>
      <c r="AC169" s="281">
        <v>1.663</v>
      </c>
      <c r="AD169" s="6">
        <v>0.1</v>
      </c>
      <c r="AE169" s="271">
        <v>65.09</v>
      </c>
      <c r="AF169" s="282">
        <v>674.08</v>
      </c>
      <c r="AG169" s="436">
        <v>55</v>
      </c>
      <c r="AH169" s="30">
        <v>40.804499999999997</v>
      </c>
      <c r="AI169" s="436">
        <v>10020</v>
      </c>
      <c r="AJ169" s="30">
        <v>7161.2939999999999</v>
      </c>
      <c r="AK169" s="436">
        <v>602</v>
      </c>
      <c r="AL169" s="30">
        <v>363.00599999999997</v>
      </c>
      <c r="AM169" s="238">
        <v>0.66525784855467418</v>
      </c>
      <c r="AN169" s="238" t="s">
        <v>1000</v>
      </c>
      <c r="AO169" s="6">
        <v>1.61</v>
      </c>
      <c r="AP169" s="6">
        <v>4.6100000000000003</v>
      </c>
      <c r="AQ169" s="6">
        <v>3.27</v>
      </c>
      <c r="AR169" s="6">
        <v>0.73</v>
      </c>
      <c r="AS169" s="283">
        <v>2.2400000000000002</v>
      </c>
      <c r="AT169" s="283" t="s">
        <v>561</v>
      </c>
      <c r="AU169" s="284">
        <v>20</v>
      </c>
      <c r="AV169" s="281">
        <v>0.56999999999999995</v>
      </c>
      <c r="AW169" s="448">
        <v>28.930817610062896</v>
      </c>
      <c r="AX169" s="285">
        <v>8.9</v>
      </c>
      <c r="AY169" s="286"/>
      <c r="AZ169" s="287">
        <v>1.4309115089514066</v>
      </c>
      <c r="BA169" s="287">
        <v>0.1774108695652174</v>
      </c>
      <c r="BB169" s="287">
        <v>35.785714285714285</v>
      </c>
      <c r="BC169" s="287">
        <v>2.9877037037037031</v>
      </c>
      <c r="BD169" s="287">
        <v>4.029286779699421E-2</v>
      </c>
      <c r="BE169" s="287" t="s">
        <v>1125</v>
      </c>
      <c r="BF169" s="287">
        <v>1.4310839079283888</v>
      </c>
      <c r="BG169" s="287">
        <v>0.17703349282296652</v>
      </c>
      <c r="BH169" s="287">
        <v>35.734999999999999</v>
      </c>
      <c r="BI169" s="287">
        <v>2.1310800000000003</v>
      </c>
      <c r="BJ169" s="413">
        <v>4.4847901789029625E-3</v>
      </c>
      <c r="BK169" s="287" t="s">
        <v>1126</v>
      </c>
      <c r="BL169" s="287" t="s">
        <v>1135</v>
      </c>
    </row>
    <row r="170" spans="1:64" s="287" customFormat="1" ht="20.25" customHeight="1" thickBot="1" x14ac:dyDescent="0.35">
      <c r="A170" s="279" t="s">
        <v>727</v>
      </c>
      <c r="B170" s="6" t="s">
        <v>721</v>
      </c>
      <c r="C170" s="6" t="s">
        <v>728</v>
      </c>
      <c r="D170" s="6" t="s">
        <v>1241</v>
      </c>
      <c r="E170" s="6"/>
      <c r="F170" s="6"/>
      <c r="G170" s="6" t="s">
        <v>833</v>
      </c>
      <c r="H170" s="6" t="s">
        <v>855</v>
      </c>
      <c r="I170" s="6"/>
      <c r="J170" s="6" t="s">
        <v>829</v>
      </c>
      <c r="K170" s="6"/>
      <c r="L170" s="280">
        <v>44861</v>
      </c>
      <c r="M170" s="280">
        <v>44890</v>
      </c>
      <c r="N170" s="6">
        <v>9.11</v>
      </c>
      <c r="O170" s="6">
        <v>0.16</v>
      </c>
      <c r="P170" s="6"/>
      <c r="Q170" s="6"/>
      <c r="R170" s="6"/>
      <c r="S170" s="6"/>
      <c r="T170" s="6"/>
      <c r="U170" s="356">
        <f t="shared" si="42"/>
        <v>1.7472000000000001</v>
      </c>
      <c r="V170" s="356">
        <f t="shared" si="43"/>
        <v>3.6845439999999998</v>
      </c>
      <c r="W170" s="356">
        <f t="shared" si="44"/>
        <v>1.5563359999999999</v>
      </c>
      <c r="X170" s="271">
        <v>18</v>
      </c>
      <c r="Y170" s="271">
        <v>34</v>
      </c>
      <c r="Z170" s="271">
        <v>48</v>
      </c>
      <c r="AA170" s="239" t="s">
        <v>883</v>
      </c>
      <c r="AB170" s="239" t="s">
        <v>888</v>
      </c>
      <c r="AC170" s="281">
        <v>1.1379999999999999</v>
      </c>
      <c r="AD170" s="6">
        <v>7.0000000000000007E-2</v>
      </c>
      <c r="AE170" s="271">
        <v>35.22</v>
      </c>
      <c r="AF170" s="282">
        <v>836.3</v>
      </c>
      <c r="AG170" s="436">
        <v>179</v>
      </c>
      <c r="AH170" s="30">
        <v>132.80010000000001</v>
      </c>
      <c r="AI170" s="436">
        <v>9862</v>
      </c>
      <c r="AJ170" s="30">
        <v>7048.3714</v>
      </c>
      <c r="AK170" s="436">
        <v>605</v>
      </c>
      <c r="AL170" s="30">
        <v>364.815</v>
      </c>
      <c r="AM170" s="238">
        <v>2.181277601030311</v>
      </c>
      <c r="AN170" s="238" t="s">
        <v>1000</v>
      </c>
      <c r="AO170" s="6">
        <v>1.25</v>
      </c>
      <c r="AP170" s="6">
        <v>2.84</v>
      </c>
      <c r="AQ170" s="6">
        <v>1.69</v>
      </c>
      <c r="AR170" s="6">
        <v>0.38</v>
      </c>
      <c r="AS170" s="283">
        <v>15.9</v>
      </c>
      <c r="AT170" s="283" t="s">
        <v>561</v>
      </c>
      <c r="AU170" s="284">
        <v>25.33</v>
      </c>
      <c r="AV170" s="281">
        <v>0.67</v>
      </c>
      <c r="AW170" s="448">
        <v>35.205364626990779</v>
      </c>
      <c r="AX170" s="285">
        <v>9.4</v>
      </c>
      <c r="AY170" s="286"/>
      <c r="AZ170" s="287">
        <v>1.7752659846547312</v>
      </c>
      <c r="BA170" s="287">
        <v>0.57739173913043484</v>
      </c>
      <c r="BB170" s="287">
        <v>35.221428571428575</v>
      </c>
      <c r="BC170" s="287">
        <v>3.0025925925925923</v>
      </c>
      <c r="BD170" s="287">
        <v>0.13207401409139938</v>
      </c>
      <c r="BE170" s="287" t="s">
        <v>1125</v>
      </c>
      <c r="BF170" s="287">
        <v>1.7754798721227618</v>
      </c>
      <c r="BG170" s="287">
        <v>0.57616354936929104</v>
      </c>
      <c r="BH170" s="287">
        <v>35.171513972055884</v>
      </c>
      <c r="BI170" s="287">
        <v>2.1417000000000002</v>
      </c>
      <c r="BJ170" s="413">
        <v>1.452579404616774E-2</v>
      </c>
      <c r="BK170" s="287" t="s">
        <v>1126</v>
      </c>
      <c r="BL170" s="287" t="s">
        <v>1135</v>
      </c>
    </row>
    <row r="171" spans="1:64" s="287" customFormat="1" ht="20.25" customHeight="1" thickBot="1" x14ac:dyDescent="0.35">
      <c r="A171" s="279" t="s">
        <v>729</v>
      </c>
      <c r="B171" s="6" t="s">
        <v>721</v>
      </c>
      <c r="C171" s="6" t="s">
        <v>730</v>
      </c>
      <c r="D171" s="6" t="s">
        <v>1240</v>
      </c>
      <c r="E171" s="6"/>
      <c r="F171" s="6"/>
      <c r="G171" s="6" t="s">
        <v>834</v>
      </c>
      <c r="H171" s="6" t="s">
        <v>856</v>
      </c>
      <c r="I171" s="6"/>
      <c r="J171" s="6" t="s">
        <v>829</v>
      </c>
      <c r="K171" s="6"/>
      <c r="L171" s="280">
        <v>44861</v>
      </c>
      <c r="M171" s="280">
        <v>44890</v>
      </c>
      <c r="N171" s="6">
        <v>8.4600000000000009</v>
      </c>
      <c r="O171" s="6">
        <v>8.67</v>
      </c>
      <c r="P171" s="6"/>
      <c r="Q171" s="6"/>
      <c r="R171" s="6">
        <v>62.56</v>
      </c>
      <c r="S171" s="29">
        <f>LOG10(O171)</f>
        <v>0.93801909747621026</v>
      </c>
      <c r="T171" s="29">
        <f>LOG10(R171)</f>
        <v>1.7962967400517915</v>
      </c>
      <c r="U171" s="356">
        <f t="shared" ref="U171:U172" si="45">O171*9.63</f>
        <v>83.492100000000008</v>
      </c>
      <c r="V171" s="354">
        <f t="shared" ref="V171:V172" si="46">9.0013*O171+4.2416</f>
        <v>82.282871000000014</v>
      </c>
      <c r="W171" s="354">
        <f t="shared" ref="W171:W172" si="47">9.347*O171</f>
        <v>81.038489999999996</v>
      </c>
      <c r="X171" s="271">
        <v>36</v>
      </c>
      <c r="Y171" s="271">
        <v>28</v>
      </c>
      <c r="Z171" s="271">
        <v>36</v>
      </c>
      <c r="AA171" s="239" t="s">
        <v>882</v>
      </c>
      <c r="AB171" s="239" t="s">
        <v>878</v>
      </c>
      <c r="AC171" s="281">
        <v>0.30499999999999999</v>
      </c>
      <c r="AD171" s="6">
        <v>0.06</v>
      </c>
      <c r="AE171" s="271">
        <v>19.96</v>
      </c>
      <c r="AF171" s="282">
        <v>147.66999999999999</v>
      </c>
      <c r="AG171" s="436">
        <v>25554</v>
      </c>
      <c r="AH171" s="30">
        <v>18958.512600000002</v>
      </c>
      <c r="AI171" s="436">
        <v>9470</v>
      </c>
      <c r="AJ171" s="30">
        <v>6768.2089999999998</v>
      </c>
      <c r="AK171" s="436">
        <v>1876</v>
      </c>
      <c r="AL171" s="30">
        <v>1131.2280000000001</v>
      </c>
      <c r="AM171" s="238">
        <v>301.66240522262075</v>
      </c>
      <c r="AN171" s="339" t="s">
        <v>997</v>
      </c>
      <c r="AO171" s="6">
        <v>0.85</v>
      </c>
      <c r="AP171" s="6">
        <v>0.98</v>
      </c>
      <c r="AQ171" s="6">
        <v>3.56</v>
      </c>
      <c r="AR171" s="6">
        <v>0.31</v>
      </c>
      <c r="AS171" s="283">
        <v>18.21</v>
      </c>
      <c r="AT171" s="283">
        <v>3.1</v>
      </c>
      <c r="AU171" s="284">
        <v>16466.36</v>
      </c>
      <c r="AV171" s="281">
        <v>1.26</v>
      </c>
      <c r="AW171" s="448">
        <v>49.166666666666671</v>
      </c>
      <c r="AX171" s="285">
        <v>11.8</v>
      </c>
      <c r="AY171" s="286"/>
      <c r="AZ171" s="287">
        <v>0.31346828644501273</v>
      </c>
      <c r="BA171" s="287">
        <v>82.428315652173922</v>
      </c>
      <c r="BB171" s="287">
        <v>33.821428571428569</v>
      </c>
      <c r="BC171" s="287">
        <v>9.3105185185185189</v>
      </c>
      <c r="BD171" s="287">
        <v>17.749735733590704</v>
      </c>
      <c r="BE171" s="287" t="s">
        <v>1133</v>
      </c>
      <c r="BF171" s="287">
        <v>0.31350605370843987</v>
      </c>
      <c r="BG171" s="287">
        <v>82.252979556328839</v>
      </c>
      <c r="BH171" s="287">
        <v>33.773498003992017</v>
      </c>
      <c r="BI171" s="287">
        <v>6.6410400000000003</v>
      </c>
      <c r="BJ171" s="413">
        <v>0.66882659730070482</v>
      </c>
      <c r="BK171" s="287" t="s">
        <v>1129</v>
      </c>
      <c r="BL171" s="287" t="s">
        <v>1136</v>
      </c>
    </row>
    <row r="172" spans="1:64" s="287" customFormat="1" ht="20.25" customHeight="1" thickBot="1" x14ac:dyDescent="0.35">
      <c r="A172" s="279" t="s">
        <v>731</v>
      </c>
      <c r="B172" s="6" t="s">
        <v>721</v>
      </c>
      <c r="C172" s="6" t="s">
        <v>732</v>
      </c>
      <c r="D172" s="6" t="s">
        <v>1241</v>
      </c>
      <c r="E172" s="6"/>
      <c r="F172" s="6"/>
      <c r="G172" s="6" t="s">
        <v>834</v>
      </c>
      <c r="H172" s="6" t="s">
        <v>856</v>
      </c>
      <c r="I172" s="6"/>
      <c r="J172" s="6" t="s">
        <v>829</v>
      </c>
      <c r="K172" s="6"/>
      <c r="L172" s="280">
        <v>44861</v>
      </c>
      <c r="M172" s="280">
        <v>44890</v>
      </c>
      <c r="N172" s="6">
        <v>8.59</v>
      </c>
      <c r="O172" s="6">
        <v>6.81</v>
      </c>
      <c r="P172" s="6"/>
      <c r="Q172" s="6"/>
      <c r="R172" s="6"/>
      <c r="S172" s="6"/>
      <c r="T172" s="6"/>
      <c r="U172" s="356">
        <f t="shared" si="45"/>
        <v>65.580300000000008</v>
      </c>
      <c r="V172" s="354">
        <f t="shared" si="46"/>
        <v>65.540452999999999</v>
      </c>
      <c r="W172" s="354">
        <f t="shared" si="47"/>
        <v>63.653069999999992</v>
      </c>
      <c r="X172" s="271">
        <v>36</v>
      </c>
      <c r="Y172" s="271">
        <v>26</v>
      </c>
      <c r="Z172" s="271">
        <v>38</v>
      </c>
      <c r="AA172" s="239" t="s">
        <v>882</v>
      </c>
      <c r="AB172" s="239" t="s">
        <v>878</v>
      </c>
      <c r="AC172" s="281">
        <v>0.25600000000000001</v>
      </c>
      <c r="AD172" s="6">
        <v>0.05</v>
      </c>
      <c r="AE172" s="271">
        <v>18.46</v>
      </c>
      <c r="AF172" s="282">
        <v>129.96</v>
      </c>
      <c r="AG172" s="436">
        <v>10479</v>
      </c>
      <c r="AH172" s="30">
        <v>7774.3701000000001</v>
      </c>
      <c r="AI172" s="436">
        <v>9876</v>
      </c>
      <c r="AJ172" s="30">
        <v>7058.3771999999999</v>
      </c>
      <c r="AK172" s="436">
        <v>1835</v>
      </c>
      <c r="AL172" s="30">
        <v>1106.5049999999999</v>
      </c>
      <c r="AM172" s="238">
        <v>121.67609061631097</v>
      </c>
      <c r="AN172" s="339" t="s">
        <v>999</v>
      </c>
      <c r="AO172" s="6">
        <v>0.72</v>
      </c>
      <c r="AP172" s="6">
        <v>0.43</v>
      </c>
      <c r="AQ172" s="6">
        <v>2.54</v>
      </c>
      <c r="AR172" s="6">
        <v>0.22</v>
      </c>
      <c r="AS172" s="283">
        <v>15.12</v>
      </c>
      <c r="AT172" s="283">
        <v>2.04</v>
      </c>
      <c r="AU172" s="284">
        <v>11644.53</v>
      </c>
      <c r="AV172" s="281">
        <v>1.27</v>
      </c>
      <c r="AW172" s="448">
        <v>55.580357142857146</v>
      </c>
      <c r="AX172" s="285">
        <v>13.5</v>
      </c>
      <c r="AY172" s="286"/>
      <c r="AZ172" s="287">
        <v>0.27587416879795396</v>
      </c>
      <c r="BA172" s="287">
        <v>33.801609130434784</v>
      </c>
      <c r="BB172" s="287">
        <v>35.271428571428572</v>
      </c>
      <c r="BC172" s="287">
        <v>9.1070370370370366</v>
      </c>
      <c r="BD172" s="287">
        <v>7.175732360327415</v>
      </c>
      <c r="BE172" s="287" t="s">
        <v>1125</v>
      </c>
      <c r="BF172" s="287">
        <v>0.27590740664961638</v>
      </c>
      <c r="BG172" s="287">
        <v>33.729708568943018</v>
      </c>
      <c r="BH172" s="287">
        <v>35.221443113772452</v>
      </c>
      <c r="BI172" s="287">
        <v>6.4959000000000007</v>
      </c>
      <c r="BJ172" s="413">
        <v>0.44543569050354487</v>
      </c>
      <c r="BK172" s="287" t="s">
        <v>1130</v>
      </c>
      <c r="BL172" s="287" t="s">
        <v>1136</v>
      </c>
    </row>
    <row r="173" spans="1:64" s="287" customFormat="1" ht="20.25" customHeight="1" thickBot="1" x14ac:dyDescent="0.35">
      <c r="A173" s="279" t="s">
        <v>733</v>
      </c>
      <c r="B173" s="6" t="s">
        <v>721</v>
      </c>
      <c r="C173" s="6" t="s">
        <v>734</v>
      </c>
      <c r="D173" s="6" t="s">
        <v>1240</v>
      </c>
      <c r="E173" s="6"/>
      <c r="F173" s="6"/>
      <c r="G173" s="6" t="s">
        <v>835</v>
      </c>
      <c r="H173" s="6" t="s">
        <v>857</v>
      </c>
      <c r="I173" s="6"/>
      <c r="J173" s="6" t="s">
        <v>829</v>
      </c>
      <c r="K173" s="6"/>
      <c r="L173" s="280">
        <v>44861</v>
      </c>
      <c r="M173" s="280">
        <v>44890</v>
      </c>
      <c r="N173" s="6">
        <v>9.06</v>
      </c>
      <c r="O173" s="6">
        <v>2.52</v>
      </c>
      <c r="P173" s="6"/>
      <c r="Q173" s="6"/>
      <c r="R173" s="6">
        <v>12.39</v>
      </c>
      <c r="S173" s="29">
        <f>LOG10(O173)</f>
        <v>0.40140054078154408</v>
      </c>
      <c r="T173" s="29">
        <f>LOG10(R173)</f>
        <v>1.0930713063760635</v>
      </c>
      <c r="U173" s="356">
        <f>O173*5.25</f>
        <v>13.23</v>
      </c>
      <c r="V173" s="363">
        <f t="shared" ref="V173:V193" si="48">5.3954*O173+8.0586</f>
        <v>21.655008000000002</v>
      </c>
      <c r="W173" s="363">
        <f t="shared" ref="W173:W193" si="49">O173*5.8798</f>
        <v>14.817096000000001</v>
      </c>
      <c r="X173" s="271">
        <v>52</v>
      </c>
      <c r="Y173" s="271">
        <v>30</v>
      </c>
      <c r="Z173" s="271">
        <v>18</v>
      </c>
      <c r="AA173" s="239" t="s">
        <v>876</v>
      </c>
      <c r="AB173" s="239" t="s">
        <v>877</v>
      </c>
      <c r="AC173" s="281">
        <v>2.7370000000000001</v>
      </c>
      <c r="AD173" s="6">
        <v>0.13</v>
      </c>
      <c r="AE173" s="271">
        <v>70.97</v>
      </c>
      <c r="AF173" s="282">
        <v>1758.64</v>
      </c>
      <c r="AG173" s="436">
        <v>5470</v>
      </c>
      <c r="AH173" s="30">
        <v>4058.1930000000002</v>
      </c>
      <c r="AI173" s="436">
        <v>8606</v>
      </c>
      <c r="AJ173" s="30">
        <v>6150.7082</v>
      </c>
      <c r="AK173" s="436">
        <v>1393</v>
      </c>
      <c r="AL173" s="30">
        <v>839.97899999999993</v>
      </c>
      <c r="AM173" s="238">
        <v>68.641657236353012</v>
      </c>
      <c r="AN173" s="339" t="s">
        <v>999</v>
      </c>
      <c r="AO173" s="6">
        <v>3.78</v>
      </c>
      <c r="AP173" s="6">
        <v>22.11</v>
      </c>
      <c r="AQ173" s="6">
        <v>23.71</v>
      </c>
      <c r="AR173" s="6">
        <v>1.36</v>
      </c>
      <c r="AS173" s="283">
        <v>50.54</v>
      </c>
      <c r="AT173" s="283" t="s">
        <v>561</v>
      </c>
      <c r="AU173" s="284">
        <v>2417.7800000000002</v>
      </c>
      <c r="AV173" s="281">
        <v>1.38</v>
      </c>
      <c r="AW173" s="448">
        <v>6.8504594820384286</v>
      </c>
      <c r="AX173" s="285"/>
      <c r="AY173" s="286"/>
      <c r="AZ173" s="287">
        <v>3.7331744245524292</v>
      </c>
      <c r="BA173" s="287">
        <v>17.644317391304348</v>
      </c>
      <c r="BB173" s="287">
        <v>30.735714285714284</v>
      </c>
      <c r="BC173" s="287">
        <v>6.9134074074074059</v>
      </c>
      <c r="BD173" s="287">
        <v>4.0667027992829983</v>
      </c>
      <c r="BE173" s="287" t="s">
        <v>1125</v>
      </c>
      <c r="BF173" s="287">
        <v>3.7336242046035806</v>
      </c>
      <c r="BG173" s="287">
        <v>17.606785558938668</v>
      </c>
      <c r="BH173" s="287">
        <v>30.692156686626745</v>
      </c>
      <c r="BI173" s="287">
        <v>4.9312200000000006</v>
      </c>
      <c r="BJ173" s="413">
        <v>0.30908734577082231</v>
      </c>
      <c r="BK173" s="287" t="s">
        <v>1130</v>
      </c>
      <c r="BL173" s="287" t="s">
        <v>1136</v>
      </c>
    </row>
    <row r="174" spans="1:64" s="287" customFormat="1" ht="20.25" customHeight="1" thickBot="1" x14ac:dyDescent="0.35">
      <c r="A174" s="279" t="s">
        <v>735</v>
      </c>
      <c r="B174" s="6" t="s">
        <v>721</v>
      </c>
      <c r="C174" s="6" t="s">
        <v>736</v>
      </c>
      <c r="D174" s="6" t="s">
        <v>1241</v>
      </c>
      <c r="E174" s="6"/>
      <c r="F174" s="6"/>
      <c r="G174" s="6" t="s">
        <v>835</v>
      </c>
      <c r="H174" s="6" t="s">
        <v>857</v>
      </c>
      <c r="I174" s="6"/>
      <c r="J174" s="6" t="s">
        <v>829</v>
      </c>
      <c r="K174" s="6"/>
      <c r="L174" s="280">
        <v>44861</v>
      </c>
      <c r="M174" s="280">
        <v>44890</v>
      </c>
      <c r="N174" s="6">
        <v>8.89</v>
      </c>
      <c r="O174" s="6">
        <v>1.49</v>
      </c>
      <c r="P174" s="6"/>
      <c r="Q174" s="6"/>
      <c r="R174" s="6"/>
      <c r="S174" s="6"/>
      <c r="T174" s="6"/>
      <c r="U174" s="356">
        <f t="shared" ref="U174:U193" si="50">O174*5.25</f>
        <v>7.8224999999999998</v>
      </c>
      <c r="V174" s="363">
        <f t="shared" si="48"/>
        <v>16.097746000000001</v>
      </c>
      <c r="W174" s="363">
        <f t="shared" si="49"/>
        <v>8.7609019999999997</v>
      </c>
      <c r="X174" s="271">
        <v>56</v>
      </c>
      <c r="Y174" s="271">
        <v>30</v>
      </c>
      <c r="Z174" s="271">
        <v>14</v>
      </c>
      <c r="AA174" s="239" t="s">
        <v>876</v>
      </c>
      <c r="AB174" s="239" t="s">
        <v>877</v>
      </c>
      <c r="AC174" s="281">
        <v>1.337</v>
      </c>
      <c r="AD174" s="6">
        <v>0.09</v>
      </c>
      <c r="AE174" s="271">
        <v>38.85</v>
      </c>
      <c r="AF174" s="282">
        <v>1509.95</v>
      </c>
      <c r="AG174" s="436">
        <v>2948</v>
      </c>
      <c r="AH174" s="30">
        <v>2187.1212</v>
      </c>
      <c r="AI174" s="436">
        <v>9166</v>
      </c>
      <c r="AJ174" s="30">
        <v>6550.9402</v>
      </c>
      <c r="AK174" s="436">
        <v>1707</v>
      </c>
      <c r="AL174" s="30">
        <v>1029.3209999999999</v>
      </c>
      <c r="AM174" s="238">
        <v>35.525955111223524</v>
      </c>
      <c r="AN174" s="339" t="s">
        <v>999</v>
      </c>
      <c r="AO174" s="6">
        <v>2.13</v>
      </c>
      <c r="AP174" s="6">
        <v>5.82</v>
      </c>
      <c r="AQ174" s="6">
        <v>7.82</v>
      </c>
      <c r="AR174" s="6">
        <v>0.61</v>
      </c>
      <c r="AS174" s="283">
        <v>20.52</v>
      </c>
      <c r="AT174" s="283" t="s">
        <v>561</v>
      </c>
      <c r="AU174" s="284">
        <v>1286.06</v>
      </c>
      <c r="AV174" s="281">
        <v>1.42</v>
      </c>
      <c r="AW174" s="448">
        <v>6.3554006968641117</v>
      </c>
      <c r="AX174" s="285"/>
      <c r="AY174" s="286"/>
      <c r="AZ174" s="287">
        <v>3.2052647058823527</v>
      </c>
      <c r="BA174" s="287">
        <v>9.5092226086956515</v>
      </c>
      <c r="BB174" s="287">
        <v>32.73571428571428</v>
      </c>
      <c r="BC174" s="287">
        <v>8.4717777777777776</v>
      </c>
      <c r="BD174" s="287">
        <v>2.0949415974366516</v>
      </c>
      <c r="BE174" s="287" t="s">
        <v>1125</v>
      </c>
      <c r="BF174" s="287">
        <v>3.2056508823529408</v>
      </c>
      <c r="BG174" s="287">
        <v>9.4889952153110038</v>
      </c>
      <c r="BH174" s="287">
        <v>32.68932235528942</v>
      </c>
      <c r="BI174" s="287">
        <v>6.0427800000000005</v>
      </c>
      <c r="BJ174" s="413">
        <v>0.18451478074667316</v>
      </c>
      <c r="BK174" s="287" t="s">
        <v>1127</v>
      </c>
      <c r="BL174" s="287" t="s">
        <v>1136</v>
      </c>
    </row>
    <row r="175" spans="1:64" s="287" customFormat="1" ht="20.25" customHeight="1" thickBot="1" x14ac:dyDescent="0.35">
      <c r="A175" s="279" t="s">
        <v>737</v>
      </c>
      <c r="B175" s="6" t="s">
        <v>721</v>
      </c>
      <c r="C175" s="6" t="s">
        <v>738</v>
      </c>
      <c r="D175" s="6" t="s">
        <v>1240</v>
      </c>
      <c r="E175" s="6"/>
      <c r="F175" s="6"/>
      <c r="G175" s="6" t="s">
        <v>836</v>
      </c>
      <c r="H175" s="6" t="s">
        <v>858</v>
      </c>
      <c r="I175" s="6"/>
      <c r="J175" s="6" t="s">
        <v>829</v>
      </c>
      <c r="K175" s="6"/>
      <c r="L175" s="280">
        <v>44861</v>
      </c>
      <c r="M175" s="280">
        <v>44890</v>
      </c>
      <c r="N175" s="6">
        <v>8.1</v>
      </c>
      <c r="O175" s="6">
        <v>6.91</v>
      </c>
      <c r="P175" s="6"/>
      <c r="Q175" s="6"/>
      <c r="R175" s="6">
        <v>43.85</v>
      </c>
      <c r="S175" s="29">
        <f>LOG10(O175)</f>
        <v>0.8394780473741984</v>
      </c>
      <c r="T175" s="29">
        <f>LOG10(R175)</f>
        <v>1.6419695977020594</v>
      </c>
      <c r="U175" s="356">
        <f t="shared" si="50"/>
        <v>36.277500000000003</v>
      </c>
      <c r="V175" s="363">
        <f t="shared" si="48"/>
        <v>45.340814000000002</v>
      </c>
      <c r="W175" s="363">
        <f t="shared" si="49"/>
        <v>40.629418000000001</v>
      </c>
      <c r="X175" s="271">
        <v>60</v>
      </c>
      <c r="Y175" s="271">
        <v>28</v>
      </c>
      <c r="Z175" s="271">
        <v>12</v>
      </c>
      <c r="AA175" s="239" t="s">
        <v>876</v>
      </c>
      <c r="AB175" s="239" t="s">
        <v>877</v>
      </c>
      <c r="AC175" s="281">
        <v>3.0190000000000001</v>
      </c>
      <c r="AD175" s="6">
        <v>0.15</v>
      </c>
      <c r="AE175" s="271">
        <v>72.34</v>
      </c>
      <c r="AF175" s="282">
        <v>1541.79</v>
      </c>
      <c r="AG175" s="436">
        <v>8705</v>
      </c>
      <c r="AH175" s="30">
        <v>6458.2394999999997</v>
      </c>
      <c r="AI175" s="436">
        <v>12150</v>
      </c>
      <c r="AJ175" s="30">
        <v>8683.6049999999996</v>
      </c>
      <c r="AK175" s="436">
        <v>2745</v>
      </c>
      <c r="AL175" s="30">
        <v>1655.2349999999999</v>
      </c>
      <c r="AM175" s="238">
        <v>89.824175019979251</v>
      </c>
      <c r="AN175" s="339" t="s">
        <v>997</v>
      </c>
      <c r="AO175" s="6">
        <v>3.06</v>
      </c>
      <c r="AP175" s="6">
        <v>21.52</v>
      </c>
      <c r="AQ175" s="6">
        <v>15.99</v>
      </c>
      <c r="AR175" s="6">
        <v>2.2599999999999998</v>
      </c>
      <c r="AS175" s="283">
        <v>19.66</v>
      </c>
      <c r="AT175" s="283">
        <v>2.37</v>
      </c>
      <c r="AU175" s="284">
        <v>12489.01</v>
      </c>
      <c r="AV175" s="281">
        <v>1.67</v>
      </c>
      <c r="AW175" s="448">
        <v>2.7893422148209823</v>
      </c>
      <c r="AX175" s="285"/>
      <c r="AY175" s="286"/>
      <c r="AZ175" s="287">
        <v>3.272853452685422</v>
      </c>
      <c r="BA175" s="287">
        <v>28.079302173913042</v>
      </c>
      <c r="BB175" s="287">
        <v>43.392857142857146</v>
      </c>
      <c r="BC175" s="287">
        <v>13.623333333333331</v>
      </c>
      <c r="BD175" s="287">
        <v>5.258988365491982</v>
      </c>
      <c r="BE175" s="287" t="s">
        <v>1125</v>
      </c>
      <c r="BF175" s="287">
        <v>3.2732477723785163</v>
      </c>
      <c r="BG175" s="287">
        <v>28.019573727707698</v>
      </c>
      <c r="BH175" s="287">
        <v>43.331362275449095</v>
      </c>
      <c r="BI175" s="287">
        <v>9.7172999999999998</v>
      </c>
      <c r="BJ175" s="413">
        <v>0.33221580263252681</v>
      </c>
      <c r="BK175" s="287" t="s">
        <v>1130</v>
      </c>
      <c r="BL175" s="287" t="s">
        <v>1136</v>
      </c>
    </row>
    <row r="176" spans="1:64" s="287" customFormat="1" ht="20.25" customHeight="1" thickBot="1" x14ac:dyDescent="0.35">
      <c r="A176" s="279" t="s">
        <v>739</v>
      </c>
      <c r="B176" s="6" t="s">
        <v>721</v>
      </c>
      <c r="C176" s="6" t="s">
        <v>740</v>
      </c>
      <c r="D176" s="6" t="s">
        <v>1241</v>
      </c>
      <c r="E176" s="6"/>
      <c r="F176" s="6"/>
      <c r="G176" s="6" t="s">
        <v>836</v>
      </c>
      <c r="H176" s="6" t="s">
        <v>858</v>
      </c>
      <c r="I176" s="6"/>
      <c r="J176" s="6" t="s">
        <v>829</v>
      </c>
      <c r="K176" s="6"/>
      <c r="L176" s="280">
        <v>44861</v>
      </c>
      <c r="M176" s="280">
        <v>44890</v>
      </c>
      <c r="N176" s="6">
        <v>8.2899999999999991</v>
      </c>
      <c r="O176" s="6">
        <v>7.39</v>
      </c>
      <c r="P176" s="6"/>
      <c r="Q176" s="6"/>
      <c r="R176" s="6"/>
      <c r="S176" s="6"/>
      <c r="T176" s="6"/>
      <c r="U176" s="356">
        <f t="shared" si="50"/>
        <v>38.797499999999999</v>
      </c>
      <c r="V176" s="363">
        <f t="shared" si="48"/>
        <v>47.930605999999997</v>
      </c>
      <c r="W176" s="363">
        <f t="shared" si="49"/>
        <v>43.451722000000004</v>
      </c>
      <c r="X176" s="271">
        <v>58</v>
      </c>
      <c r="Y176" s="271">
        <v>24</v>
      </c>
      <c r="Z176" s="271">
        <v>18</v>
      </c>
      <c r="AA176" s="239" t="s">
        <v>876</v>
      </c>
      <c r="AB176" s="239" t="s">
        <v>877</v>
      </c>
      <c r="AC176" s="281">
        <v>1.224</v>
      </c>
      <c r="AD176" s="6">
        <v>0.08</v>
      </c>
      <c r="AE176" s="271">
        <v>33.619999999999997</v>
      </c>
      <c r="AF176" s="282">
        <v>1851.74</v>
      </c>
      <c r="AG176" s="436">
        <v>10409</v>
      </c>
      <c r="AH176" s="30">
        <v>7722.4371000000001</v>
      </c>
      <c r="AI176" s="436">
        <v>12193</v>
      </c>
      <c r="AJ176" s="30">
        <v>8714.3371000000006</v>
      </c>
      <c r="AK176" s="436">
        <v>3291</v>
      </c>
      <c r="AL176" s="30">
        <v>1984.473</v>
      </c>
      <c r="AM176" s="238">
        <v>105.5848574551958</v>
      </c>
      <c r="AN176" s="339" t="s">
        <v>997</v>
      </c>
      <c r="AO176" s="6">
        <v>1.6</v>
      </c>
      <c r="AP176" s="6">
        <v>3</v>
      </c>
      <c r="AQ176" s="6">
        <v>4.6399999999999997</v>
      </c>
      <c r="AR176" s="6">
        <v>0.56000000000000005</v>
      </c>
      <c r="AS176" s="283">
        <v>9.99</v>
      </c>
      <c r="AT176" s="283" t="s">
        <v>561</v>
      </c>
      <c r="AU176" s="283">
        <v>14566.2</v>
      </c>
      <c r="AV176" s="281">
        <v>2.3199999999999998</v>
      </c>
      <c r="AW176" s="448">
        <v>4.9406838799720862</v>
      </c>
      <c r="AX176" s="285"/>
      <c r="AY176" s="286"/>
      <c r="AZ176" s="287">
        <v>3.9308035805626593</v>
      </c>
      <c r="BA176" s="287">
        <v>33.575813478260869</v>
      </c>
      <c r="BB176" s="287">
        <v>43.546428571428564</v>
      </c>
      <c r="BC176" s="287">
        <v>16.333111111111108</v>
      </c>
      <c r="BD176" s="287">
        <v>6.1362396825221701</v>
      </c>
      <c r="BE176" s="287" t="s">
        <v>1125</v>
      </c>
      <c r="BF176" s="287">
        <v>3.9312771713554984</v>
      </c>
      <c r="BG176" s="287">
        <v>33.504393214441059</v>
      </c>
      <c r="BH176" s="287">
        <v>43.484716067864277</v>
      </c>
      <c r="BI176" s="287">
        <v>11.65014</v>
      </c>
      <c r="BJ176" s="413">
        <v>0.36193370069265807</v>
      </c>
      <c r="BK176" s="287" t="s">
        <v>1130</v>
      </c>
      <c r="BL176" s="287" t="s">
        <v>1136</v>
      </c>
    </row>
    <row r="177" spans="1:64" s="287" customFormat="1" ht="20.25" customHeight="1" thickBot="1" x14ac:dyDescent="0.35">
      <c r="A177" s="279" t="s">
        <v>741</v>
      </c>
      <c r="B177" s="6" t="s">
        <v>721</v>
      </c>
      <c r="C177" s="6" t="s">
        <v>742</v>
      </c>
      <c r="D177" s="6" t="s">
        <v>1240</v>
      </c>
      <c r="E177" s="6"/>
      <c r="F177" s="6"/>
      <c r="G177" s="6" t="s">
        <v>837</v>
      </c>
      <c r="H177" s="6" t="s">
        <v>859</v>
      </c>
      <c r="I177" s="6"/>
      <c r="J177" s="6" t="s">
        <v>829</v>
      </c>
      <c r="K177" s="6"/>
      <c r="L177" s="280">
        <v>44861</v>
      </c>
      <c r="M177" s="280">
        <v>44890</v>
      </c>
      <c r="N177" s="6">
        <v>8.77</v>
      </c>
      <c r="O177" s="6">
        <v>1.2</v>
      </c>
      <c r="P177" s="6"/>
      <c r="Q177" s="6"/>
      <c r="R177" s="6">
        <v>7.5350000000000001</v>
      </c>
      <c r="S177" s="29">
        <f>LOG10(O177)</f>
        <v>7.9181246047624818E-2</v>
      </c>
      <c r="T177" s="29">
        <f>LOG10(R177)</f>
        <v>0.87708325665065068</v>
      </c>
      <c r="U177" s="356">
        <f t="shared" si="50"/>
        <v>6.3</v>
      </c>
      <c r="V177" s="363">
        <f t="shared" si="48"/>
        <v>14.533080000000002</v>
      </c>
      <c r="W177" s="363">
        <f t="shared" si="49"/>
        <v>7.0557600000000003</v>
      </c>
      <c r="X177" s="271">
        <v>64</v>
      </c>
      <c r="Y177" s="271">
        <v>22</v>
      </c>
      <c r="Z177" s="271">
        <v>14</v>
      </c>
      <c r="AA177" s="239" t="s">
        <v>876</v>
      </c>
      <c r="AB177" s="239" t="s">
        <v>877</v>
      </c>
      <c r="AC177" s="281">
        <v>1.8740000000000001</v>
      </c>
      <c r="AD177" s="6">
        <v>0.09</v>
      </c>
      <c r="AE177" s="271">
        <v>52.8</v>
      </c>
      <c r="AF177" s="282">
        <v>1514.29</v>
      </c>
      <c r="AG177" s="436">
        <v>2011</v>
      </c>
      <c r="AH177" s="30">
        <v>1491.9609</v>
      </c>
      <c r="AI177" s="436">
        <v>9089</v>
      </c>
      <c r="AJ177" s="30">
        <v>6495.9083000000001</v>
      </c>
      <c r="AK177" s="436">
        <v>1455</v>
      </c>
      <c r="AL177" s="30">
        <v>877.36500000000001</v>
      </c>
      <c r="AM177" s="238">
        <v>24.57209997072858</v>
      </c>
      <c r="AN177" s="339" t="s">
        <v>999</v>
      </c>
      <c r="AO177" s="6">
        <v>2.5099999999999998</v>
      </c>
      <c r="AP177" s="6">
        <v>9.75</v>
      </c>
      <c r="AQ177" s="6">
        <v>14.7</v>
      </c>
      <c r="AR177" s="6">
        <v>0.68</v>
      </c>
      <c r="AS177" s="283">
        <v>13.47</v>
      </c>
      <c r="AT177" s="283" t="s">
        <v>561</v>
      </c>
      <c r="AU177" s="284">
        <v>804.24</v>
      </c>
      <c r="AV177" s="281">
        <v>2.61</v>
      </c>
      <c r="AW177" s="448">
        <v>3.3440156054061587</v>
      </c>
      <c r="AX177" s="285"/>
      <c r="AY177" s="286"/>
      <c r="AZ177" s="287">
        <v>3.2144774936061382</v>
      </c>
      <c r="BA177" s="287">
        <v>6.4867865217391305</v>
      </c>
      <c r="BB177" s="287">
        <v>32.460714285714282</v>
      </c>
      <c r="BC177" s="287">
        <v>7.221111111111111</v>
      </c>
      <c r="BD177" s="287">
        <v>1.4562930690260532</v>
      </c>
      <c r="BE177" s="287" t="s">
        <v>1125</v>
      </c>
      <c r="BF177" s="287">
        <v>3.2148647800511507</v>
      </c>
      <c r="BG177" s="287">
        <v>6.4729882557633749</v>
      </c>
      <c r="BH177" s="287">
        <v>32.4147120758483</v>
      </c>
      <c r="BI177" s="287">
        <v>5.1507000000000005</v>
      </c>
      <c r="BJ177" s="413">
        <v>0.13698499438011835</v>
      </c>
      <c r="BK177" s="287" t="s">
        <v>1126</v>
      </c>
      <c r="BL177" s="287" t="s">
        <v>1136</v>
      </c>
    </row>
    <row r="178" spans="1:64" s="287" customFormat="1" ht="20.25" customHeight="1" thickBot="1" x14ac:dyDescent="0.35">
      <c r="A178" s="279" t="s">
        <v>743</v>
      </c>
      <c r="B178" s="6" t="s">
        <v>721</v>
      </c>
      <c r="C178" s="6" t="s">
        <v>744</v>
      </c>
      <c r="D178" s="6" t="s">
        <v>1241</v>
      </c>
      <c r="E178" s="6"/>
      <c r="F178" s="6"/>
      <c r="G178" s="6" t="s">
        <v>837</v>
      </c>
      <c r="H178" s="6" t="s">
        <v>859</v>
      </c>
      <c r="I178" s="6"/>
      <c r="J178" s="6" t="s">
        <v>829</v>
      </c>
      <c r="K178" s="6"/>
      <c r="L178" s="280">
        <v>44861</v>
      </c>
      <c r="M178" s="280">
        <v>44890</v>
      </c>
      <c r="N178" s="6">
        <v>8.52</v>
      </c>
      <c r="O178" s="6">
        <v>8.4</v>
      </c>
      <c r="P178" s="6"/>
      <c r="Q178" s="6"/>
      <c r="R178" s="6"/>
      <c r="S178" s="6"/>
      <c r="T178" s="6"/>
      <c r="U178" s="356">
        <f t="shared" si="50"/>
        <v>44.1</v>
      </c>
      <c r="V178" s="363">
        <f t="shared" si="48"/>
        <v>53.379960000000004</v>
      </c>
      <c r="W178" s="363">
        <f t="shared" si="49"/>
        <v>49.390320000000003</v>
      </c>
      <c r="X178" s="271">
        <v>64</v>
      </c>
      <c r="Y178" s="271">
        <v>20</v>
      </c>
      <c r="Z178" s="271">
        <v>16</v>
      </c>
      <c r="AA178" s="239" t="s">
        <v>876</v>
      </c>
      <c r="AB178" s="239" t="s">
        <v>877</v>
      </c>
      <c r="AC178" s="281">
        <v>0.97499999999999998</v>
      </c>
      <c r="AD178" s="6">
        <v>7.0000000000000007E-2</v>
      </c>
      <c r="AE178" s="271">
        <v>36.880000000000003</v>
      </c>
      <c r="AF178" s="282">
        <v>1530.89</v>
      </c>
      <c r="AG178" s="436">
        <v>11552</v>
      </c>
      <c r="AH178" s="30">
        <v>8570.4287999999997</v>
      </c>
      <c r="AI178" s="436">
        <v>11107</v>
      </c>
      <c r="AJ178" s="30">
        <v>7938.1728999999996</v>
      </c>
      <c r="AK178" s="436">
        <v>2571</v>
      </c>
      <c r="AL178" s="30">
        <v>1550.3129999999999</v>
      </c>
      <c r="AM178" s="238">
        <v>124.428278006059</v>
      </c>
      <c r="AN178" s="339" t="s">
        <v>999</v>
      </c>
      <c r="AO178" s="6">
        <v>1.97</v>
      </c>
      <c r="AP178" s="6">
        <v>5.2</v>
      </c>
      <c r="AQ178" s="6">
        <v>9.51</v>
      </c>
      <c r="AR178" s="6">
        <v>0.5</v>
      </c>
      <c r="AS178" s="283">
        <v>9.2899999999999991</v>
      </c>
      <c r="AT178" s="283" t="s">
        <v>561</v>
      </c>
      <c r="AU178" s="283">
        <v>15121.1</v>
      </c>
      <c r="AV178" s="281">
        <v>2.95</v>
      </c>
      <c r="AW178" s="448">
        <v>4.349038193476443</v>
      </c>
      <c r="AX178" s="285"/>
      <c r="AY178" s="286"/>
      <c r="AZ178" s="287">
        <v>3.2497153452685419</v>
      </c>
      <c r="BA178" s="287">
        <v>37.262733913043476</v>
      </c>
      <c r="BB178" s="287">
        <v>39.667857142857144</v>
      </c>
      <c r="BC178" s="287">
        <v>12.759777777777776</v>
      </c>
      <c r="BD178" s="287">
        <v>7.277958583694498</v>
      </c>
      <c r="BE178" s="287" t="s">
        <v>1125</v>
      </c>
      <c r="BF178" s="287">
        <v>3.2501068772378519</v>
      </c>
      <c r="BG178" s="287">
        <v>37.183471074380165</v>
      </c>
      <c r="BH178" s="287">
        <v>39.611641217564866</v>
      </c>
      <c r="BI178" s="287">
        <v>9.1013400000000004</v>
      </c>
      <c r="BJ178" s="413">
        <v>0.41710494965726208</v>
      </c>
      <c r="BK178" s="287" t="s">
        <v>1130</v>
      </c>
      <c r="BL178" s="287" t="s">
        <v>1136</v>
      </c>
    </row>
    <row r="179" spans="1:64" s="287" customFormat="1" ht="20.25" customHeight="1" thickBot="1" x14ac:dyDescent="0.35">
      <c r="A179" s="279" t="s">
        <v>745</v>
      </c>
      <c r="B179" s="6" t="s">
        <v>721</v>
      </c>
      <c r="C179" s="6" t="s">
        <v>746</v>
      </c>
      <c r="D179" s="6" t="s">
        <v>1241</v>
      </c>
      <c r="E179" s="6"/>
      <c r="F179" s="6"/>
      <c r="G179" s="6" t="s">
        <v>837</v>
      </c>
      <c r="H179" s="6" t="s">
        <v>859</v>
      </c>
      <c r="I179" s="6"/>
      <c r="J179" s="6" t="s">
        <v>829</v>
      </c>
      <c r="K179" s="6"/>
      <c r="L179" s="280">
        <v>44861</v>
      </c>
      <c r="M179" s="280">
        <v>44890</v>
      </c>
      <c r="N179" s="6">
        <v>8.3800000000000008</v>
      </c>
      <c r="O179" s="6">
        <v>1.78</v>
      </c>
      <c r="P179" s="6"/>
      <c r="Q179" s="6"/>
      <c r="R179" s="6">
        <v>7.8550000000000004</v>
      </c>
      <c r="S179" s="29">
        <f>LOG10(O179)</f>
        <v>0.250420002308894</v>
      </c>
      <c r="T179" s="29">
        <f>LOG10(R179)</f>
        <v>0.89514618937599211</v>
      </c>
      <c r="U179" s="356">
        <f t="shared" si="50"/>
        <v>9.3450000000000006</v>
      </c>
      <c r="V179" s="363">
        <f t="shared" si="48"/>
        <v>17.662412000000003</v>
      </c>
      <c r="W179" s="363">
        <f t="shared" si="49"/>
        <v>10.466044</v>
      </c>
      <c r="X179" s="271">
        <v>64</v>
      </c>
      <c r="Y179" s="271">
        <v>28</v>
      </c>
      <c r="Z179" s="271">
        <v>8</v>
      </c>
      <c r="AA179" s="239" t="s">
        <v>876</v>
      </c>
      <c r="AB179" s="239" t="s">
        <v>877</v>
      </c>
      <c r="AC179" s="281">
        <v>1.8140000000000001</v>
      </c>
      <c r="AD179" s="6">
        <v>0.9</v>
      </c>
      <c r="AE179" s="271">
        <v>71.209999999999994</v>
      </c>
      <c r="AF179" s="282">
        <v>1237.74</v>
      </c>
      <c r="AG179" s="436">
        <v>1639</v>
      </c>
      <c r="AH179" s="30">
        <v>1215.9740999999999</v>
      </c>
      <c r="AI179" s="436">
        <v>9809</v>
      </c>
      <c r="AJ179" s="30">
        <v>7010.4922999999999</v>
      </c>
      <c r="AK179" s="436">
        <v>1468</v>
      </c>
      <c r="AL179" s="30">
        <v>885.20399999999995</v>
      </c>
      <c r="AM179" s="238">
        <v>19.352813207457331</v>
      </c>
      <c r="AN179" s="339" t="s">
        <v>999</v>
      </c>
      <c r="AO179" s="6">
        <v>3.13</v>
      </c>
      <c r="AP179" s="6">
        <v>9.3699999999999992</v>
      </c>
      <c r="AQ179" s="6">
        <v>18.71</v>
      </c>
      <c r="AR179" s="6">
        <v>1.1000000000000001</v>
      </c>
      <c r="AS179" s="283">
        <v>17.46</v>
      </c>
      <c r="AT179" s="283" t="s">
        <v>561</v>
      </c>
      <c r="AU179" s="284">
        <v>1272.28</v>
      </c>
      <c r="AV179" s="281">
        <v>2.3199999999999998</v>
      </c>
      <c r="AW179" s="448">
        <v>2.1449355687958986</v>
      </c>
      <c r="AX179" s="285"/>
      <c r="AY179" s="286"/>
      <c r="AZ179" s="287">
        <v>2.6274276214833758</v>
      </c>
      <c r="BA179" s="287">
        <v>5.2868439130434783</v>
      </c>
      <c r="BB179" s="287">
        <v>35.032142857142858</v>
      </c>
      <c r="BC179" s="287">
        <v>7.2856296296296295</v>
      </c>
      <c r="BD179" s="287">
        <v>1.1493441424027624</v>
      </c>
      <c r="BE179" s="287" t="s">
        <v>1125</v>
      </c>
      <c r="BF179" s="287">
        <v>2.6277441790281326</v>
      </c>
      <c r="BG179" s="287">
        <v>5.2755980861244014</v>
      </c>
      <c r="BH179" s="287">
        <v>34.982496506986024</v>
      </c>
      <c r="BI179" s="287">
        <v>5.19672</v>
      </c>
      <c r="BJ179" s="413">
        <v>0.1097195785924219</v>
      </c>
      <c r="BK179" s="287" t="s">
        <v>1126</v>
      </c>
      <c r="BL179" s="287" t="s">
        <v>1136</v>
      </c>
    </row>
    <row r="180" spans="1:64" s="287" customFormat="1" ht="20.25" customHeight="1" thickBot="1" x14ac:dyDescent="0.35">
      <c r="A180" s="279" t="s">
        <v>747</v>
      </c>
      <c r="B180" s="6" t="s">
        <v>721</v>
      </c>
      <c r="C180" s="6" t="s">
        <v>748</v>
      </c>
      <c r="D180" s="6" t="s">
        <v>1241</v>
      </c>
      <c r="E180" s="6"/>
      <c r="F180" s="6"/>
      <c r="G180" s="6" t="s">
        <v>837</v>
      </c>
      <c r="H180" s="6" t="s">
        <v>859</v>
      </c>
      <c r="I180" s="6"/>
      <c r="J180" s="6" t="s">
        <v>829</v>
      </c>
      <c r="K180" s="6"/>
      <c r="L180" s="280">
        <v>44861</v>
      </c>
      <c r="M180" s="280">
        <v>44890</v>
      </c>
      <c r="N180" s="6">
        <v>8.5</v>
      </c>
      <c r="O180" s="6">
        <v>4.67</v>
      </c>
      <c r="P180" s="6"/>
      <c r="Q180" s="6"/>
      <c r="R180" s="6"/>
      <c r="S180" s="6"/>
      <c r="T180" s="6"/>
      <c r="U180" s="356">
        <f t="shared" si="50"/>
        <v>24.517499999999998</v>
      </c>
      <c r="V180" s="363">
        <f t="shared" si="48"/>
        <v>33.255118000000003</v>
      </c>
      <c r="W180" s="363">
        <f t="shared" si="49"/>
        <v>27.458666000000001</v>
      </c>
      <c r="X180" s="271">
        <v>62</v>
      </c>
      <c r="Y180" s="271">
        <v>22</v>
      </c>
      <c r="Z180" s="271">
        <v>16</v>
      </c>
      <c r="AA180" s="239" t="s">
        <v>876</v>
      </c>
      <c r="AB180" s="239" t="s">
        <v>877</v>
      </c>
      <c r="AC180" s="281">
        <v>1.0649999999999999</v>
      </c>
      <c r="AD180" s="6">
        <v>0.8</v>
      </c>
      <c r="AE180" s="271">
        <v>35.67</v>
      </c>
      <c r="AF180" s="282">
        <v>1723.81</v>
      </c>
      <c r="AG180" s="436">
        <v>7021</v>
      </c>
      <c r="AH180" s="30">
        <v>5208.8798999999999</v>
      </c>
      <c r="AI180" s="436">
        <v>9356</v>
      </c>
      <c r="AJ180" s="30">
        <v>6686.7331999999997</v>
      </c>
      <c r="AK180" s="436">
        <v>1943</v>
      </c>
      <c r="AL180" s="30">
        <v>1171.6289999999999</v>
      </c>
      <c r="AM180" s="238">
        <v>83.098526113606368</v>
      </c>
      <c r="AN180" s="339" t="s">
        <v>999</v>
      </c>
      <c r="AO180" s="6">
        <v>1.85</v>
      </c>
      <c r="AP180" s="6">
        <v>3.4</v>
      </c>
      <c r="AQ180" s="6">
        <v>5.64</v>
      </c>
      <c r="AR180" s="6">
        <v>0.52</v>
      </c>
      <c r="AS180" s="283">
        <v>16.05</v>
      </c>
      <c r="AT180" s="283" t="s">
        <v>561</v>
      </c>
      <c r="AU180" s="284">
        <v>14188.96</v>
      </c>
      <c r="AV180" s="281">
        <v>2.12</v>
      </c>
      <c r="AW180" s="448">
        <v>4.5662100456621015</v>
      </c>
      <c r="AX180" s="285"/>
      <c r="AY180" s="286"/>
      <c r="AZ180" s="287">
        <v>3.6592386189258308</v>
      </c>
      <c r="BA180" s="287">
        <v>22.647303913043476</v>
      </c>
      <c r="BB180" s="287">
        <v>33.414285714285718</v>
      </c>
      <c r="BC180" s="287">
        <v>9.6430370370370362</v>
      </c>
      <c r="BD180" s="287">
        <v>4.8809908632719443</v>
      </c>
      <c r="BE180" s="287" t="s">
        <v>1125</v>
      </c>
      <c r="BF180" s="287">
        <v>3.659679491048593</v>
      </c>
      <c r="BG180" s="287">
        <v>22.599130056546322</v>
      </c>
      <c r="BH180" s="287">
        <v>33.36693213572854</v>
      </c>
      <c r="BI180" s="287">
        <v>6.8782200000000007</v>
      </c>
      <c r="BJ180" s="413">
        <v>0.33981629792459844</v>
      </c>
      <c r="BK180" s="287" t="s">
        <v>1130</v>
      </c>
      <c r="BL180" s="287" t="s">
        <v>1136</v>
      </c>
    </row>
    <row r="181" spans="1:64" s="6" customFormat="1" ht="20.25" customHeight="1" thickBot="1" x14ac:dyDescent="0.35">
      <c r="A181" s="279" t="s">
        <v>749</v>
      </c>
      <c r="B181" s="6" t="s">
        <v>721</v>
      </c>
      <c r="C181" s="6" t="s">
        <v>750</v>
      </c>
      <c r="D181" s="6" t="s">
        <v>1240</v>
      </c>
      <c r="G181" s="6" t="s">
        <v>838</v>
      </c>
      <c r="H181" s="6" t="s">
        <v>860</v>
      </c>
      <c r="J181" s="6" t="s">
        <v>829</v>
      </c>
      <c r="L181" s="280">
        <v>44861</v>
      </c>
      <c r="M181" s="280">
        <v>44890</v>
      </c>
      <c r="N181" s="6">
        <v>8.3800000000000008</v>
      </c>
      <c r="O181" s="6">
        <v>6.23</v>
      </c>
      <c r="R181" s="6">
        <v>41.12</v>
      </c>
      <c r="S181" s="29">
        <f>LOG10(O181)</f>
        <v>0.79448804665916961</v>
      </c>
      <c r="T181" s="29">
        <f>LOG10(R181)</f>
        <v>1.6140531059872192</v>
      </c>
      <c r="U181" s="356">
        <f t="shared" si="50"/>
        <v>32.707500000000003</v>
      </c>
      <c r="V181" s="363">
        <f t="shared" si="48"/>
        <v>41.671942000000001</v>
      </c>
      <c r="W181" s="363">
        <f t="shared" si="49"/>
        <v>36.631154000000002</v>
      </c>
      <c r="X181" s="271">
        <v>60</v>
      </c>
      <c r="Y181" s="271">
        <v>26</v>
      </c>
      <c r="Z181" s="271">
        <v>14</v>
      </c>
      <c r="AA181" s="239" t="s">
        <v>876</v>
      </c>
      <c r="AB181" s="239" t="s">
        <v>877</v>
      </c>
      <c r="AC181" s="281">
        <v>1.286</v>
      </c>
      <c r="AD181" s="6">
        <v>0.08</v>
      </c>
      <c r="AE181" s="271">
        <v>60.12</v>
      </c>
      <c r="AF181" s="282">
        <v>1470.9</v>
      </c>
      <c r="AG181" s="436">
        <v>7297</v>
      </c>
      <c r="AH181" s="30">
        <v>5413.6442999999999</v>
      </c>
      <c r="AI181" s="436">
        <v>12695</v>
      </c>
      <c r="AJ181" s="30">
        <v>9073.1165000000001</v>
      </c>
      <c r="AK181" s="436">
        <v>1722</v>
      </c>
      <c r="AL181" s="30">
        <v>1038.366</v>
      </c>
      <c r="AM181" s="238">
        <v>76.137269529670448</v>
      </c>
      <c r="AN181" s="339" t="s">
        <v>997</v>
      </c>
      <c r="AO181" s="6">
        <v>2.69</v>
      </c>
      <c r="AP181" s="6">
        <v>14.71</v>
      </c>
      <c r="AQ181" s="6">
        <v>16.32</v>
      </c>
      <c r="AR181" s="6">
        <v>0.9</v>
      </c>
      <c r="AS181" s="283">
        <v>18.059999999999999</v>
      </c>
      <c r="AT181" s="283">
        <v>1.31</v>
      </c>
      <c r="AU181" s="288">
        <v>10023.549999999999</v>
      </c>
      <c r="AV181" s="281">
        <v>2.87</v>
      </c>
      <c r="AW181" s="448">
        <v>3.506818814361258</v>
      </c>
      <c r="AX181" s="285"/>
      <c r="AY181" s="286"/>
      <c r="AZ181" s="6">
        <v>3.1223708439897697</v>
      </c>
      <c r="BA181" s="6">
        <v>23.537583913043477</v>
      </c>
      <c r="BB181" s="6">
        <v>45.339285714285715</v>
      </c>
      <c r="BC181" s="6">
        <v>8.5462222222222231</v>
      </c>
      <c r="BD181" s="6">
        <v>4.5346198904773285</v>
      </c>
      <c r="BE181" s="6" t="s">
        <v>1125</v>
      </c>
      <c r="BF181" s="6">
        <v>3.1227470332480816</v>
      </c>
      <c r="BG181" s="6">
        <v>23.487516311439755</v>
      </c>
      <c r="BH181" s="6">
        <v>45.275032435129738</v>
      </c>
      <c r="BI181" s="6">
        <v>6.0958800000000002</v>
      </c>
      <c r="BJ181" s="414">
        <v>0.3011946931623285</v>
      </c>
      <c r="BK181" s="6" t="s">
        <v>1130</v>
      </c>
      <c r="BL181" s="6" t="s">
        <v>1136</v>
      </c>
    </row>
    <row r="182" spans="1:64" s="6" customFormat="1" ht="20.25" customHeight="1" thickBot="1" x14ac:dyDescent="0.35">
      <c r="A182" s="279" t="s">
        <v>751</v>
      </c>
      <c r="B182" s="6" t="s">
        <v>721</v>
      </c>
      <c r="C182" s="6" t="s">
        <v>752</v>
      </c>
      <c r="D182" s="6" t="s">
        <v>1241</v>
      </c>
      <c r="G182" s="6" t="s">
        <v>838</v>
      </c>
      <c r="H182" s="6" t="s">
        <v>860</v>
      </c>
      <c r="J182" s="6" t="s">
        <v>829</v>
      </c>
      <c r="L182" s="280">
        <v>44861</v>
      </c>
      <c r="M182" s="280">
        <v>44890</v>
      </c>
      <c r="N182" s="6">
        <v>8.4499999999999993</v>
      </c>
      <c r="O182" s="6">
        <v>9.57</v>
      </c>
      <c r="U182" s="356">
        <f t="shared" si="50"/>
        <v>50.2425</v>
      </c>
      <c r="V182" s="363">
        <f t="shared" si="48"/>
        <v>59.692578000000005</v>
      </c>
      <c r="W182" s="363">
        <f t="shared" si="49"/>
        <v>56.269686000000007</v>
      </c>
      <c r="X182" s="271">
        <v>64</v>
      </c>
      <c r="Y182" s="271">
        <v>22</v>
      </c>
      <c r="Z182" s="271">
        <v>14</v>
      </c>
      <c r="AA182" s="239" t="s">
        <v>876</v>
      </c>
      <c r="AB182" s="239" t="s">
        <v>877</v>
      </c>
      <c r="AC182" s="281">
        <v>1.0529999999999999</v>
      </c>
      <c r="AD182" s="6">
        <v>0.08</v>
      </c>
      <c r="AE182" s="271">
        <v>47.44</v>
      </c>
      <c r="AF182" s="282">
        <v>1383</v>
      </c>
      <c r="AG182" s="436">
        <v>12522</v>
      </c>
      <c r="AH182" s="30">
        <v>9290.0717999999997</v>
      </c>
      <c r="AI182" s="436">
        <v>11295</v>
      </c>
      <c r="AJ182" s="30">
        <v>8072.5365000000002</v>
      </c>
      <c r="AK182" s="436">
        <v>2506</v>
      </c>
      <c r="AL182" s="30">
        <v>1511.1179999999999</v>
      </c>
      <c r="AM182" s="238">
        <v>134.20493747541417</v>
      </c>
      <c r="AN182" s="339" t="s">
        <v>997</v>
      </c>
      <c r="AO182" s="6">
        <v>2.2000000000000002</v>
      </c>
      <c r="AP182" s="6">
        <v>6.61</v>
      </c>
      <c r="AQ182" s="6">
        <v>11.28</v>
      </c>
      <c r="AR182" s="6">
        <v>0.64</v>
      </c>
      <c r="AS182" s="283">
        <v>14.21</v>
      </c>
      <c r="AT182" s="283">
        <v>3</v>
      </c>
      <c r="AU182" s="284">
        <v>10870.07</v>
      </c>
      <c r="AV182" s="281">
        <v>2.5299999999999998</v>
      </c>
      <c r="AW182" s="448">
        <v>4.0094667966030899</v>
      </c>
      <c r="AX182" s="285"/>
      <c r="AY182" s="286"/>
      <c r="AZ182" s="6">
        <v>2.9357800511508949</v>
      </c>
      <c r="BA182" s="6">
        <v>40.391616521739131</v>
      </c>
      <c r="BB182" s="6">
        <v>40.339285714285715</v>
      </c>
      <c r="BC182" s="6">
        <v>12.437185185185184</v>
      </c>
      <c r="BD182" s="6">
        <v>7.8629598722447795</v>
      </c>
      <c r="BE182" s="6" t="s">
        <v>1125</v>
      </c>
      <c r="BF182" s="6">
        <v>2.9361337595907928</v>
      </c>
      <c r="BG182" s="6">
        <v>40.305698129621575</v>
      </c>
      <c r="BH182" s="6">
        <v>40.282118263473052</v>
      </c>
      <c r="BI182" s="6">
        <v>8.8712400000000002</v>
      </c>
      <c r="BJ182" s="414">
        <v>0.43623156208689412</v>
      </c>
      <c r="BK182" s="6" t="s">
        <v>1130</v>
      </c>
      <c r="BL182" s="6" t="s">
        <v>1136</v>
      </c>
    </row>
    <row r="183" spans="1:64" s="6" customFormat="1" ht="20.25" customHeight="1" thickBot="1" x14ac:dyDescent="0.35">
      <c r="A183" s="279" t="s">
        <v>753</v>
      </c>
      <c r="B183" s="6" t="s">
        <v>721</v>
      </c>
      <c r="C183" s="6" t="s">
        <v>754</v>
      </c>
      <c r="D183" s="6" t="s">
        <v>1241</v>
      </c>
      <c r="G183" s="6" t="s">
        <v>838</v>
      </c>
      <c r="H183" s="6" t="s">
        <v>860</v>
      </c>
      <c r="J183" s="6" t="s">
        <v>829</v>
      </c>
      <c r="L183" s="280">
        <v>44861</v>
      </c>
      <c r="M183" s="280">
        <v>44890</v>
      </c>
      <c r="N183" s="6">
        <v>8.19</v>
      </c>
      <c r="O183" s="6">
        <v>19.64</v>
      </c>
      <c r="R183" s="6">
        <v>105.2</v>
      </c>
      <c r="S183" s="29">
        <f>LOG10(O183)</f>
        <v>1.2931414834509309</v>
      </c>
      <c r="T183" s="29">
        <f>LOG10(R183)</f>
        <v>2.0220157398177201</v>
      </c>
      <c r="U183" s="356">
        <f t="shared" si="50"/>
        <v>103.11</v>
      </c>
      <c r="V183" s="363">
        <f t="shared" si="48"/>
        <v>114.02425600000001</v>
      </c>
      <c r="W183" s="363">
        <f t="shared" si="49"/>
        <v>115.47927200000001</v>
      </c>
      <c r="X183" s="271">
        <v>72</v>
      </c>
      <c r="Y183" s="271">
        <v>14</v>
      </c>
      <c r="Z183" s="271">
        <v>14</v>
      </c>
      <c r="AA183" s="239" t="s">
        <v>876</v>
      </c>
      <c r="AB183" s="239" t="s">
        <v>877</v>
      </c>
      <c r="AC183" s="281">
        <v>2.5209999999999999</v>
      </c>
      <c r="AD183" s="6">
        <v>1.4E-2</v>
      </c>
      <c r="AE183" s="271">
        <v>86.94</v>
      </c>
      <c r="AF183" s="282">
        <v>1364.2</v>
      </c>
      <c r="AG183" s="436">
        <v>31143</v>
      </c>
      <c r="AH183" s="30">
        <v>23104.991699999999</v>
      </c>
      <c r="AI183" s="436">
        <v>9731</v>
      </c>
      <c r="AJ183" s="30">
        <v>6954.7457000000004</v>
      </c>
      <c r="AK183" s="436">
        <v>2597</v>
      </c>
      <c r="AL183" s="30">
        <v>1565.991</v>
      </c>
      <c r="AM183" s="238">
        <v>353.98286667663473</v>
      </c>
      <c r="AN183" s="339" t="s">
        <v>997</v>
      </c>
      <c r="AO183" s="6">
        <v>3.28</v>
      </c>
      <c r="AP183" s="6">
        <v>50.96</v>
      </c>
      <c r="AQ183" s="6">
        <v>18.649999999999999</v>
      </c>
      <c r="AR183" s="6">
        <v>1.65</v>
      </c>
      <c r="AS183" s="283">
        <v>51.98</v>
      </c>
      <c r="AT183" s="283">
        <v>8.27</v>
      </c>
      <c r="AU183" s="284">
        <v>23582.65</v>
      </c>
      <c r="AV183" s="281">
        <v>1.61</v>
      </c>
      <c r="AW183" s="448">
        <v>0.76858813700918982</v>
      </c>
      <c r="AX183" s="285"/>
      <c r="AY183" s="286"/>
      <c r="AZ183" s="6">
        <v>2.8958721227621482</v>
      </c>
      <c r="BA183" s="6">
        <v>100.45648565217391</v>
      </c>
      <c r="BB183" s="6">
        <v>34.753571428571426</v>
      </c>
      <c r="BC183" s="6">
        <v>12.888814814814815</v>
      </c>
      <c r="BD183" s="6">
        <v>20.582410035915395</v>
      </c>
      <c r="BE183" s="6" t="s">
        <v>1128</v>
      </c>
      <c r="BF183" s="6">
        <v>2.8962210230179024</v>
      </c>
      <c r="BG183" s="6">
        <v>100.24280121792083</v>
      </c>
      <c r="BH183" s="6">
        <v>34.70431986027944</v>
      </c>
      <c r="BI183" s="6">
        <v>9.1933800000000012</v>
      </c>
      <c r="BJ183" s="414">
        <v>0.68175350882016383</v>
      </c>
      <c r="BK183" s="6" t="s">
        <v>1129</v>
      </c>
      <c r="BL183" s="6" t="s">
        <v>1136</v>
      </c>
    </row>
    <row r="184" spans="1:64" s="6" customFormat="1" ht="20.25" customHeight="1" thickBot="1" x14ac:dyDescent="0.35">
      <c r="A184" s="279" t="s">
        <v>755</v>
      </c>
      <c r="B184" s="6" t="s">
        <v>721</v>
      </c>
      <c r="C184" s="6" t="s">
        <v>756</v>
      </c>
      <c r="D184" s="6" t="s">
        <v>1241</v>
      </c>
      <c r="G184" s="6" t="s">
        <v>838</v>
      </c>
      <c r="H184" s="6" t="s">
        <v>860</v>
      </c>
      <c r="J184" s="6" t="s">
        <v>829</v>
      </c>
      <c r="L184" s="280">
        <v>44861</v>
      </c>
      <c r="M184" s="280">
        <v>44890</v>
      </c>
      <c r="N184" s="6">
        <v>8.51</v>
      </c>
      <c r="O184" s="6">
        <v>12.68</v>
      </c>
      <c r="U184" s="356">
        <f t="shared" si="50"/>
        <v>66.569999999999993</v>
      </c>
      <c r="V184" s="363">
        <f t="shared" si="48"/>
        <v>76.472272000000004</v>
      </c>
      <c r="W184" s="363">
        <f t="shared" si="49"/>
        <v>74.555864</v>
      </c>
      <c r="X184" s="271">
        <v>68</v>
      </c>
      <c r="Y184" s="271">
        <v>24</v>
      </c>
      <c r="Z184" s="271">
        <v>8</v>
      </c>
      <c r="AA184" s="239" t="s">
        <v>876</v>
      </c>
      <c r="AB184" s="239" t="s">
        <v>877</v>
      </c>
      <c r="AC184" s="281">
        <v>1.7649999999999999</v>
      </c>
      <c r="AD184" s="6">
        <v>1.0999999999999999E-2</v>
      </c>
      <c r="AE184" s="271">
        <v>67.14</v>
      </c>
      <c r="AF184" s="282">
        <v>1812.38</v>
      </c>
      <c r="AG184" s="436">
        <v>15801</v>
      </c>
      <c r="AH184" s="30">
        <v>11722.7619</v>
      </c>
      <c r="AI184" s="436">
        <v>13799</v>
      </c>
      <c r="AJ184" s="30">
        <v>9862.1453000000001</v>
      </c>
      <c r="AK184" s="436">
        <v>2919</v>
      </c>
      <c r="AL184" s="30">
        <v>1760.1569999999999</v>
      </c>
      <c r="AM184" s="238">
        <v>153.77964651948344</v>
      </c>
      <c r="AN184" s="339" t="s">
        <v>999</v>
      </c>
      <c r="AO184" s="6">
        <v>2.2000000000000002</v>
      </c>
      <c r="AP184" s="6">
        <v>5.62</v>
      </c>
      <c r="AQ184" s="6">
        <v>11.38</v>
      </c>
      <c r="AR184" s="6">
        <v>0.65</v>
      </c>
      <c r="AS184" s="283">
        <v>29.06</v>
      </c>
      <c r="AT184" s="283">
        <v>0.75</v>
      </c>
      <c r="AU184" s="289">
        <v>15042.67</v>
      </c>
      <c r="AV184" s="281">
        <v>3.62</v>
      </c>
      <c r="AW184" s="448">
        <v>3.5803497085761862</v>
      </c>
      <c r="AX184" s="285"/>
      <c r="AY184" s="286"/>
      <c r="AZ184" s="6">
        <v>3.8472516624040916</v>
      </c>
      <c r="BA184" s="6">
        <v>50.968530000000001</v>
      </c>
      <c r="BB184" s="6">
        <v>49.282142857142858</v>
      </c>
      <c r="BC184" s="6">
        <v>14.486888888888886</v>
      </c>
      <c r="BD184" s="6">
        <v>9.0263505222905263</v>
      </c>
      <c r="BE184" s="6" t="s">
        <v>1125</v>
      </c>
      <c r="BF184" s="6">
        <v>3.8477151867007677</v>
      </c>
      <c r="BG184" s="6">
        <v>50.860113092648973</v>
      </c>
      <c r="BH184" s="6">
        <v>49.212301896207585</v>
      </c>
      <c r="BI184" s="6">
        <v>10.333260000000001</v>
      </c>
      <c r="BJ184" s="414">
        <v>0.44515189452583687</v>
      </c>
      <c r="BK184" s="6" t="s">
        <v>1130</v>
      </c>
      <c r="BL184" s="6" t="s">
        <v>1136</v>
      </c>
    </row>
    <row r="185" spans="1:64" s="6" customFormat="1" ht="20.25" customHeight="1" thickBot="1" x14ac:dyDescent="0.35">
      <c r="A185" s="279" t="s">
        <v>757</v>
      </c>
      <c r="B185" s="6" t="s">
        <v>721</v>
      </c>
      <c r="C185" s="6" t="s">
        <v>758</v>
      </c>
      <c r="D185" s="6" t="s">
        <v>1240</v>
      </c>
      <c r="G185" s="6" t="s">
        <v>839</v>
      </c>
      <c r="H185" s="6" t="s">
        <v>861</v>
      </c>
      <c r="J185" s="6" t="s">
        <v>829</v>
      </c>
      <c r="L185" s="280">
        <v>44861</v>
      </c>
      <c r="M185" s="280">
        <v>44890</v>
      </c>
      <c r="N185" s="6">
        <v>8.18</v>
      </c>
      <c r="O185" s="6">
        <v>11.84</v>
      </c>
      <c r="R185" s="6">
        <v>75.62</v>
      </c>
      <c r="S185" s="29">
        <f>LOG10(O185)</f>
        <v>1.073351702386901</v>
      </c>
      <c r="T185" s="29">
        <f>LOG10(R185)</f>
        <v>1.8786366730265169</v>
      </c>
      <c r="U185" s="356">
        <f t="shared" si="50"/>
        <v>62.16</v>
      </c>
      <c r="V185" s="363">
        <f t="shared" si="48"/>
        <v>71.94013600000001</v>
      </c>
      <c r="W185" s="363">
        <f t="shared" si="49"/>
        <v>69.616832000000002</v>
      </c>
      <c r="X185" s="271">
        <v>64</v>
      </c>
      <c r="Y185" s="271">
        <v>28</v>
      </c>
      <c r="Z185" s="271">
        <v>8</v>
      </c>
      <c r="AA185" s="239" t="s">
        <v>876</v>
      </c>
      <c r="AB185" s="239" t="s">
        <v>877</v>
      </c>
      <c r="AC185" s="281">
        <v>2.145</v>
      </c>
      <c r="AD185" s="6">
        <v>0.13</v>
      </c>
      <c r="AE185" s="271">
        <v>88.18</v>
      </c>
      <c r="AF185" s="282">
        <v>1156.54</v>
      </c>
      <c r="AG185" s="436">
        <v>20050</v>
      </c>
      <c r="AH185" s="30">
        <v>14875.094999999999</v>
      </c>
      <c r="AI185" s="436">
        <v>12741</v>
      </c>
      <c r="AJ185" s="30">
        <v>9105.9927000000007</v>
      </c>
      <c r="AK185" s="436">
        <v>1969</v>
      </c>
      <c r="AL185" s="30">
        <v>1187.307</v>
      </c>
      <c r="AM185" s="238">
        <v>207.34684758788717</v>
      </c>
      <c r="AN185" s="339" t="s">
        <v>997</v>
      </c>
      <c r="AO185" s="6">
        <v>3.44</v>
      </c>
      <c r="AP185" s="6">
        <v>42.96</v>
      </c>
      <c r="AQ185" s="6">
        <v>17.059999999999999</v>
      </c>
      <c r="AR185" s="6">
        <v>1.9</v>
      </c>
      <c r="AS185" s="283">
        <v>51.47</v>
      </c>
      <c r="AT185" s="283">
        <v>9.0299999999999994</v>
      </c>
      <c r="AU185" s="284">
        <v>23016.19</v>
      </c>
      <c r="AV185" s="281">
        <v>1.92</v>
      </c>
      <c r="AW185" s="448">
        <v>1.1604285515514123</v>
      </c>
      <c r="AX185" s="285"/>
      <c r="AY185" s="286"/>
      <c r="AZ185" s="6">
        <v>2.4550593350383632</v>
      </c>
      <c r="BA185" s="6">
        <v>64.674326086956512</v>
      </c>
      <c r="BB185" s="6">
        <v>45.503571428571433</v>
      </c>
      <c r="BC185" s="6">
        <v>9.772074074074073</v>
      </c>
      <c r="BD185" s="6">
        <v>12.302121115879801</v>
      </c>
      <c r="BE185" s="6" t="s">
        <v>1133</v>
      </c>
      <c r="BF185" s="6">
        <v>2.4553551253196928</v>
      </c>
      <c r="BG185" s="6">
        <v>64.536755110917795</v>
      </c>
      <c r="BH185" s="6">
        <v>45.439085329341317</v>
      </c>
      <c r="BI185" s="6">
        <v>6.9702600000000006</v>
      </c>
      <c r="BJ185" s="414">
        <v>0.54050224769221766</v>
      </c>
      <c r="BK185" s="6" t="s">
        <v>1129</v>
      </c>
      <c r="BL185" s="6" t="s">
        <v>1136</v>
      </c>
    </row>
    <row r="186" spans="1:64" s="6" customFormat="1" ht="20.25" customHeight="1" thickBot="1" x14ac:dyDescent="0.35">
      <c r="A186" s="279" t="s">
        <v>759</v>
      </c>
      <c r="B186" s="6" t="s">
        <v>721</v>
      </c>
      <c r="C186" s="6" t="s">
        <v>760</v>
      </c>
      <c r="D186" s="6" t="s">
        <v>1241</v>
      </c>
      <c r="G186" s="6" t="s">
        <v>839</v>
      </c>
      <c r="H186" s="6" t="s">
        <v>861</v>
      </c>
      <c r="J186" s="6" t="s">
        <v>829</v>
      </c>
      <c r="L186" s="280">
        <v>44861</v>
      </c>
      <c r="M186" s="280">
        <v>44890</v>
      </c>
      <c r="N186" s="6">
        <v>8.48</v>
      </c>
      <c r="O186" s="6">
        <v>11.26</v>
      </c>
      <c r="U186" s="356">
        <f t="shared" si="50"/>
        <v>59.115000000000002</v>
      </c>
      <c r="V186" s="363">
        <f t="shared" si="48"/>
        <v>68.810804000000005</v>
      </c>
      <c r="W186" s="363">
        <f t="shared" si="49"/>
        <v>66.206547999999998</v>
      </c>
      <c r="X186" s="271">
        <v>60</v>
      </c>
      <c r="Y186" s="271">
        <v>30</v>
      </c>
      <c r="Z186" s="271">
        <v>10</v>
      </c>
      <c r="AA186" s="239" t="s">
        <v>876</v>
      </c>
      <c r="AB186" s="239" t="s">
        <v>877</v>
      </c>
      <c r="AC186" s="281">
        <v>1.42</v>
      </c>
      <c r="AD186" s="6">
        <v>0.09</v>
      </c>
      <c r="AE186" s="271">
        <v>46.62</v>
      </c>
      <c r="AF186" s="282">
        <v>1519.7</v>
      </c>
      <c r="AG186" s="436">
        <v>12351</v>
      </c>
      <c r="AH186" s="30">
        <v>9163.2068999999992</v>
      </c>
      <c r="AI186" s="436">
        <v>19544</v>
      </c>
      <c r="AJ186" s="30">
        <v>13968.096799999999</v>
      </c>
      <c r="AK186" s="436">
        <v>2798</v>
      </c>
      <c r="AL186" s="30">
        <v>1687.194</v>
      </c>
      <c r="AM186" s="238">
        <v>103.5695098840017</v>
      </c>
      <c r="AN186" s="339" t="s">
        <v>997</v>
      </c>
      <c r="AO186" s="6">
        <v>2.41</v>
      </c>
      <c r="AP186" s="6">
        <v>5.14</v>
      </c>
      <c r="AQ186" s="6">
        <v>11.82</v>
      </c>
      <c r="AR186" s="6">
        <v>0.65</v>
      </c>
      <c r="AS186" s="283">
        <v>28.65</v>
      </c>
      <c r="AT186" s="283">
        <v>2.64</v>
      </c>
      <c r="AU186" s="284">
        <v>14463.33</v>
      </c>
      <c r="AV186" s="281">
        <v>3.58</v>
      </c>
      <c r="AW186" s="448">
        <v>2.7072053311120365</v>
      </c>
      <c r="AX186" s="285"/>
      <c r="AY186" s="286"/>
      <c r="AZ186" s="6">
        <v>3.2259616368286443</v>
      </c>
      <c r="BA186" s="6">
        <v>39.840029999999999</v>
      </c>
      <c r="BB186" s="6">
        <v>69.8</v>
      </c>
      <c r="BC186" s="6">
        <v>13.88637037037037</v>
      </c>
      <c r="BD186" s="6">
        <v>6.1589586530300915</v>
      </c>
      <c r="BE186" s="6" t="s">
        <v>1125</v>
      </c>
      <c r="BF186" s="6">
        <v>3.2263503069053709</v>
      </c>
      <c r="BG186" s="6">
        <v>39.75528490648108</v>
      </c>
      <c r="BH186" s="6">
        <v>69.701081836327333</v>
      </c>
      <c r="BI186" s="6">
        <v>9.9049200000000006</v>
      </c>
      <c r="BJ186" s="414">
        <v>0.32430093167028623</v>
      </c>
      <c r="BK186" s="6" t="s">
        <v>1130</v>
      </c>
      <c r="BL186" s="6" t="s">
        <v>1136</v>
      </c>
    </row>
    <row r="187" spans="1:64" s="6" customFormat="1" ht="20.25" customHeight="1" thickBot="1" x14ac:dyDescent="0.35">
      <c r="A187" s="279" t="s">
        <v>761</v>
      </c>
      <c r="B187" s="6" t="s">
        <v>721</v>
      </c>
      <c r="C187" s="6" t="s">
        <v>762</v>
      </c>
      <c r="D187" s="6" t="s">
        <v>1241</v>
      </c>
      <c r="G187" s="6" t="s">
        <v>839</v>
      </c>
      <c r="H187" s="6" t="s">
        <v>861</v>
      </c>
      <c r="J187" s="6" t="s">
        <v>829</v>
      </c>
      <c r="L187" s="280">
        <v>44861</v>
      </c>
      <c r="M187" s="280">
        <v>44890</v>
      </c>
      <c r="N187" s="6">
        <v>8.31</v>
      </c>
      <c r="O187" s="6">
        <v>4.8600000000000003</v>
      </c>
      <c r="R187" s="6">
        <v>21.67</v>
      </c>
      <c r="S187" s="29">
        <f>LOG10(O187)</f>
        <v>0.68663626926229337</v>
      </c>
      <c r="T187" s="29">
        <f>LOG10(R187)</f>
        <v>1.335858911319818</v>
      </c>
      <c r="U187" s="356">
        <f t="shared" si="50"/>
        <v>25.515000000000001</v>
      </c>
      <c r="V187" s="363">
        <f t="shared" si="48"/>
        <v>34.280244000000003</v>
      </c>
      <c r="W187" s="363">
        <f t="shared" si="49"/>
        <v>28.575828000000005</v>
      </c>
      <c r="X187" s="271">
        <v>66</v>
      </c>
      <c r="Y187" s="271">
        <v>24</v>
      </c>
      <c r="Z187" s="271">
        <v>10</v>
      </c>
      <c r="AA187" s="239" t="s">
        <v>876</v>
      </c>
      <c r="AB187" s="239" t="s">
        <v>877</v>
      </c>
      <c r="AC187" s="281">
        <v>1.206</v>
      </c>
      <c r="AD187" s="6">
        <v>0.05</v>
      </c>
      <c r="AE187" s="271">
        <v>72.02</v>
      </c>
      <c r="AF187" s="282">
        <v>1440.96</v>
      </c>
      <c r="AG187" s="436">
        <v>6027</v>
      </c>
      <c r="AH187" s="30">
        <v>4471.4313000000002</v>
      </c>
      <c r="AI187" s="436">
        <v>15903</v>
      </c>
      <c r="AJ187" s="30">
        <v>11365.874100000001</v>
      </c>
      <c r="AK187" s="436">
        <v>1667</v>
      </c>
      <c r="AL187" s="30">
        <v>1005.201</v>
      </c>
      <c r="AM187" s="238">
        <v>56.853582858626169</v>
      </c>
      <c r="AN187" s="339" t="s">
        <v>997</v>
      </c>
      <c r="AO187" s="6">
        <v>2.97</v>
      </c>
      <c r="AP187" s="6">
        <v>12.7</v>
      </c>
      <c r="AQ187" s="6">
        <v>18.98</v>
      </c>
      <c r="AR187" s="6">
        <v>0.87</v>
      </c>
      <c r="AS187" s="283">
        <v>20.2</v>
      </c>
      <c r="AT187" s="283">
        <v>5.01</v>
      </c>
      <c r="AU187" s="284">
        <v>5697.71</v>
      </c>
      <c r="AV187" s="281">
        <v>3.65</v>
      </c>
      <c r="AW187" s="448">
        <v>2.9698828778583382</v>
      </c>
      <c r="AX187" s="285"/>
      <c r="AY187" s="286"/>
      <c r="AZ187" s="6">
        <v>3.0588153452685418</v>
      </c>
      <c r="BA187" s="6">
        <v>19.441005652173914</v>
      </c>
      <c r="BB187" s="6">
        <v>56.796428571428564</v>
      </c>
      <c r="BC187" s="6">
        <v>8.2732592592592589</v>
      </c>
      <c r="BD187" s="6">
        <v>3.4083513899263931</v>
      </c>
      <c r="BE187" s="6" t="s">
        <v>1125</v>
      </c>
      <c r="BF187" s="6">
        <v>3.0591838772378512</v>
      </c>
      <c r="BG187" s="6">
        <v>19.399652022618529</v>
      </c>
      <c r="BH187" s="6">
        <v>56.715938622754493</v>
      </c>
      <c r="BI187" s="6">
        <v>5.9011800000000001</v>
      </c>
      <c r="BJ187" s="414">
        <v>0.22802743891004632</v>
      </c>
      <c r="BK187" s="6" t="s">
        <v>1127</v>
      </c>
      <c r="BL187" s="6" t="s">
        <v>1136</v>
      </c>
    </row>
    <row r="188" spans="1:64" s="6" customFormat="1" ht="20.25" customHeight="1" thickBot="1" x14ac:dyDescent="0.35">
      <c r="A188" s="279" t="s">
        <v>763</v>
      </c>
      <c r="B188" s="6" t="s">
        <v>721</v>
      </c>
      <c r="C188" s="6" t="s">
        <v>764</v>
      </c>
      <c r="D188" s="6" t="s">
        <v>1241</v>
      </c>
      <c r="G188" s="6" t="s">
        <v>839</v>
      </c>
      <c r="H188" s="6" t="s">
        <v>861</v>
      </c>
      <c r="J188" s="6" t="s">
        <v>829</v>
      </c>
      <c r="L188" s="280">
        <v>44861</v>
      </c>
      <c r="M188" s="280">
        <v>44890</v>
      </c>
      <c r="N188" s="6">
        <v>8.4600000000000009</v>
      </c>
      <c r="O188" s="6">
        <v>18.97</v>
      </c>
      <c r="U188" s="356">
        <f t="shared" si="50"/>
        <v>99.592500000000001</v>
      </c>
      <c r="V188" s="363">
        <f t="shared" si="48"/>
        <v>110.40933800000001</v>
      </c>
      <c r="W188" s="363">
        <f t="shared" si="49"/>
        <v>111.539806</v>
      </c>
      <c r="X188" s="271">
        <v>60</v>
      </c>
      <c r="Y188" s="271">
        <v>26</v>
      </c>
      <c r="Z188" s="271">
        <v>14</v>
      </c>
      <c r="AA188" s="239" t="s">
        <v>876</v>
      </c>
      <c r="AB188" s="239" t="s">
        <v>877</v>
      </c>
      <c r="AC188" s="281">
        <v>1.6</v>
      </c>
      <c r="AD188" s="6">
        <v>0.09</v>
      </c>
      <c r="AE188" s="271">
        <v>57.16</v>
      </c>
      <c r="AF188" s="282">
        <v>1562.87</v>
      </c>
      <c r="AG188" s="436">
        <v>25478</v>
      </c>
      <c r="AH188" s="30">
        <v>18902.128199999999</v>
      </c>
      <c r="AI188" s="436">
        <v>15837</v>
      </c>
      <c r="AJ188" s="30">
        <v>11318.7039</v>
      </c>
      <c r="AK188" s="436">
        <v>3447</v>
      </c>
      <c r="AL188" s="30">
        <v>2078.5409999999997</v>
      </c>
      <c r="AM188" s="238">
        <v>230.94999333143139</v>
      </c>
      <c r="AN188" s="339" t="s">
        <v>997</v>
      </c>
      <c r="AO188" s="6">
        <v>2.59</v>
      </c>
      <c r="AP188" s="6">
        <v>10.54</v>
      </c>
      <c r="AQ188" s="6">
        <v>14.34</v>
      </c>
      <c r="AR188" s="6">
        <v>0.76</v>
      </c>
      <c r="AS188" s="283">
        <v>50.05</v>
      </c>
      <c r="AT188" s="283">
        <v>6.68</v>
      </c>
      <c r="AU188" s="284">
        <v>33630.120000000003</v>
      </c>
      <c r="AV188" s="281">
        <v>2.99</v>
      </c>
      <c r="AW188" s="448">
        <v>2.7064538514920193</v>
      </c>
      <c r="AX188" s="285"/>
      <c r="AY188" s="286"/>
      <c r="AZ188" s="6">
        <v>3.3176012787723774</v>
      </c>
      <c r="BA188" s="6">
        <v>82.183166086956518</v>
      </c>
      <c r="BB188" s="6">
        <v>56.56071428571429</v>
      </c>
      <c r="BC188" s="6">
        <v>17.10733333333333</v>
      </c>
      <c r="BD188" s="6">
        <v>13.541235343572097</v>
      </c>
      <c r="BE188" s="6" t="s">
        <v>1133</v>
      </c>
      <c r="BF188" s="6">
        <v>3.3180009897698204</v>
      </c>
      <c r="BG188" s="6">
        <v>82.008351457155285</v>
      </c>
      <c r="BH188" s="6">
        <v>56.480558383233536</v>
      </c>
      <c r="BI188" s="6">
        <v>12.20238</v>
      </c>
      <c r="BJ188" s="414">
        <v>0.53248963757383994</v>
      </c>
      <c r="BK188" s="6" t="s">
        <v>1129</v>
      </c>
      <c r="BL188" s="6" t="s">
        <v>1136</v>
      </c>
    </row>
    <row r="189" spans="1:64" s="6" customFormat="1" ht="20.25" customHeight="1" thickBot="1" x14ac:dyDescent="0.35">
      <c r="A189" s="279" t="s">
        <v>765</v>
      </c>
      <c r="B189" s="6" t="s">
        <v>721</v>
      </c>
      <c r="C189" s="6" t="s">
        <v>766</v>
      </c>
      <c r="D189" s="6" t="s">
        <v>1240</v>
      </c>
      <c r="G189" s="6" t="s">
        <v>840</v>
      </c>
      <c r="H189" s="6" t="s">
        <v>862</v>
      </c>
      <c r="J189" s="6" t="s">
        <v>829</v>
      </c>
      <c r="L189" s="280">
        <v>44861</v>
      </c>
      <c r="M189" s="280">
        <v>44890</v>
      </c>
      <c r="N189" s="6">
        <v>8.39</v>
      </c>
      <c r="O189" s="6">
        <v>8.84</v>
      </c>
      <c r="R189" s="6">
        <v>52.38</v>
      </c>
      <c r="S189" s="29">
        <f>LOG10(O189)</f>
        <v>0.94645226501307311</v>
      </c>
      <c r="T189" s="29">
        <f>LOG10(R189)</f>
        <v>1.7191654940892134</v>
      </c>
      <c r="U189" s="356">
        <f t="shared" si="50"/>
        <v>46.41</v>
      </c>
      <c r="V189" s="363">
        <f t="shared" si="48"/>
        <v>55.753936000000003</v>
      </c>
      <c r="W189" s="363">
        <f t="shared" si="49"/>
        <v>51.977432</v>
      </c>
      <c r="X189" s="271">
        <v>66</v>
      </c>
      <c r="Y189" s="271">
        <v>28</v>
      </c>
      <c r="Z189" s="271">
        <v>6</v>
      </c>
      <c r="AA189" s="239" t="s">
        <v>876</v>
      </c>
      <c r="AB189" s="239" t="s">
        <v>877</v>
      </c>
      <c r="AC189" s="281">
        <v>1.2549999999999999</v>
      </c>
      <c r="AD189" s="6">
        <v>0.08</v>
      </c>
      <c r="AE189" s="271">
        <v>93.12</v>
      </c>
      <c r="AF189" s="282">
        <v>1421.46</v>
      </c>
      <c r="AG189" s="436">
        <v>10151</v>
      </c>
      <c r="AH189" s="30">
        <v>7531.0268999999998</v>
      </c>
      <c r="AI189" s="436">
        <v>14311</v>
      </c>
      <c r="AJ189" s="30">
        <v>10228.0717</v>
      </c>
      <c r="AK189" s="436">
        <v>1763</v>
      </c>
      <c r="AL189" s="30">
        <v>1063.0889999999999</v>
      </c>
      <c r="AM189" s="238">
        <v>100.23050129298316</v>
      </c>
      <c r="AN189" s="339" t="s">
        <v>997</v>
      </c>
      <c r="AO189" s="6">
        <v>2.72</v>
      </c>
      <c r="AP189" s="6">
        <v>14.06</v>
      </c>
      <c r="AQ189" s="6">
        <v>15.75</v>
      </c>
      <c r="AR189" s="6">
        <v>0.83</v>
      </c>
      <c r="AS189" s="283">
        <v>17.11</v>
      </c>
      <c r="AT189" s="283">
        <v>2.33</v>
      </c>
      <c r="AU189" s="284">
        <v>8983.6</v>
      </c>
      <c r="AV189" s="281">
        <v>2.89</v>
      </c>
      <c r="AW189" s="448">
        <v>2.951849267271458</v>
      </c>
      <c r="AX189" s="285"/>
      <c r="AY189" s="286"/>
      <c r="AZ189" s="6">
        <v>3.0174214833759589</v>
      </c>
      <c r="BA189" s="6">
        <v>32.743595217391302</v>
      </c>
      <c r="BB189" s="6">
        <v>51.11071428571428</v>
      </c>
      <c r="BC189" s="6">
        <v>8.7497037037037035</v>
      </c>
      <c r="BD189" s="6">
        <v>5.9851010620837464</v>
      </c>
      <c r="BE189" s="6" t="s">
        <v>1125</v>
      </c>
      <c r="BF189" s="6">
        <v>3.0177850281329919</v>
      </c>
      <c r="BG189" s="6">
        <v>32.673945193562417</v>
      </c>
      <c r="BH189" s="6">
        <v>51.038281936127746</v>
      </c>
      <c r="BI189" s="6">
        <v>6.2410200000000007</v>
      </c>
      <c r="BJ189" s="414">
        <v>0.35144221200101011</v>
      </c>
      <c r="BK189" s="6" t="s">
        <v>1130</v>
      </c>
      <c r="BL189" s="6" t="s">
        <v>1136</v>
      </c>
    </row>
    <row r="190" spans="1:64" s="6" customFormat="1" ht="20.25" customHeight="1" thickBot="1" x14ac:dyDescent="0.35">
      <c r="A190" s="279" t="s">
        <v>767</v>
      </c>
      <c r="B190" s="6" t="s">
        <v>721</v>
      </c>
      <c r="C190" s="6" t="s">
        <v>768</v>
      </c>
      <c r="D190" s="6" t="s">
        <v>1241</v>
      </c>
      <c r="G190" s="6" t="s">
        <v>840</v>
      </c>
      <c r="H190" s="6" t="s">
        <v>862</v>
      </c>
      <c r="J190" s="6" t="s">
        <v>829</v>
      </c>
      <c r="L190" s="280">
        <v>44861</v>
      </c>
      <c r="M190" s="280">
        <v>44890</v>
      </c>
      <c r="N190" s="6">
        <v>8.3699999999999992</v>
      </c>
      <c r="O190" s="6">
        <v>16.350000000000001</v>
      </c>
      <c r="U190" s="356">
        <f t="shared" si="50"/>
        <v>85.837500000000006</v>
      </c>
      <c r="V190" s="363">
        <f t="shared" si="48"/>
        <v>96.273390000000006</v>
      </c>
      <c r="W190" s="363">
        <f t="shared" si="49"/>
        <v>96.134730000000019</v>
      </c>
      <c r="X190" s="271">
        <v>68</v>
      </c>
      <c r="Y190" s="271">
        <v>24</v>
      </c>
      <c r="Z190" s="271">
        <v>8</v>
      </c>
      <c r="AA190" s="239" t="s">
        <v>876</v>
      </c>
      <c r="AB190" s="239" t="s">
        <v>877</v>
      </c>
      <c r="AC190" s="281">
        <v>1.2410000000000001</v>
      </c>
      <c r="AD190" s="6">
        <v>0.08</v>
      </c>
      <c r="AE190" s="271">
        <v>66.349999999999994</v>
      </c>
      <c r="AF190" s="282">
        <v>1673.3</v>
      </c>
      <c r="AG190" s="436">
        <v>20235</v>
      </c>
      <c r="AH190" s="30">
        <v>15012.3465</v>
      </c>
      <c r="AI190" s="436">
        <v>13491</v>
      </c>
      <c r="AJ190" s="30">
        <v>9642.0177000000003</v>
      </c>
      <c r="AK190" s="436">
        <v>3555</v>
      </c>
      <c r="AL190" s="30">
        <v>2143.665</v>
      </c>
      <c r="AM190" s="238">
        <v>195.56278136423308</v>
      </c>
      <c r="AN190" s="339" t="s">
        <v>997</v>
      </c>
      <c r="AO190" s="6">
        <v>2.11</v>
      </c>
      <c r="AP190" s="6">
        <v>9.42</v>
      </c>
      <c r="AQ190" s="6">
        <v>11.09</v>
      </c>
      <c r="AR190" s="6">
        <v>0.62</v>
      </c>
      <c r="AS190" s="283">
        <v>18.809999999999999</v>
      </c>
      <c r="AT190" s="283" t="s">
        <v>561</v>
      </c>
      <c r="AU190" s="284">
        <v>24175.45</v>
      </c>
      <c r="AV190" s="281">
        <v>2.33</v>
      </c>
      <c r="AW190" s="448">
        <v>3.0391340549542045</v>
      </c>
      <c r="AX190" s="285"/>
      <c r="AY190" s="286"/>
      <c r="AZ190" s="6">
        <v>3.5520179028132985</v>
      </c>
      <c r="BA190" s="6">
        <v>65.271071739130434</v>
      </c>
      <c r="BB190" s="6">
        <v>48.182142857142857</v>
      </c>
      <c r="BC190" s="6">
        <v>17.643333333333334</v>
      </c>
      <c r="BD190" s="6">
        <v>11.377287609075825</v>
      </c>
      <c r="BE190" s="6" t="s">
        <v>1133</v>
      </c>
      <c r="BF190" s="6">
        <v>3.5524458567774935</v>
      </c>
      <c r="BG190" s="6">
        <v>65.132231404958674</v>
      </c>
      <c r="BH190" s="6">
        <v>48.113860778443112</v>
      </c>
      <c r="BI190" s="6">
        <v>12.5847</v>
      </c>
      <c r="BJ190" s="414">
        <v>0.5034054827467852</v>
      </c>
      <c r="BK190" s="6" t="s">
        <v>1129</v>
      </c>
      <c r="BL190" s="6" t="s">
        <v>1136</v>
      </c>
    </row>
    <row r="191" spans="1:64" s="6" customFormat="1" ht="20.25" customHeight="1" thickBot="1" x14ac:dyDescent="0.35">
      <c r="A191" s="279" t="s">
        <v>769</v>
      </c>
      <c r="B191" s="6" t="s">
        <v>721</v>
      </c>
      <c r="C191" s="6" t="s">
        <v>770</v>
      </c>
      <c r="D191" s="6" t="s">
        <v>1241</v>
      </c>
      <c r="G191" s="6" t="s">
        <v>840</v>
      </c>
      <c r="H191" s="6" t="s">
        <v>862</v>
      </c>
      <c r="J191" s="6" t="s">
        <v>829</v>
      </c>
      <c r="L191" s="280">
        <v>44861</v>
      </c>
      <c r="M191" s="280">
        <v>44890</v>
      </c>
      <c r="N191" s="6">
        <v>8.1</v>
      </c>
      <c r="O191" s="6">
        <v>10.26</v>
      </c>
      <c r="R191" s="6">
        <v>58.52</v>
      </c>
      <c r="S191" s="29">
        <f>LOG10(O191)</f>
        <v>1.0111473607757975</v>
      </c>
      <c r="T191" s="29">
        <f>LOG10(R191)</f>
        <v>1.7673043174532732</v>
      </c>
      <c r="U191" s="356">
        <f t="shared" si="50"/>
        <v>53.865000000000002</v>
      </c>
      <c r="V191" s="363">
        <f t="shared" si="48"/>
        <v>63.415404000000002</v>
      </c>
      <c r="W191" s="363">
        <f t="shared" si="49"/>
        <v>60.326748000000002</v>
      </c>
      <c r="X191" s="271">
        <v>66</v>
      </c>
      <c r="Y191" s="271">
        <v>30</v>
      </c>
      <c r="Z191" s="271">
        <v>4</v>
      </c>
      <c r="AA191" s="239" t="s">
        <v>876</v>
      </c>
      <c r="AB191" s="239" t="s">
        <v>877</v>
      </c>
      <c r="AC191" s="281">
        <v>3.1909999999999998</v>
      </c>
      <c r="AD191" s="6">
        <v>0.15</v>
      </c>
      <c r="AE191" s="271">
        <v>123.75</v>
      </c>
      <c r="AF191" s="282">
        <v>1185.96</v>
      </c>
      <c r="AG191" s="436">
        <v>13759</v>
      </c>
      <c r="AH191" s="30">
        <v>10207.802100000001</v>
      </c>
      <c r="AI191" s="436">
        <v>16778</v>
      </c>
      <c r="AJ191" s="30">
        <v>11991.2366</v>
      </c>
      <c r="AK191" s="436">
        <v>2118</v>
      </c>
      <c r="AL191" s="30">
        <v>1277.154</v>
      </c>
      <c r="AM191" s="238">
        <v>125.32511609218415</v>
      </c>
      <c r="AN191" s="339" t="s">
        <v>997</v>
      </c>
      <c r="AO191" s="6">
        <v>3.58</v>
      </c>
      <c r="AP191" s="6">
        <v>66.73</v>
      </c>
      <c r="AQ191" s="6">
        <v>27.37</v>
      </c>
      <c r="AR191" s="6">
        <v>2.27</v>
      </c>
      <c r="AS191" s="283">
        <v>53.04</v>
      </c>
      <c r="AT191" s="283">
        <v>12.21</v>
      </c>
      <c r="AU191" s="284">
        <v>20509.439999999999</v>
      </c>
      <c r="AV191" s="281">
        <v>3.13</v>
      </c>
      <c r="AW191" s="448">
        <v>2.0798668885191347</v>
      </c>
      <c r="AX191" s="285"/>
      <c r="AY191" s="286"/>
      <c r="AZ191" s="6">
        <v>2.517510997442455</v>
      </c>
      <c r="BA191" s="6">
        <v>44.381748260869571</v>
      </c>
      <c r="BB191" s="6">
        <v>59.921428571428564</v>
      </c>
      <c r="BC191" s="6">
        <v>10.511555555555555</v>
      </c>
      <c r="BD191" s="6">
        <v>7.478790350133905</v>
      </c>
      <c r="BE191" s="6" t="s">
        <v>1125</v>
      </c>
      <c r="BF191" s="6">
        <v>2.5178143120204601</v>
      </c>
      <c r="BG191" s="6">
        <v>44.287342322749019</v>
      </c>
      <c r="BH191" s="6">
        <v>59.836509980039921</v>
      </c>
      <c r="BI191" s="6">
        <v>7.4977200000000002</v>
      </c>
      <c r="BJ191" s="414">
        <v>0.38801104190446745</v>
      </c>
      <c r="BK191" s="6" t="s">
        <v>1130</v>
      </c>
      <c r="BL191" s="6" t="s">
        <v>1136</v>
      </c>
    </row>
    <row r="192" spans="1:64" s="6" customFormat="1" ht="20.25" customHeight="1" thickBot="1" x14ac:dyDescent="0.35">
      <c r="A192" s="279" t="s">
        <v>771</v>
      </c>
      <c r="B192" s="6" t="s">
        <v>721</v>
      </c>
      <c r="C192" s="6" t="s">
        <v>772</v>
      </c>
      <c r="D192" s="6" t="s">
        <v>1241</v>
      </c>
      <c r="G192" s="6" t="s">
        <v>840</v>
      </c>
      <c r="H192" s="6" t="s">
        <v>862</v>
      </c>
      <c r="J192" s="6" t="s">
        <v>829</v>
      </c>
      <c r="L192" s="280">
        <v>44861</v>
      </c>
      <c r="M192" s="280">
        <v>44890</v>
      </c>
      <c r="N192" s="6">
        <v>8.31</v>
      </c>
      <c r="O192" s="6">
        <v>10.61</v>
      </c>
      <c r="U192" s="356">
        <f t="shared" si="50"/>
        <v>55.702500000000001</v>
      </c>
      <c r="V192" s="363">
        <f t="shared" si="48"/>
        <v>65.303793999999996</v>
      </c>
      <c r="W192" s="363">
        <f t="shared" si="49"/>
        <v>62.384678000000001</v>
      </c>
      <c r="X192" s="271">
        <v>60</v>
      </c>
      <c r="Y192" s="271">
        <v>28</v>
      </c>
      <c r="Z192" s="271">
        <v>12</v>
      </c>
      <c r="AA192" s="239" t="s">
        <v>876</v>
      </c>
      <c r="AB192" s="239" t="s">
        <v>877</v>
      </c>
      <c r="AC192" s="281">
        <v>1.627</v>
      </c>
      <c r="AD192" s="6">
        <v>0.09</v>
      </c>
      <c r="AE192" s="271">
        <v>60.81</v>
      </c>
      <c r="AF192" s="282">
        <v>1587.36</v>
      </c>
      <c r="AG192" s="436">
        <v>11546</v>
      </c>
      <c r="AH192" s="30">
        <v>8565.9773999999998</v>
      </c>
      <c r="AI192" s="436">
        <v>19475</v>
      </c>
      <c r="AJ192" s="30">
        <v>13918.782499999999</v>
      </c>
      <c r="AK192" s="436">
        <v>2552</v>
      </c>
      <c r="AL192" s="30">
        <v>1538.856</v>
      </c>
      <c r="AM192" s="238">
        <v>97.436202391947532</v>
      </c>
      <c r="AN192" s="339" t="s">
        <v>997</v>
      </c>
      <c r="AO192" s="6">
        <v>2.23</v>
      </c>
      <c r="AP192" s="6">
        <v>6.5</v>
      </c>
      <c r="AQ192" s="6">
        <v>9.61</v>
      </c>
      <c r="AR192" s="6">
        <v>0.72</v>
      </c>
      <c r="AS192" s="283">
        <v>26.13</v>
      </c>
      <c r="AT192" s="283" t="s">
        <v>561</v>
      </c>
      <c r="AU192" s="284">
        <v>11906.14</v>
      </c>
      <c r="AV192" s="281">
        <v>3.73</v>
      </c>
      <c r="AW192" s="448">
        <v>2.9580419580419579</v>
      </c>
      <c r="AX192" s="285"/>
      <c r="AY192" s="286"/>
      <c r="AZ192" s="6">
        <v>3.3695877237851661</v>
      </c>
      <c r="BA192" s="6">
        <v>37.243379999999995</v>
      </c>
      <c r="BB192" s="6">
        <v>69.553571428571431</v>
      </c>
      <c r="BC192" s="6">
        <v>12.665481481481482</v>
      </c>
      <c r="BD192" s="6">
        <v>5.8086853406000802</v>
      </c>
      <c r="BE192" s="6" t="s">
        <v>1125</v>
      </c>
      <c r="BF192" s="6">
        <v>3.3699936982097185</v>
      </c>
      <c r="BG192" s="6">
        <v>37.164158329708563</v>
      </c>
      <c r="BH192" s="6">
        <v>69.455002495009978</v>
      </c>
      <c r="BI192" s="6">
        <v>9.0340800000000012</v>
      </c>
      <c r="BJ192" s="414">
        <v>0.31224288668234246</v>
      </c>
      <c r="BK192" s="6" t="s">
        <v>1130</v>
      </c>
      <c r="BL192" s="6" t="s">
        <v>1136</v>
      </c>
    </row>
    <row r="193" spans="1:64" s="6" customFormat="1" ht="20.25" customHeight="1" thickBot="1" x14ac:dyDescent="0.35">
      <c r="A193" s="279" t="s">
        <v>773</v>
      </c>
      <c r="B193" s="6" t="s">
        <v>721</v>
      </c>
      <c r="C193" s="6" t="s">
        <v>774</v>
      </c>
      <c r="D193" s="6" t="s">
        <v>1240</v>
      </c>
      <c r="G193" s="6" t="s">
        <v>841</v>
      </c>
      <c r="H193" s="6" t="s">
        <v>863</v>
      </c>
      <c r="J193" s="6" t="s">
        <v>829</v>
      </c>
      <c r="L193" s="280">
        <v>44861</v>
      </c>
      <c r="M193" s="280">
        <v>44890</v>
      </c>
      <c r="N193" s="6">
        <v>8.4700000000000006</v>
      </c>
      <c r="O193" s="6">
        <v>7.32</v>
      </c>
      <c r="R193" s="6">
        <v>36.25</v>
      </c>
      <c r="S193" s="29">
        <f>LOG10(O193)</f>
        <v>0.86451108105839192</v>
      </c>
      <c r="T193" s="29">
        <f>LOG10(R193)</f>
        <v>1.5593080109070125</v>
      </c>
      <c r="U193" s="356">
        <f t="shared" si="50"/>
        <v>38.43</v>
      </c>
      <c r="V193" s="363">
        <f t="shared" si="48"/>
        <v>47.552928000000001</v>
      </c>
      <c r="W193" s="363">
        <f t="shared" si="49"/>
        <v>43.040136000000004</v>
      </c>
      <c r="X193" s="271">
        <v>56</v>
      </c>
      <c r="Y193" s="271">
        <v>34</v>
      </c>
      <c r="Z193" s="271">
        <v>10</v>
      </c>
      <c r="AA193" s="239" t="s">
        <v>876</v>
      </c>
      <c r="AB193" s="239" t="s">
        <v>877</v>
      </c>
      <c r="AC193" s="281">
        <v>1.381</v>
      </c>
      <c r="AD193" s="6">
        <v>0.09</v>
      </c>
      <c r="AE193" s="271">
        <v>84.92</v>
      </c>
      <c r="AF193" s="282">
        <v>1416.5</v>
      </c>
      <c r="AG193" s="436">
        <v>8527</v>
      </c>
      <c r="AH193" s="30">
        <v>6326.1813000000002</v>
      </c>
      <c r="AI193" s="436">
        <v>14460</v>
      </c>
      <c r="AJ193" s="30">
        <v>10334.562</v>
      </c>
      <c r="AK193" s="436">
        <v>1754</v>
      </c>
      <c r="AL193" s="30">
        <v>1057.662</v>
      </c>
      <c r="AM193" s="238">
        <v>83.820910503764125</v>
      </c>
      <c r="AN193" s="339" t="s">
        <v>997</v>
      </c>
      <c r="AO193" s="6">
        <v>2.66</v>
      </c>
      <c r="AP193" s="6">
        <v>10.91</v>
      </c>
      <c r="AQ193" s="6">
        <v>16.670000000000002</v>
      </c>
      <c r="AR193" s="6">
        <v>0.75</v>
      </c>
      <c r="AS193" s="283">
        <v>10.16</v>
      </c>
      <c r="AT193" s="283">
        <v>2.02</v>
      </c>
      <c r="AU193" s="284">
        <v>14992.22</v>
      </c>
      <c r="AV193" s="6">
        <v>2.87</v>
      </c>
      <c r="AW193" s="448">
        <v>2.5797503467406377</v>
      </c>
      <c r="AX193" s="285"/>
      <c r="AY193" s="286"/>
      <c r="AZ193" s="6">
        <v>3.0068925831202042</v>
      </c>
      <c r="BA193" s="6">
        <v>27.505136086956526</v>
      </c>
      <c r="BB193" s="6">
        <v>51.642857142857146</v>
      </c>
      <c r="BC193" s="6">
        <v>8.7050370370370374</v>
      </c>
      <c r="BD193" s="6">
        <v>5.0072322512023701</v>
      </c>
      <c r="BE193" s="6" t="s">
        <v>1125</v>
      </c>
      <c r="BF193" s="6">
        <v>3.0072548593350383</v>
      </c>
      <c r="BG193" s="6">
        <v>27.446628969117004</v>
      </c>
      <c r="BH193" s="6">
        <v>51.569670658682632</v>
      </c>
      <c r="BI193" s="6">
        <v>6.2091600000000007</v>
      </c>
      <c r="BJ193" s="414">
        <v>0.3110708893935144</v>
      </c>
      <c r="BK193" s="6" t="s">
        <v>1130</v>
      </c>
      <c r="BL193" s="6" t="s">
        <v>1136</v>
      </c>
    </row>
    <row r="194" spans="1:64" s="6" customFormat="1" ht="20.25" customHeight="1" thickBot="1" x14ac:dyDescent="0.35">
      <c r="A194" s="279" t="s">
        <v>775</v>
      </c>
      <c r="B194" s="6" t="s">
        <v>721</v>
      </c>
      <c r="C194" s="6" t="s">
        <v>776</v>
      </c>
      <c r="D194" s="6" t="s">
        <v>1241</v>
      </c>
      <c r="G194" s="6" t="s">
        <v>841</v>
      </c>
      <c r="H194" s="6" t="s">
        <v>863</v>
      </c>
      <c r="J194" s="6" t="s">
        <v>829</v>
      </c>
      <c r="L194" s="280">
        <v>44861</v>
      </c>
      <c r="M194" s="280">
        <v>44890</v>
      </c>
      <c r="N194" s="6">
        <v>8.5</v>
      </c>
      <c r="O194" s="6">
        <v>36</v>
      </c>
      <c r="U194" s="356">
        <f>O194*9.63</f>
        <v>346.68</v>
      </c>
      <c r="V194" s="354">
        <f>9.0013*O194+4.2416</f>
        <v>328.28840000000002</v>
      </c>
      <c r="W194" s="354">
        <f>9.347*O194</f>
        <v>336.49199999999996</v>
      </c>
      <c r="X194" s="271">
        <v>36</v>
      </c>
      <c r="Y194" s="271">
        <v>38</v>
      </c>
      <c r="Z194" s="271">
        <v>26</v>
      </c>
      <c r="AA194" s="239" t="s">
        <v>882</v>
      </c>
      <c r="AB194" s="239" t="s">
        <v>878</v>
      </c>
      <c r="AC194" s="281">
        <v>1.855</v>
      </c>
      <c r="AD194" s="6">
        <v>0.09</v>
      </c>
      <c r="AE194" s="271">
        <v>66.11</v>
      </c>
      <c r="AF194" s="282">
        <v>1597.58</v>
      </c>
      <c r="AG194" s="436">
        <v>52769</v>
      </c>
      <c r="AH194" s="30">
        <v>39149.321100000001</v>
      </c>
      <c r="AI194" s="436">
        <v>12447</v>
      </c>
      <c r="AJ194" s="30">
        <v>8895.8708999999999</v>
      </c>
      <c r="AK194" s="436">
        <v>4301</v>
      </c>
      <c r="AL194" s="30">
        <v>2593.5029999999997</v>
      </c>
      <c r="AM194" s="238">
        <v>516.52464938567323</v>
      </c>
      <c r="AN194" s="339" t="s">
        <v>999</v>
      </c>
      <c r="AO194" s="6">
        <v>2</v>
      </c>
      <c r="AP194" s="6">
        <v>5.95</v>
      </c>
      <c r="AQ194" s="6">
        <v>11.06</v>
      </c>
      <c r="AR194" s="6">
        <v>0.52</v>
      </c>
      <c r="AS194" s="283">
        <v>39.28</v>
      </c>
      <c r="AT194" s="283">
        <v>3.96</v>
      </c>
      <c r="AU194" s="284">
        <v>122308.32</v>
      </c>
      <c r="AV194" s="6">
        <v>1.73</v>
      </c>
      <c r="AW194" s="448">
        <v>0.83275503122831362</v>
      </c>
      <c r="AX194" s="285"/>
      <c r="AY194" s="286"/>
      <c r="AZ194" s="6">
        <v>3.3912823529411757</v>
      </c>
      <c r="BA194" s="6">
        <v>170.21443956521739</v>
      </c>
      <c r="BB194" s="6">
        <v>44.453571428571436</v>
      </c>
      <c r="BC194" s="6">
        <v>21.345703703703698</v>
      </c>
      <c r="BD194" s="6">
        <v>29.67569114210961</v>
      </c>
      <c r="BE194" s="6" t="s">
        <v>1131</v>
      </c>
      <c r="BF194" s="6">
        <v>3.3916909411764702</v>
      </c>
      <c r="BG194" s="6">
        <v>169.85237059591125</v>
      </c>
      <c r="BH194" s="6">
        <v>44.390573353293412</v>
      </c>
      <c r="BI194" s="6">
        <v>15.225540000000001</v>
      </c>
      <c r="BJ194" s="414">
        <v>0.72941786063619174</v>
      </c>
      <c r="BK194" s="6" t="s">
        <v>1132</v>
      </c>
      <c r="BL194" s="6" t="s">
        <v>1136</v>
      </c>
    </row>
    <row r="195" spans="1:64" s="6" customFormat="1" ht="20.25" customHeight="1" thickBot="1" x14ac:dyDescent="0.35">
      <c r="A195" s="279" t="s">
        <v>777</v>
      </c>
      <c r="B195" s="6" t="s">
        <v>721</v>
      </c>
      <c r="C195" s="6" t="s">
        <v>778</v>
      </c>
      <c r="D195" s="6" t="s">
        <v>1241</v>
      </c>
      <c r="G195" s="6" t="s">
        <v>841</v>
      </c>
      <c r="H195" s="6" t="s">
        <v>863</v>
      </c>
      <c r="J195" s="6" t="s">
        <v>829</v>
      </c>
      <c r="L195" s="280">
        <v>44861</v>
      </c>
      <c r="M195" s="280">
        <v>44890</v>
      </c>
      <c r="N195" s="6">
        <v>8.4499999999999993</v>
      </c>
      <c r="O195" s="6">
        <v>32.1</v>
      </c>
      <c r="R195" s="6">
        <v>154.1</v>
      </c>
      <c r="S195" s="29">
        <f>LOG10(O195)</f>
        <v>1.5065050324048721</v>
      </c>
      <c r="T195" s="29">
        <f>LOG10(R195)</f>
        <v>2.1878026387184195</v>
      </c>
      <c r="U195" s="356">
        <f>O195*5.4</f>
        <v>173.34000000000003</v>
      </c>
      <c r="V195" s="356">
        <f>5.4577*O195-1.0593</f>
        <v>174.13287</v>
      </c>
      <c r="W195" s="356">
        <f>4.8306*O195</f>
        <v>155.06225999999998</v>
      </c>
      <c r="X195" s="271">
        <v>20</v>
      </c>
      <c r="Y195" s="271">
        <v>74</v>
      </c>
      <c r="Z195" s="271">
        <v>6</v>
      </c>
      <c r="AA195" s="239" t="s">
        <v>884</v>
      </c>
      <c r="AB195" s="239" t="s">
        <v>879</v>
      </c>
      <c r="AC195" s="281">
        <v>2.6779999999999999</v>
      </c>
      <c r="AD195" s="6">
        <v>0.15</v>
      </c>
      <c r="AE195" s="271">
        <v>88.63</v>
      </c>
      <c r="AF195" s="282">
        <v>1458.23</v>
      </c>
      <c r="AG195" s="436">
        <v>59404</v>
      </c>
      <c r="AH195" s="30">
        <v>44071.827599999997</v>
      </c>
      <c r="AI195" s="436">
        <v>18298</v>
      </c>
      <c r="AJ195" s="30">
        <v>13077.580599999999</v>
      </c>
      <c r="AK195" s="436">
        <v>2182</v>
      </c>
      <c r="AL195" s="30">
        <v>1315.7459999999999</v>
      </c>
      <c r="AM195" s="238">
        <v>519.51186203953569</v>
      </c>
      <c r="AN195" s="339" t="s">
        <v>997</v>
      </c>
      <c r="AO195" s="6">
        <v>2.89</v>
      </c>
      <c r="AP195" s="6">
        <v>36.21</v>
      </c>
      <c r="AQ195" s="6">
        <v>16.68</v>
      </c>
      <c r="AR195" s="6">
        <v>1.3</v>
      </c>
      <c r="AS195" s="283">
        <v>24.65</v>
      </c>
      <c r="AT195" s="283">
        <v>7.05</v>
      </c>
      <c r="AU195" s="284">
        <v>105209.04</v>
      </c>
      <c r="AV195" s="6">
        <v>3.3</v>
      </c>
      <c r="AW195" s="448">
        <v>2.7503819974996531</v>
      </c>
      <c r="AX195" s="285"/>
      <c r="AY195" s="286"/>
      <c r="AZ195" s="6">
        <v>3.0954754475703319</v>
      </c>
      <c r="BA195" s="6">
        <v>191.61664173913042</v>
      </c>
      <c r="BB195" s="6">
        <v>65.349999999999994</v>
      </c>
      <c r="BC195" s="6">
        <v>10.829185185185183</v>
      </c>
      <c r="BD195" s="6">
        <v>31.047744852163891</v>
      </c>
      <c r="BE195" s="6" t="s">
        <v>1131</v>
      </c>
      <c r="BF195" s="6">
        <v>3.0958483964194374</v>
      </c>
      <c r="BG195" s="6">
        <v>191.20904741191822</v>
      </c>
      <c r="BH195" s="6">
        <v>65.257388223552894</v>
      </c>
      <c r="BI195" s="6">
        <v>7.7242800000000003</v>
      </c>
      <c r="BJ195" s="414">
        <v>0.71537096563186997</v>
      </c>
      <c r="BK195" s="6" t="s">
        <v>1132</v>
      </c>
      <c r="BL195" s="6" t="s">
        <v>1136</v>
      </c>
    </row>
    <row r="196" spans="1:64" s="6" customFormat="1" ht="20.25" customHeight="1" thickBot="1" x14ac:dyDescent="0.35">
      <c r="A196" s="279" t="s">
        <v>779</v>
      </c>
      <c r="B196" s="6" t="s">
        <v>721</v>
      </c>
      <c r="C196" s="6" t="s">
        <v>780</v>
      </c>
      <c r="D196" s="6" t="s">
        <v>1241</v>
      </c>
      <c r="G196" s="6" t="s">
        <v>841</v>
      </c>
      <c r="H196" s="6" t="s">
        <v>863</v>
      </c>
      <c r="J196" s="6" t="s">
        <v>829</v>
      </c>
      <c r="L196" s="280">
        <v>44861</v>
      </c>
      <c r="M196" s="280">
        <v>44890</v>
      </c>
      <c r="N196" s="6">
        <v>8.49</v>
      </c>
      <c r="O196" s="6">
        <v>19.670000000000002</v>
      </c>
      <c r="U196" s="356">
        <f t="shared" ref="U196:U200" si="51">O196*5.25</f>
        <v>103.26750000000001</v>
      </c>
      <c r="V196" s="363">
        <f t="shared" ref="V196:V200" si="52">5.3954*O196+8.0586</f>
        <v>114.18611800000002</v>
      </c>
      <c r="W196" s="363">
        <f t="shared" ref="W196:W200" si="53">O196*5.8798</f>
        <v>115.65566600000001</v>
      </c>
      <c r="X196" s="271">
        <v>62</v>
      </c>
      <c r="Y196" s="271">
        <v>30</v>
      </c>
      <c r="Z196" s="271">
        <v>8</v>
      </c>
      <c r="AA196" s="239" t="s">
        <v>876</v>
      </c>
      <c r="AB196" s="239" t="s">
        <v>877</v>
      </c>
      <c r="AC196" s="281">
        <v>1.819</v>
      </c>
      <c r="AD196" s="6">
        <v>9.8000000000000004E-2</v>
      </c>
      <c r="AE196" s="271">
        <v>46.88</v>
      </c>
      <c r="AF196" s="282">
        <v>1642.58</v>
      </c>
      <c r="AG196" s="436">
        <v>24460</v>
      </c>
      <c r="AH196" s="30">
        <v>18146.874</v>
      </c>
      <c r="AI196" s="436">
        <v>15692</v>
      </c>
      <c r="AJ196" s="30">
        <v>11215.072400000001</v>
      </c>
      <c r="AK196" s="436">
        <v>2988</v>
      </c>
      <c r="AL196" s="30">
        <v>1801.7639999999999</v>
      </c>
      <c r="AM196" s="238">
        <v>224.93865725952074</v>
      </c>
      <c r="AN196" s="339" t="s">
        <v>997</v>
      </c>
      <c r="AO196" s="6">
        <v>2.06</v>
      </c>
      <c r="AP196" s="6">
        <v>4.5</v>
      </c>
      <c r="AQ196" s="6">
        <v>11.81</v>
      </c>
      <c r="AR196" s="6">
        <v>0.64</v>
      </c>
      <c r="AS196" s="283">
        <v>52.49</v>
      </c>
      <c r="AT196" s="283">
        <v>0.9</v>
      </c>
      <c r="AU196" s="284">
        <v>32415.59</v>
      </c>
      <c r="AV196" s="6">
        <v>3.19</v>
      </c>
      <c r="AW196" s="448">
        <v>2.5062656641604013</v>
      </c>
      <c r="AX196" s="285"/>
      <c r="AY196" s="286"/>
      <c r="AZ196" s="6">
        <v>3.4868066496163679</v>
      </c>
      <c r="BA196" s="6">
        <v>78.899452173913048</v>
      </c>
      <c r="BB196" s="6">
        <v>56.042857142857144</v>
      </c>
      <c r="BC196" s="6">
        <v>14.829333333333333</v>
      </c>
      <c r="BD196" s="6">
        <v>13.254124863711416</v>
      </c>
      <c r="BE196" s="6" t="s">
        <v>1133</v>
      </c>
      <c r="BF196" s="6">
        <v>3.4872267468030684</v>
      </c>
      <c r="BG196" s="6">
        <v>78.731622444541102</v>
      </c>
      <c r="BH196" s="6">
        <v>55.963435129740525</v>
      </c>
      <c r="BI196" s="6">
        <v>10.57752</v>
      </c>
      <c r="BJ196" s="414">
        <v>0.52925333428515386</v>
      </c>
      <c r="BK196" s="6" t="s">
        <v>1129</v>
      </c>
      <c r="BL196" s="6" t="s">
        <v>1136</v>
      </c>
    </row>
    <row r="197" spans="1:64" s="6" customFormat="1" ht="20.25" customHeight="1" thickBot="1" x14ac:dyDescent="0.35">
      <c r="A197" s="279" t="s">
        <v>781</v>
      </c>
      <c r="B197" s="6" t="s">
        <v>721</v>
      </c>
      <c r="C197" s="6" t="s">
        <v>782</v>
      </c>
      <c r="D197" s="6" t="s">
        <v>1240</v>
      </c>
      <c r="G197" s="6" t="s">
        <v>842</v>
      </c>
      <c r="H197" s="6" t="s">
        <v>864</v>
      </c>
      <c r="J197" s="6" t="s">
        <v>829</v>
      </c>
      <c r="L197" s="280">
        <v>44861</v>
      </c>
      <c r="M197" s="280">
        <v>44890</v>
      </c>
      <c r="N197" s="6">
        <v>8.1999999999999993</v>
      </c>
      <c r="O197" s="6">
        <v>26.04</v>
      </c>
      <c r="R197" s="6">
        <v>118.3</v>
      </c>
      <c r="S197" s="29">
        <f>LOG10(O197)</f>
        <v>1.4156409798961542</v>
      </c>
      <c r="T197" s="29">
        <f>LOG10(R197)</f>
        <v>2.0729847446279304</v>
      </c>
      <c r="U197" s="356">
        <f t="shared" si="51"/>
        <v>136.71</v>
      </c>
      <c r="V197" s="363">
        <f t="shared" si="52"/>
        <v>148.55481600000002</v>
      </c>
      <c r="W197" s="363">
        <f t="shared" si="53"/>
        <v>153.10999200000001</v>
      </c>
      <c r="X197" s="271">
        <v>68</v>
      </c>
      <c r="Y197" s="271">
        <v>26</v>
      </c>
      <c r="Z197" s="271">
        <v>6</v>
      </c>
      <c r="AA197" s="239" t="s">
        <v>876</v>
      </c>
      <c r="AB197" s="239" t="s">
        <v>877</v>
      </c>
      <c r="AC197" s="281">
        <v>3.0169999999999999</v>
      </c>
      <c r="AD197" s="6">
        <v>0.15</v>
      </c>
      <c r="AE197" s="271">
        <v>88.76</v>
      </c>
      <c r="AF197" s="282">
        <v>670.2</v>
      </c>
      <c r="AG197" s="436">
        <v>53884</v>
      </c>
      <c r="AH197" s="30">
        <v>39976.539600000004</v>
      </c>
      <c r="AI197" s="436">
        <v>8178</v>
      </c>
      <c r="AJ197" s="30">
        <v>5844.8166000000001</v>
      </c>
      <c r="AK197" s="436">
        <v>2266</v>
      </c>
      <c r="AL197" s="30">
        <v>1366.3979999999999</v>
      </c>
      <c r="AM197" s="238">
        <v>665.75737544330389</v>
      </c>
      <c r="AN197" s="339" t="s">
        <v>997</v>
      </c>
      <c r="AO197" s="6">
        <v>3.03</v>
      </c>
      <c r="AP197" s="6">
        <v>83.97</v>
      </c>
      <c r="AQ197" s="6">
        <v>12.33</v>
      </c>
      <c r="AR197" s="6">
        <v>1.9</v>
      </c>
      <c r="AS197" s="283">
        <v>43.35</v>
      </c>
      <c r="AT197" s="283">
        <v>8.18</v>
      </c>
      <c r="AU197" s="284">
        <v>98471.73</v>
      </c>
      <c r="AV197" s="6">
        <v>1.55</v>
      </c>
      <c r="AW197" s="448">
        <v>0.4931735859570911</v>
      </c>
      <c r="AX197" s="285"/>
      <c r="AY197" s="286"/>
      <c r="AZ197" s="6">
        <v>1.4226751918158567</v>
      </c>
      <c r="BA197" s="6">
        <v>173.81104173913045</v>
      </c>
      <c r="BB197" s="6">
        <v>29.207142857142856</v>
      </c>
      <c r="BC197" s="6">
        <v>11.246074074074071</v>
      </c>
      <c r="BD197" s="6">
        <v>38.64700369342809</v>
      </c>
      <c r="BE197" s="6" t="s">
        <v>1131</v>
      </c>
      <c r="BF197" s="6">
        <v>1.4228465984654732</v>
      </c>
      <c r="BG197" s="6">
        <v>173.44132231404956</v>
      </c>
      <c r="BH197" s="6">
        <v>29.165751497005989</v>
      </c>
      <c r="BI197" s="6">
        <v>8.0216399999999997</v>
      </c>
      <c r="BJ197" s="414">
        <v>0.81792051885444239</v>
      </c>
      <c r="BK197" s="6" t="s">
        <v>1132</v>
      </c>
      <c r="BL197" s="6" t="s">
        <v>1136</v>
      </c>
    </row>
    <row r="198" spans="1:64" s="6" customFormat="1" ht="20.25" customHeight="1" thickBot="1" x14ac:dyDescent="0.35">
      <c r="A198" s="279" t="s">
        <v>783</v>
      </c>
      <c r="B198" s="6" t="s">
        <v>721</v>
      </c>
      <c r="C198" s="6" t="s">
        <v>784</v>
      </c>
      <c r="D198" s="6" t="s">
        <v>1241</v>
      </c>
      <c r="G198" s="6" t="s">
        <v>842</v>
      </c>
      <c r="H198" s="6" t="s">
        <v>864</v>
      </c>
      <c r="J198" s="6" t="s">
        <v>829</v>
      </c>
      <c r="L198" s="280">
        <v>44861</v>
      </c>
      <c r="M198" s="280">
        <v>44890</v>
      </c>
      <c r="N198" s="6">
        <v>8.19</v>
      </c>
      <c r="O198" s="6">
        <v>22.25</v>
      </c>
      <c r="U198" s="356">
        <f t="shared" si="51"/>
        <v>116.8125</v>
      </c>
      <c r="V198" s="363">
        <f t="shared" si="52"/>
        <v>128.10625000000002</v>
      </c>
      <c r="W198" s="363">
        <f t="shared" si="53"/>
        <v>130.82555000000002</v>
      </c>
      <c r="X198" s="271">
        <v>56</v>
      </c>
      <c r="Y198" s="271">
        <v>36</v>
      </c>
      <c r="Z198" s="271">
        <v>8</v>
      </c>
      <c r="AA198" s="239" t="s">
        <v>876</v>
      </c>
      <c r="AB198" s="239" t="s">
        <v>877</v>
      </c>
      <c r="AC198" s="281">
        <v>2.327</v>
      </c>
      <c r="AD198" s="6">
        <v>0.14000000000000001</v>
      </c>
      <c r="AE198" s="271">
        <v>61.17</v>
      </c>
      <c r="AF198" s="282">
        <v>984.9</v>
      </c>
      <c r="AG198" s="436">
        <v>29428</v>
      </c>
      <c r="AH198" s="30">
        <v>21832.6332</v>
      </c>
      <c r="AI198" s="436">
        <v>14427</v>
      </c>
      <c r="AJ198" s="30">
        <v>10310.9769</v>
      </c>
      <c r="AK198" s="436">
        <v>4332</v>
      </c>
      <c r="AL198" s="30">
        <v>2612.1959999999999</v>
      </c>
      <c r="AM198" s="238">
        <v>271.60423591204523</v>
      </c>
      <c r="AN198" s="339" t="s">
        <v>997</v>
      </c>
      <c r="AO198" s="6">
        <v>2.8</v>
      </c>
      <c r="AP198" s="6">
        <v>20.02</v>
      </c>
      <c r="AQ198" s="6">
        <v>13.73</v>
      </c>
      <c r="AR198" s="6">
        <v>1.23</v>
      </c>
      <c r="AS198" s="283">
        <v>56.86</v>
      </c>
      <c r="AT198" s="283">
        <v>2.2400000000000002</v>
      </c>
      <c r="AU198" s="284">
        <v>74891.899999999994</v>
      </c>
      <c r="AV198" s="6">
        <v>1.92</v>
      </c>
      <c r="AW198" s="448">
        <v>0.81519478718979643</v>
      </c>
      <c r="AX198" s="285"/>
      <c r="AY198" s="286"/>
      <c r="AZ198" s="6">
        <v>2.0907084398976981</v>
      </c>
      <c r="BA198" s="6">
        <v>94.924492173913038</v>
      </c>
      <c r="BB198" s="6">
        <v>51.524999999999999</v>
      </c>
      <c r="BC198" s="6">
        <v>21.499555555555556</v>
      </c>
      <c r="BD198" s="6">
        <v>15.709371821894857</v>
      </c>
      <c r="BE198" s="6" t="s">
        <v>1133</v>
      </c>
      <c r="BF198" s="6">
        <v>2.0909603324808184</v>
      </c>
      <c r="BG198" s="6">
        <v>94.722575032622885</v>
      </c>
      <c r="BH198" s="6">
        <v>51.45198053892215</v>
      </c>
      <c r="BI198" s="6">
        <v>15.335280000000001</v>
      </c>
      <c r="BJ198" s="414">
        <v>0.57898602821095424</v>
      </c>
      <c r="BK198" s="6" t="s">
        <v>1129</v>
      </c>
      <c r="BL198" s="6" t="s">
        <v>1136</v>
      </c>
    </row>
    <row r="199" spans="1:64" s="6" customFormat="1" ht="20.25" customHeight="1" thickBot="1" x14ac:dyDescent="0.35">
      <c r="A199" s="279" t="s">
        <v>785</v>
      </c>
      <c r="B199" s="6" t="s">
        <v>721</v>
      </c>
      <c r="C199" s="6" t="s">
        <v>786</v>
      </c>
      <c r="D199" s="6" t="s">
        <v>1240</v>
      </c>
      <c r="G199" s="6" t="s">
        <v>843</v>
      </c>
      <c r="H199" s="6" t="s">
        <v>865</v>
      </c>
      <c r="J199" s="6" t="s">
        <v>829</v>
      </c>
      <c r="L199" s="280">
        <v>44861</v>
      </c>
      <c r="M199" s="280">
        <v>44890</v>
      </c>
      <c r="N199" s="6">
        <v>8.2100000000000009</v>
      </c>
      <c r="O199" s="6">
        <v>19.420000000000002</v>
      </c>
      <c r="R199" s="6">
        <v>106.3</v>
      </c>
      <c r="S199" s="29">
        <f>LOG10(O199)</f>
        <v>1.2882492255719862</v>
      </c>
      <c r="T199" s="29">
        <f>LOG10(R199)</f>
        <v>2.0265332645232967</v>
      </c>
      <c r="U199" s="356">
        <f t="shared" si="51"/>
        <v>101.95500000000001</v>
      </c>
      <c r="V199" s="363">
        <f t="shared" si="52"/>
        <v>112.83726800000001</v>
      </c>
      <c r="W199" s="363">
        <f t="shared" si="53"/>
        <v>114.18571600000001</v>
      </c>
      <c r="X199" s="271">
        <v>62</v>
      </c>
      <c r="Y199" s="271">
        <v>30</v>
      </c>
      <c r="Z199" s="271">
        <v>8</v>
      </c>
      <c r="AA199" s="239" t="s">
        <v>876</v>
      </c>
      <c r="AB199" s="239" t="s">
        <v>877</v>
      </c>
      <c r="AC199" s="281">
        <v>2.4990000000000001</v>
      </c>
      <c r="AD199" s="6">
        <v>0.14000000000000001</v>
      </c>
      <c r="AE199" s="271">
        <v>89.57</v>
      </c>
      <c r="AF199" s="282">
        <v>836.98</v>
      </c>
      <c r="AG199" s="436">
        <v>22210</v>
      </c>
      <c r="AH199" s="30">
        <v>16477.598999999998</v>
      </c>
      <c r="AI199" s="436">
        <v>13856</v>
      </c>
      <c r="AJ199" s="30">
        <v>9902.8832000000002</v>
      </c>
      <c r="AK199" s="436">
        <v>2361</v>
      </c>
      <c r="AL199" s="30">
        <v>1423.683</v>
      </c>
      <c r="AM199" s="238">
        <v>218.95748380318304</v>
      </c>
      <c r="AN199" s="339" t="s">
        <v>997</v>
      </c>
      <c r="AO199" s="6">
        <v>3.05</v>
      </c>
      <c r="AP199" s="6">
        <v>70.03</v>
      </c>
      <c r="AQ199" s="6">
        <v>12.61</v>
      </c>
      <c r="AR199" s="6">
        <v>1.8</v>
      </c>
      <c r="AS199" s="283">
        <v>53.6</v>
      </c>
      <c r="AT199" s="283">
        <v>3.37</v>
      </c>
      <c r="AU199" s="284">
        <v>32415.59</v>
      </c>
      <c r="AV199" s="6">
        <v>2.42</v>
      </c>
      <c r="AW199" s="448">
        <v>0.9141274238227145</v>
      </c>
      <c r="AX199" s="285"/>
      <c r="AY199" s="286"/>
      <c r="AZ199" s="6">
        <v>1.7767094629156011</v>
      </c>
      <c r="BA199" s="6">
        <v>71.64173478260868</v>
      </c>
      <c r="BB199" s="6">
        <v>49.48571428571428</v>
      </c>
      <c r="BC199" s="6">
        <v>11.717555555555556</v>
      </c>
      <c r="BD199" s="6">
        <v>12.950715971912523</v>
      </c>
      <c r="BE199" s="6" t="s">
        <v>1133</v>
      </c>
      <c r="BF199" s="6">
        <v>1.7769235242966752</v>
      </c>
      <c r="BG199" s="6">
        <v>71.489343192692473</v>
      </c>
      <c r="BH199" s="6">
        <v>49.41558483033932</v>
      </c>
      <c r="BI199" s="6">
        <v>8.357940000000001</v>
      </c>
      <c r="BJ199" s="414">
        <v>0.54555446363688853</v>
      </c>
      <c r="BK199" s="6" t="s">
        <v>1129</v>
      </c>
      <c r="BL199" s="6" t="s">
        <v>1136</v>
      </c>
    </row>
    <row r="200" spans="1:64" s="6" customFormat="1" ht="20.25" customHeight="1" thickBot="1" x14ac:dyDescent="0.35">
      <c r="A200" s="279" t="s">
        <v>787</v>
      </c>
      <c r="B200" s="6" t="s">
        <v>721</v>
      </c>
      <c r="C200" s="6" t="s">
        <v>788</v>
      </c>
      <c r="D200" s="6" t="s">
        <v>1241</v>
      </c>
      <c r="G200" s="6" t="s">
        <v>843</v>
      </c>
      <c r="H200" s="6" t="s">
        <v>865</v>
      </c>
      <c r="J200" s="6" t="s">
        <v>829</v>
      </c>
      <c r="L200" s="280">
        <v>44861</v>
      </c>
      <c r="M200" s="280">
        <v>44890</v>
      </c>
      <c r="N200" s="6">
        <v>8.31</v>
      </c>
      <c r="O200" s="6">
        <v>11.63</v>
      </c>
      <c r="U200" s="356">
        <f t="shared" si="51"/>
        <v>61.057500000000005</v>
      </c>
      <c r="V200" s="363">
        <f t="shared" si="52"/>
        <v>70.807102000000015</v>
      </c>
      <c r="W200" s="363">
        <f t="shared" si="53"/>
        <v>68.382074000000003</v>
      </c>
      <c r="X200" s="271">
        <v>48</v>
      </c>
      <c r="Y200" s="271">
        <v>30</v>
      </c>
      <c r="Z200" s="271">
        <v>22</v>
      </c>
      <c r="AA200" s="239" t="s">
        <v>876</v>
      </c>
      <c r="AB200" s="239" t="s">
        <v>877</v>
      </c>
      <c r="AC200" s="281">
        <v>1.5780000000000001</v>
      </c>
      <c r="AD200" s="6">
        <v>0.1</v>
      </c>
      <c r="AE200" s="271">
        <v>38.58</v>
      </c>
      <c r="AF200" s="282">
        <v>906.53</v>
      </c>
      <c r="AG200" s="436">
        <v>10865</v>
      </c>
      <c r="AH200" s="30">
        <v>8060.7435000000005</v>
      </c>
      <c r="AI200" s="436">
        <v>41841</v>
      </c>
      <c r="AJ200" s="30">
        <v>29903.762699999999</v>
      </c>
      <c r="AK200" s="436">
        <v>2474</v>
      </c>
      <c r="AL200" s="30">
        <v>1491.8219999999999</v>
      </c>
      <c r="AM200" s="238">
        <v>64.336260133438714</v>
      </c>
      <c r="AN200" s="339" t="s">
        <v>997</v>
      </c>
      <c r="AO200" s="6">
        <v>2.37</v>
      </c>
      <c r="AP200" s="6">
        <v>6.05</v>
      </c>
      <c r="AQ200" s="6">
        <v>11.3</v>
      </c>
      <c r="AR200" s="6">
        <v>0.7</v>
      </c>
      <c r="AS200" s="283">
        <v>46.11</v>
      </c>
      <c r="AT200" s="283" t="s">
        <v>561</v>
      </c>
      <c r="AU200" s="284">
        <v>15964.28</v>
      </c>
      <c r="AV200" s="6">
        <v>2.39</v>
      </c>
      <c r="AW200" s="448">
        <v>3.1332683470268763</v>
      </c>
      <c r="AX200" s="285"/>
      <c r="AY200" s="286"/>
      <c r="AZ200" s="6">
        <v>1.9243475703324808</v>
      </c>
      <c r="BA200" s="6">
        <v>35.046710869565224</v>
      </c>
      <c r="BB200" s="6">
        <v>149.43214285714288</v>
      </c>
      <c r="BC200" s="6">
        <v>12.27837037037037</v>
      </c>
      <c r="BD200" s="6">
        <v>3.897562928148516</v>
      </c>
      <c r="BE200" s="6" t="s">
        <v>1125</v>
      </c>
      <c r="BF200" s="6">
        <v>1.92457941943734</v>
      </c>
      <c r="BG200" s="6">
        <v>34.97216180948238</v>
      </c>
      <c r="BH200" s="6">
        <v>149.22037275449102</v>
      </c>
      <c r="BI200" s="6">
        <v>8.7579600000000006</v>
      </c>
      <c r="BJ200" s="414">
        <v>0.17945938951874099</v>
      </c>
      <c r="BK200" s="6" t="s">
        <v>1127</v>
      </c>
      <c r="BL200" s="6" t="s">
        <v>1136</v>
      </c>
    </row>
    <row r="201" spans="1:64" s="6" customFormat="1" ht="20.25" customHeight="1" thickBot="1" x14ac:dyDescent="0.35">
      <c r="A201" s="279" t="s">
        <v>789</v>
      </c>
      <c r="B201" s="6" t="s">
        <v>721</v>
      </c>
      <c r="C201" s="6" t="s">
        <v>790</v>
      </c>
      <c r="D201" s="6" t="s">
        <v>1240</v>
      </c>
      <c r="G201" s="6" t="s">
        <v>844</v>
      </c>
      <c r="H201" s="6" t="s">
        <v>866</v>
      </c>
      <c r="J201" s="6" t="s">
        <v>829</v>
      </c>
      <c r="L201" s="280">
        <v>44861</v>
      </c>
      <c r="M201" s="280">
        <v>44890</v>
      </c>
      <c r="N201" s="6">
        <v>8.02</v>
      </c>
      <c r="O201" s="6">
        <v>2.2599999999999998</v>
      </c>
      <c r="R201" s="6">
        <v>3.8690000000000002</v>
      </c>
      <c r="S201" s="29">
        <f>LOG10(O201)</f>
        <v>0.35410843914740087</v>
      </c>
      <c r="T201" s="29">
        <f>LOG10(R201)</f>
        <v>0.58759872972124494</v>
      </c>
      <c r="U201" s="356">
        <f t="shared" ref="U201:U203" si="54">O201*5.4</f>
        <v>12.203999999999999</v>
      </c>
      <c r="V201" s="356">
        <f>5.4577*O201-1.0593</f>
        <v>11.275101999999999</v>
      </c>
      <c r="W201" s="356">
        <f t="shared" ref="W201:W203" si="55">4.8306*O201</f>
        <v>10.917155999999999</v>
      </c>
      <c r="X201" s="271">
        <v>10</v>
      </c>
      <c r="Y201" s="271">
        <v>62</v>
      </c>
      <c r="Z201" s="271">
        <v>28</v>
      </c>
      <c r="AA201" s="239" t="s">
        <v>884</v>
      </c>
      <c r="AB201" s="239" t="s">
        <v>879</v>
      </c>
      <c r="AC201" s="281">
        <v>2.9380000000000002</v>
      </c>
      <c r="AD201" s="6">
        <v>0.17</v>
      </c>
      <c r="AE201" s="271">
        <v>57.81</v>
      </c>
      <c r="AF201" s="282">
        <v>359.44</v>
      </c>
      <c r="AG201" s="436">
        <v>114</v>
      </c>
      <c r="AH201" s="30">
        <v>84.576599999999999</v>
      </c>
      <c r="AI201" s="436">
        <v>69915</v>
      </c>
      <c r="AJ201" s="30">
        <v>49968.250500000002</v>
      </c>
      <c r="AK201" s="436">
        <v>114</v>
      </c>
      <c r="AL201" s="30">
        <v>68.742000000000004</v>
      </c>
      <c r="AM201" s="238">
        <v>0.53471161888302432</v>
      </c>
      <c r="AN201" s="238" t="s">
        <v>1000</v>
      </c>
      <c r="AO201" s="6">
        <v>1.93</v>
      </c>
      <c r="AP201" s="6">
        <v>14.25</v>
      </c>
      <c r="AQ201" s="6">
        <v>8.32</v>
      </c>
      <c r="AR201" s="6">
        <v>0.85</v>
      </c>
      <c r="AS201" s="283">
        <v>6.49</v>
      </c>
      <c r="AT201" s="283" t="s">
        <v>561</v>
      </c>
      <c r="AU201" s="284">
        <v>8441.4</v>
      </c>
      <c r="AV201" s="6">
        <v>1.19</v>
      </c>
      <c r="AW201" s="448">
        <v>5.1516410469464065</v>
      </c>
      <c r="AX201" s="285"/>
      <c r="AY201" s="286"/>
      <c r="AZ201" s="6">
        <v>0.76300562659846549</v>
      </c>
      <c r="BA201" s="6">
        <v>0.36772434782608698</v>
      </c>
      <c r="BB201" s="6">
        <v>249.69642857142858</v>
      </c>
      <c r="BC201" s="6">
        <v>0.56577777777777782</v>
      </c>
      <c r="BD201" s="6">
        <v>3.2873031031743459E-2</v>
      </c>
      <c r="BE201" s="6" t="s">
        <v>1125</v>
      </c>
      <c r="BF201" s="6">
        <v>0.76309755498721221</v>
      </c>
      <c r="BG201" s="6">
        <v>0.36694214876033054</v>
      </c>
      <c r="BH201" s="6">
        <v>249.34256736526947</v>
      </c>
      <c r="BI201" s="6">
        <v>0.40356000000000003</v>
      </c>
      <c r="BJ201" s="414">
        <v>1.4626425182085285E-3</v>
      </c>
      <c r="BK201" s="6" t="s">
        <v>1126</v>
      </c>
      <c r="BL201" s="6" t="s">
        <v>1136</v>
      </c>
    </row>
    <row r="202" spans="1:64" s="6" customFormat="1" ht="20.25" customHeight="1" thickBot="1" x14ac:dyDescent="0.35">
      <c r="A202" s="279" t="s">
        <v>791</v>
      </c>
      <c r="B202" s="6" t="s">
        <v>721</v>
      </c>
      <c r="C202" s="6" t="s">
        <v>792</v>
      </c>
      <c r="D202" s="6" t="s">
        <v>1241</v>
      </c>
      <c r="G202" s="6" t="s">
        <v>844</v>
      </c>
      <c r="H202" s="6" t="s">
        <v>866</v>
      </c>
      <c r="J202" s="6" t="s">
        <v>829</v>
      </c>
      <c r="L202" s="280">
        <v>44861</v>
      </c>
      <c r="M202" s="280">
        <v>44890</v>
      </c>
      <c r="N202" s="6">
        <v>8.15</v>
      </c>
      <c r="O202" s="6">
        <v>4.29</v>
      </c>
      <c r="U202" s="356">
        <f t="shared" si="54"/>
        <v>23.166</v>
      </c>
      <c r="V202" s="356"/>
      <c r="W202" s="356">
        <f t="shared" si="55"/>
        <v>20.723274</v>
      </c>
      <c r="X202" s="271">
        <v>12</v>
      </c>
      <c r="Y202" s="271">
        <v>62</v>
      </c>
      <c r="Z202" s="271">
        <v>26</v>
      </c>
      <c r="AA202" s="239" t="s">
        <v>884</v>
      </c>
      <c r="AB202" s="239" t="s">
        <v>879</v>
      </c>
      <c r="AC202" s="281">
        <v>1.657</v>
      </c>
      <c r="AD202" s="6">
        <v>0.09</v>
      </c>
      <c r="AE202" s="271">
        <v>19.510000000000002</v>
      </c>
      <c r="AF202" s="282">
        <v>163</v>
      </c>
      <c r="AG202" s="436">
        <v>2954</v>
      </c>
      <c r="AH202" s="30">
        <v>2191.5726</v>
      </c>
      <c r="AI202" s="436">
        <v>67788</v>
      </c>
      <c r="AJ202" s="30">
        <v>48448.083599999998</v>
      </c>
      <c r="AK202" s="436">
        <v>625</v>
      </c>
      <c r="AL202" s="30">
        <v>376.875</v>
      </c>
      <c r="AM202" s="238">
        <v>14.026519442342064</v>
      </c>
      <c r="AN202" s="339" t="s">
        <v>997</v>
      </c>
      <c r="AO202" s="6">
        <v>0.96</v>
      </c>
      <c r="AP202" s="6">
        <v>2.4700000000000002</v>
      </c>
      <c r="AQ202" s="6">
        <v>1.5</v>
      </c>
      <c r="AR202" s="6">
        <v>0.36</v>
      </c>
      <c r="AS202" s="283">
        <v>42.75</v>
      </c>
      <c r="AT202" s="283" t="s">
        <v>561</v>
      </c>
      <c r="AU202" s="284">
        <v>61.09</v>
      </c>
      <c r="AV202" s="6">
        <v>1.18</v>
      </c>
      <c r="AW202" s="448">
        <v>2.2945348352106798</v>
      </c>
      <c r="AX202" s="285"/>
      <c r="AY202" s="286"/>
      <c r="AZ202" s="6">
        <v>0.3460102301790281</v>
      </c>
      <c r="BA202" s="6">
        <v>9.5285765217391312</v>
      </c>
      <c r="BB202" s="6">
        <v>242.1</v>
      </c>
      <c r="BC202" s="6">
        <v>3.1018518518518516</v>
      </c>
      <c r="BD202" s="6">
        <v>0.86055999078872802</v>
      </c>
      <c r="BE202" s="6" t="s">
        <v>1125</v>
      </c>
      <c r="BF202" s="6">
        <v>0.34605191815856778</v>
      </c>
      <c r="BG202" s="6">
        <v>9.5083079599826004</v>
      </c>
      <c r="BH202" s="6">
        <v>241.75690419161674</v>
      </c>
      <c r="BI202" s="6">
        <v>2.2124999999999999</v>
      </c>
      <c r="BJ202" s="414">
        <v>3.7460274828205013E-2</v>
      </c>
      <c r="BK202" s="6" t="s">
        <v>1126</v>
      </c>
      <c r="BL202" s="6" t="s">
        <v>1136</v>
      </c>
    </row>
    <row r="203" spans="1:64" s="6" customFormat="1" ht="20.25" customHeight="1" thickBot="1" x14ac:dyDescent="0.35">
      <c r="A203" s="279" t="s">
        <v>793</v>
      </c>
      <c r="B203" s="6" t="s">
        <v>721</v>
      </c>
      <c r="C203" s="6" t="s">
        <v>794</v>
      </c>
      <c r="D203" s="6" t="s">
        <v>1240</v>
      </c>
      <c r="G203" s="6" t="s">
        <v>845</v>
      </c>
      <c r="H203" s="6" t="s">
        <v>867</v>
      </c>
      <c r="J203" s="6" t="s">
        <v>829</v>
      </c>
      <c r="L203" s="280">
        <v>44861</v>
      </c>
      <c r="M203" s="280">
        <v>44890</v>
      </c>
      <c r="N203" s="6">
        <v>7.9</v>
      </c>
      <c r="O203" s="6">
        <v>2.2400000000000002</v>
      </c>
      <c r="R203" s="6">
        <v>2.7149999999999999</v>
      </c>
      <c r="S203" s="29">
        <f>LOG10(O203)</f>
        <v>0.35024801833416286</v>
      </c>
      <c r="T203" s="29">
        <f>LOG10(R203)</f>
        <v>0.43376983392486573</v>
      </c>
      <c r="U203" s="356">
        <f t="shared" si="54"/>
        <v>12.096000000000002</v>
      </c>
      <c r="V203" s="356">
        <f>5.4577*O203-1.0593</f>
        <v>11.165948</v>
      </c>
      <c r="W203" s="356">
        <f t="shared" si="55"/>
        <v>10.820544</v>
      </c>
      <c r="X203" s="271">
        <v>10</v>
      </c>
      <c r="Y203" s="271">
        <v>58</v>
      </c>
      <c r="Z203" s="271">
        <v>32</v>
      </c>
      <c r="AA203" s="239" t="s">
        <v>884</v>
      </c>
      <c r="AB203" s="239" t="s">
        <v>879</v>
      </c>
      <c r="AC203" s="281">
        <v>2.0369999999999999</v>
      </c>
      <c r="AD203" s="6">
        <v>0.09</v>
      </c>
      <c r="AE203" s="271">
        <v>21.59</v>
      </c>
      <c r="AF203" s="282">
        <v>91</v>
      </c>
      <c r="AG203" s="436">
        <v>54</v>
      </c>
      <c r="AH203" s="30">
        <v>40.062600000000003</v>
      </c>
      <c r="AI203" s="436">
        <v>68276</v>
      </c>
      <c r="AJ203" s="30">
        <v>48796.857199999999</v>
      </c>
      <c r="AK203" s="436">
        <v>39</v>
      </c>
      <c r="AL203" s="30">
        <v>23.516999999999999</v>
      </c>
      <c r="AM203" s="238">
        <v>0.25642099247826566</v>
      </c>
      <c r="AN203" s="238" t="s">
        <v>1000</v>
      </c>
      <c r="AO203" s="6">
        <v>0.95</v>
      </c>
      <c r="AP203" s="6">
        <v>2.66</v>
      </c>
      <c r="AQ203" s="6">
        <v>2.5</v>
      </c>
      <c r="AR203" s="6">
        <v>0.34</v>
      </c>
      <c r="AS203" s="283" t="s">
        <v>562</v>
      </c>
      <c r="AT203" s="283" t="s">
        <v>561</v>
      </c>
      <c r="AU203" s="284">
        <v>2758.99</v>
      </c>
      <c r="AV203" s="6">
        <v>0.68</v>
      </c>
      <c r="AW203" s="448">
        <v>2.3664544699695549</v>
      </c>
      <c r="AX203" s="285"/>
      <c r="AY203" s="286"/>
      <c r="AZ203" s="6">
        <v>0.19317135549872122</v>
      </c>
      <c r="BA203" s="6">
        <v>0.17418521739130435</v>
      </c>
      <c r="BB203" s="6">
        <v>243.84285714285716</v>
      </c>
      <c r="BC203" s="6">
        <v>0.19355555555555556</v>
      </c>
      <c r="BD203" s="6">
        <v>1.5768812041392962E-2</v>
      </c>
      <c r="BE203" s="6" t="s">
        <v>1125</v>
      </c>
      <c r="BF203" s="6">
        <v>0.19319462915601021</v>
      </c>
      <c r="BG203" s="6">
        <v>0.17381470204436711</v>
      </c>
      <c r="BH203" s="6">
        <v>243.49729141716566</v>
      </c>
      <c r="BI203" s="6">
        <v>0.13806000000000002</v>
      </c>
      <c r="BJ203" s="414">
        <v>7.1234844413500646E-4</v>
      </c>
      <c r="BK203" s="6" t="s">
        <v>1126</v>
      </c>
      <c r="BL203" s="6" t="s">
        <v>1136</v>
      </c>
    </row>
    <row r="204" spans="1:64" s="6" customFormat="1" ht="20.25" customHeight="1" thickBot="1" x14ac:dyDescent="0.35">
      <c r="A204" s="279" t="s">
        <v>795</v>
      </c>
      <c r="B204" s="6" t="s">
        <v>721</v>
      </c>
      <c r="C204" s="6" t="s">
        <v>796</v>
      </c>
      <c r="D204" s="6" t="s">
        <v>1241</v>
      </c>
      <c r="G204" s="6" t="s">
        <v>845</v>
      </c>
      <c r="H204" s="6" t="s">
        <v>867</v>
      </c>
      <c r="J204" s="6" t="s">
        <v>829</v>
      </c>
      <c r="L204" s="280">
        <v>44861</v>
      </c>
      <c r="M204" s="280">
        <v>44890</v>
      </c>
      <c r="N204" s="6">
        <v>8.06</v>
      </c>
      <c r="O204" s="6">
        <v>2.2799999999999998</v>
      </c>
      <c r="U204" s="356">
        <f>10.92*O204</f>
        <v>24.897599999999997</v>
      </c>
      <c r="V204" s="356">
        <f>9.5459*O204+2.1572</f>
        <v>23.921851999999998</v>
      </c>
      <c r="W204" s="356">
        <f>9.7271*O204</f>
        <v>22.177788</v>
      </c>
      <c r="X204" s="271">
        <v>12</v>
      </c>
      <c r="Y204" s="271">
        <v>42</v>
      </c>
      <c r="Z204" s="271">
        <v>46</v>
      </c>
      <c r="AA204" s="239" t="s">
        <v>883</v>
      </c>
      <c r="AB204" s="239" t="s">
        <v>888</v>
      </c>
      <c r="AC204" s="281">
        <v>1.2849999999999999</v>
      </c>
      <c r="AD204" s="6">
        <v>0.09</v>
      </c>
      <c r="AE204" s="271">
        <v>13.97</v>
      </c>
      <c r="AF204" s="282">
        <v>70.650000000000006</v>
      </c>
      <c r="AG204" s="436">
        <v>88</v>
      </c>
      <c r="AH204" s="30">
        <v>65.287199999999999</v>
      </c>
      <c r="AI204" s="436">
        <v>66500</v>
      </c>
      <c r="AJ204" s="30">
        <v>47527.55</v>
      </c>
      <c r="AK204" s="436">
        <v>53</v>
      </c>
      <c r="AL204" s="30">
        <v>31.959</v>
      </c>
      <c r="AM204" s="238">
        <v>0.42337417160020757</v>
      </c>
      <c r="AN204" s="238" t="s">
        <v>1000</v>
      </c>
      <c r="AO204" s="6">
        <v>0.77</v>
      </c>
      <c r="AP204" s="6">
        <v>1.1100000000000001</v>
      </c>
      <c r="AQ204" s="6">
        <v>1.1000000000000001</v>
      </c>
      <c r="AR204" s="6">
        <v>0.23</v>
      </c>
      <c r="AS204" s="283">
        <v>4.62</v>
      </c>
      <c r="AT204" s="283" t="s">
        <v>561</v>
      </c>
      <c r="AU204" s="284">
        <v>21.06</v>
      </c>
      <c r="AV204" s="6">
        <v>0.56999999999999995</v>
      </c>
      <c r="AW204" s="448">
        <v>2.298050139275766</v>
      </c>
      <c r="AX204" s="285"/>
      <c r="AY204" s="286"/>
      <c r="AZ204" s="6">
        <v>0.14997314578005116</v>
      </c>
      <c r="BA204" s="6">
        <v>0.28385739130434784</v>
      </c>
      <c r="BB204" s="6">
        <v>237.5</v>
      </c>
      <c r="BC204" s="6">
        <v>0.26303703703703701</v>
      </c>
      <c r="BD204" s="6">
        <v>2.6034127970231639E-2</v>
      </c>
      <c r="BE204" s="6" t="s">
        <v>1125</v>
      </c>
      <c r="BF204" s="6">
        <v>0.1499912148337596</v>
      </c>
      <c r="BG204" s="6">
        <v>0.28325358851674642</v>
      </c>
      <c r="BH204" s="6">
        <v>237.16342315369263</v>
      </c>
      <c r="BI204" s="6">
        <v>0.18762000000000001</v>
      </c>
      <c r="BJ204" s="414">
        <v>1.1912207949076833E-3</v>
      </c>
      <c r="BK204" s="6" t="s">
        <v>1126</v>
      </c>
      <c r="BL204" s="6" t="s">
        <v>1136</v>
      </c>
    </row>
    <row r="205" spans="1:64" s="6" customFormat="1" ht="20.25" customHeight="1" thickBot="1" x14ac:dyDescent="0.35">
      <c r="A205" s="279" t="s">
        <v>797</v>
      </c>
      <c r="B205" s="6" t="s">
        <v>721</v>
      </c>
      <c r="C205" s="6" t="s">
        <v>798</v>
      </c>
      <c r="D205" s="6" t="s">
        <v>1240</v>
      </c>
      <c r="G205" s="6" t="s">
        <v>846</v>
      </c>
      <c r="H205" s="6" t="s">
        <v>868</v>
      </c>
      <c r="J205" s="6" t="s">
        <v>829</v>
      </c>
      <c r="L205" s="280">
        <v>44861</v>
      </c>
      <c r="M205" s="280">
        <v>44890</v>
      </c>
      <c r="N205" s="6">
        <v>8.48</v>
      </c>
      <c r="O205" s="6">
        <v>6.32</v>
      </c>
      <c r="R205" s="6">
        <v>37.01</v>
      </c>
      <c r="S205" s="29">
        <f>LOG10(O205)</f>
        <v>0.80071707828238503</v>
      </c>
      <c r="T205" s="29">
        <f>LOG10(R205)</f>
        <v>1.5683190850951119</v>
      </c>
      <c r="U205" s="356">
        <f t="shared" ref="U205:U206" si="56">O205*5.4</f>
        <v>34.128000000000007</v>
      </c>
      <c r="V205" s="356">
        <f>5.4577*O205-1.0593</f>
        <v>33.433364000000005</v>
      </c>
      <c r="W205" s="356">
        <f t="shared" ref="W205:W206" si="57">4.8306*O205</f>
        <v>30.529391999999998</v>
      </c>
      <c r="X205" s="271">
        <v>10</v>
      </c>
      <c r="Y205" s="271">
        <v>62</v>
      </c>
      <c r="Z205" s="271">
        <v>28</v>
      </c>
      <c r="AA205" s="239" t="s">
        <v>884</v>
      </c>
      <c r="AB205" s="239" t="s">
        <v>879</v>
      </c>
      <c r="AC205" s="281">
        <v>1.708</v>
      </c>
      <c r="AD205" s="6">
        <v>0.09</v>
      </c>
      <c r="AE205" s="271">
        <v>46.83</v>
      </c>
      <c r="AF205" s="282">
        <v>172.16</v>
      </c>
      <c r="AG205" s="436">
        <v>6720</v>
      </c>
      <c r="AH205" s="30">
        <v>4985.5680000000002</v>
      </c>
      <c r="AI205" s="436">
        <v>67282</v>
      </c>
      <c r="AJ205" s="30">
        <v>48086.445399999997</v>
      </c>
      <c r="AK205" s="436">
        <v>1607</v>
      </c>
      <c r="AL205" s="30">
        <v>969.02099999999996</v>
      </c>
      <c r="AM205" s="238">
        <v>31.833613374565257</v>
      </c>
      <c r="AN205" s="339" t="s">
        <v>997</v>
      </c>
      <c r="AO205" s="6">
        <v>1.2</v>
      </c>
      <c r="AP205" s="6">
        <v>7.65</v>
      </c>
      <c r="AQ205" s="6">
        <v>3.65</v>
      </c>
      <c r="AR205" s="6">
        <v>0.47</v>
      </c>
      <c r="AS205" s="283">
        <v>17.91</v>
      </c>
      <c r="AT205" s="283" t="s">
        <v>561</v>
      </c>
      <c r="AU205" s="284">
        <v>127.81</v>
      </c>
      <c r="AV205" s="6">
        <v>1.04</v>
      </c>
      <c r="AW205" s="448">
        <v>2.537751677852349</v>
      </c>
      <c r="AX205" s="285"/>
      <c r="AY205" s="286"/>
      <c r="AZ205" s="6">
        <v>0.3654547314578005</v>
      </c>
      <c r="BA205" s="6">
        <v>21.676382608695654</v>
      </c>
      <c r="BB205" s="6">
        <v>240.29285714285714</v>
      </c>
      <c r="BC205" s="6">
        <v>7.9754814814814807</v>
      </c>
      <c r="BD205" s="6">
        <v>1.9455443574136839</v>
      </c>
      <c r="BE205" s="6" t="s">
        <v>1125</v>
      </c>
      <c r="BF205" s="6">
        <v>0.36549876214833754</v>
      </c>
      <c r="BG205" s="6">
        <v>21.630274032187909</v>
      </c>
      <c r="BH205" s="6">
        <v>239.9523223552894</v>
      </c>
      <c r="BI205" s="6">
        <v>5.6887800000000004</v>
      </c>
      <c r="BJ205" s="414">
        <v>8.0819483563672759E-2</v>
      </c>
      <c r="BK205" s="6" t="s">
        <v>1126</v>
      </c>
      <c r="BL205" s="6" t="s">
        <v>1136</v>
      </c>
    </row>
    <row r="206" spans="1:64" s="6" customFormat="1" ht="20.25" customHeight="1" thickBot="1" x14ac:dyDescent="0.35">
      <c r="A206" s="279" t="s">
        <v>799</v>
      </c>
      <c r="B206" s="6" t="s">
        <v>721</v>
      </c>
      <c r="C206" s="6" t="s">
        <v>800</v>
      </c>
      <c r="D206" s="6" t="s">
        <v>1241</v>
      </c>
      <c r="G206" s="6" t="s">
        <v>846</v>
      </c>
      <c r="H206" s="6" t="s">
        <v>868</v>
      </c>
      <c r="J206" s="6" t="s">
        <v>829</v>
      </c>
      <c r="L206" s="280">
        <v>44861</v>
      </c>
      <c r="M206" s="280">
        <v>44890</v>
      </c>
      <c r="N206" s="6">
        <v>9.02</v>
      </c>
      <c r="O206" s="6">
        <v>16.63</v>
      </c>
      <c r="U206" s="356">
        <f t="shared" si="56"/>
        <v>89.802000000000007</v>
      </c>
      <c r="V206" s="356"/>
      <c r="W206" s="356">
        <f t="shared" si="57"/>
        <v>80.332877999999994</v>
      </c>
      <c r="X206" s="271">
        <v>12</v>
      </c>
      <c r="Y206" s="271">
        <v>60</v>
      </c>
      <c r="Z206" s="271">
        <v>28</v>
      </c>
      <c r="AA206" s="239" t="s">
        <v>884</v>
      </c>
      <c r="AB206" s="239" t="s">
        <v>879</v>
      </c>
      <c r="AC206" s="281">
        <v>1.6779999999999999</v>
      </c>
      <c r="AD206" s="6">
        <v>0.09</v>
      </c>
      <c r="AE206" s="271">
        <v>24.98</v>
      </c>
      <c r="AF206" s="282">
        <v>322.08999999999997</v>
      </c>
      <c r="AG206" s="436">
        <v>27211</v>
      </c>
      <c r="AH206" s="30">
        <v>20187.840899999999</v>
      </c>
      <c r="AI206" s="436">
        <v>63357</v>
      </c>
      <c r="AJ206" s="30">
        <v>45281.247900000002</v>
      </c>
      <c r="AK206" s="436">
        <v>4698</v>
      </c>
      <c r="AL206" s="30">
        <v>2832.8939999999998</v>
      </c>
      <c r="AM206" s="238">
        <v>130.15729038866564</v>
      </c>
      <c r="AN206" s="339" t="s">
        <v>999</v>
      </c>
      <c r="AO206" s="6">
        <v>0.88</v>
      </c>
      <c r="AP206" s="6">
        <v>5.47</v>
      </c>
      <c r="AQ206" s="6">
        <v>2.89</v>
      </c>
      <c r="AR206" s="6">
        <v>0.28000000000000003</v>
      </c>
      <c r="AS206" s="283">
        <v>54.07</v>
      </c>
      <c r="AT206" s="283" t="s">
        <v>561</v>
      </c>
      <c r="AU206" s="284">
        <v>5937.84</v>
      </c>
      <c r="AV206" s="6">
        <v>0.78</v>
      </c>
      <c r="AW206" s="448">
        <v>2.4267782426778242</v>
      </c>
      <c r="AX206" s="285"/>
      <c r="AY206" s="286"/>
      <c r="AZ206" s="6">
        <v>0.68372046035805611</v>
      </c>
      <c r="BA206" s="6">
        <v>87.773221304347814</v>
      </c>
      <c r="BB206" s="6">
        <v>226.27500000000001</v>
      </c>
      <c r="BC206" s="6">
        <v>23.315999999999999</v>
      </c>
      <c r="BD206" s="6">
        <v>7.8571053206197847</v>
      </c>
      <c r="BE206" s="6" t="s">
        <v>1125</v>
      </c>
      <c r="BF206" s="6">
        <v>0.68380283631713545</v>
      </c>
      <c r="BG206" s="6">
        <v>87.586515876468027</v>
      </c>
      <c r="BH206" s="6">
        <v>225.95433083832336</v>
      </c>
      <c r="BI206" s="6">
        <v>16.63092</v>
      </c>
      <c r="BJ206" s="414">
        <v>0.26472734309808316</v>
      </c>
      <c r="BK206" s="6" t="s">
        <v>1127</v>
      </c>
      <c r="BL206" s="6" t="s">
        <v>1136</v>
      </c>
    </row>
    <row r="207" spans="1:64" s="6" customFormat="1" ht="20.25" customHeight="1" thickBot="1" x14ac:dyDescent="0.35">
      <c r="A207" s="279" t="s">
        <v>801</v>
      </c>
      <c r="B207" s="6" t="s">
        <v>721</v>
      </c>
      <c r="C207" s="6" t="s">
        <v>802</v>
      </c>
      <c r="D207" s="6" t="s">
        <v>1240</v>
      </c>
      <c r="G207" s="6" t="s">
        <v>847</v>
      </c>
      <c r="H207" s="6" t="s">
        <v>869</v>
      </c>
      <c r="J207" s="6" t="s">
        <v>829</v>
      </c>
      <c r="L207" s="280">
        <v>44861</v>
      </c>
      <c r="M207" s="280">
        <v>44890</v>
      </c>
      <c r="N207" s="6">
        <v>8.9600000000000009</v>
      </c>
      <c r="O207" s="6">
        <v>25.37</v>
      </c>
      <c r="R207" s="6" t="s">
        <v>318</v>
      </c>
      <c r="U207" s="356">
        <f t="shared" ref="U207:U208" si="58">10.92*O207</f>
        <v>277.04040000000003</v>
      </c>
      <c r="V207" s="356">
        <f t="shared" ref="V207:V208" si="59">9.5459*O207+2.1572</f>
        <v>244.33668299999999</v>
      </c>
      <c r="W207" s="356">
        <f t="shared" ref="W207:W208" si="60">9.7271*O207</f>
        <v>246.77652700000002</v>
      </c>
      <c r="X207" s="271">
        <v>18</v>
      </c>
      <c r="Y207" s="271">
        <v>32</v>
      </c>
      <c r="Z207" s="271">
        <v>50</v>
      </c>
      <c r="AA207" s="239" t="s">
        <v>883</v>
      </c>
      <c r="AB207" s="239" t="s">
        <v>888</v>
      </c>
      <c r="AC207" s="281">
        <v>1.482</v>
      </c>
      <c r="AD207" s="6">
        <v>9.8000000000000004E-2</v>
      </c>
      <c r="AE207" s="271">
        <v>25.24</v>
      </c>
      <c r="AF207" s="282">
        <v>449.87</v>
      </c>
      <c r="AG207" s="436">
        <v>34260</v>
      </c>
      <c r="AH207" s="30">
        <v>25417.493999999999</v>
      </c>
      <c r="AI207" s="436">
        <v>64297</v>
      </c>
      <c r="AJ207" s="30">
        <v>45953.065900000001</v>
      </c>
      <c r="AK207" s="436">
        <v>9276</v>
      </c>
      <c r="AL207" s="30">
        <v>5593.4279999999999</v>
      </c>
      <c r="AM207" s="238">
        <v>158.32451349848714</v>
      </c>
      <c r="AN207" s="339" t="s">
        <v>999</v>
      </c>
      <c r="AO207" s="6">
        <v>1.24</v>
      </c>
      <c r="AP207" s="6">
        <v>7.81</v>
      </c>
      <c r="AQ207" s="6">
        <v>4.45</v>
      </c>
      <c r="AR207" s="6">
        <v>0.99</v>
      </c>
      <c r="AS207" s="283">
        <v>46.68</v>
      </c>
      <c r="AT207" s="283" t="s">
        <v>561</v>
      </c>
      <c r="AU207" s="284">
        <v>76579.009999999995</v>
      </c>
      <c r="AV207" s="6">
        <v>1.33</v>
      </c>
      <c r="AW207" s="448">
        <v>3.472803347280335</v>
      </c>
      <c r="AX207" s="285"/>
      <c r="AY207" s="286"/>
      <c r="AZ207" s="6">
        <v>0.95496700767263409</v>
      </c>
      <c r="BA207" s="6">
        <v>110.51084347826085</v>
      </c>
      <c r="BB207" s="6">
        <v>229.63214285714284</v>
      </c>
      <c r="BC207" s="6">
        <v>46.036444444444442</v>
      </c>
      <c r="BD207" s="6">
        <v>9.4129608241086906</v>
      </c>
      <c r="BE207" s="6" t="s">
        <v>1125</v>
      </c>
      <c r="BF207" s="6">
        <v>0.95508206393861883</v>
      </c>
      <c r="BG207" s="6">
        <v>110.27577207481514</v>
      </c>
      <c r="BH207" s="6">
        <v>229.30671606786427</v>
      </c>
      <c r="BI207" s="6">
        <v>32.837040000000002</v>
      </c>
      <c r="BJ207" s="414">
        <v>0.29534887766950924</v>
      </c>
      <c r="BK207" s="6" t="s">
        <v>1127</v>
      </c>
      <c r="BL207" s="6" t="s">
        <v>1136</v>
      </c>
    </row>
    <row r="208" spans="1:64" s="6" customFormat="1" ht="20.25" customHeight="1" thickBot="1" x14ac:dyDescent="0.35">
      <c r="A208" s="279" t="s">
        <v>803</v>
      </c>
      <c r="B208" s="6" t="s">
        <v>721</v>
      </c>
      <c r="C208" s="6" t="s">
        <v>804</v>
      </c>
      <c r="D208" s="6" t="s">
        <v>1241</v>
      </c>
      <c r="G208" s="6" t="s">
        <v>847</v>
      </c>
      <c r="H208" s="6" t="s">
        <v>869</v>
      </c>
      <c r="J208" s="6" t="s">
        <v>829</v>
      </c>
      <c r="L208" s="280">
        <v>44861</v>
      </c>
      <c r="M208" s="280">
        <v>44890</v>
      </c>
      <c r="N208" s="6">
        <v>8.68</v>
      </c>
      <c r="O208" s="6">
        <v>8.83</v>
      </c>
      <c r="U208" s="356">
        <f t="shared" si="58"/>
        <v>96.423599999999993</v>
      </c>
      <c r="V208" s="356">
        <f t="shared" si="59"/>
        <v>86.447496999999998</v>
      </c>
      <c r="W208" s="356">
        <f t="shared" si="60"/>
        <v>85.890293</v>
      </c>
      <c r="X208" s="271">
        <v>12</v>
      </c>
      <c r="Y208" s="271">
        <v>48</v>
      </c>
      <c r="Z208" s="271">
        <v>40</v>
      </c>
      <c r="AA208" s="239" t="s">
        <v>883</v>
      </c>
      <c r="AB208" s="239" t="s">
        <v>888</v>
      </c>
      <c r="AC208" s="281">
        <v>0.33800000000000002</v>
      </c>
      <c r="AD208" s="6">
        <v>0.05</v>
      </c>
      <c r="AE208" s="271">
        <v>18.46</v>
      </c>
      <c r="AF208" s="282">
        <v>126.21</v>
      </c>
      <c r="AG208" s="436">
        <v>9970</v>
      </c>
      <c r="AH208" s="30">
        <v>7396.7430000000004</v>
      </c>
      <c r="AI208" s="436">
        <v>74249</v>
      </c>
      <c r="AJ208" s="30">
        <v>53065.760300000002</v>
      </c>
      <c r="AK208" s="436">
        <v>2794</v>
      </c>
      <c r="AL208" s="30">
        <v>1684.7819999999999</v>
      </c>
      <c r="AM208" s="238">
        <v>44.705536862692092</v>
      </c>
      <c r="AN208" s="339" t="s">
        <v>999</v>
      </c>
      <c r="AO208" s="6">
        <v>0.68</v>
      </c>
      <c r="AP208" s="6">
        <v>0.52</v>
      </c>
      <c r="AQ208" s="6">
        <v>0.89</v>
      </c>
      <c r="AR208" s="6">
        <v>0.23</v>
      </c>
      <c r="AS208" s="283">
        <v>45.97</v>
      </c>
      <c r="AT208" s="283" t="s">
        <v>561</v>
      </c>
      <c r="AU208" s="284">
        <v>24649.56</v>
      </c>
      <c r="AV208" s="6">
        <v>0.83</v>
      </c>
      <c r="AW208" s="448">
        <v>2.1380659586361097</v>
      </c>
      <c r="AX208" s="285"/>
      <c r="AY208" s="286"/>
      <c r="AZ208" s="6">
        <v>0.26791381074168796</v>
      </c>
      <c r="BA208" s="6">
        <v>32.159752173913041</v>
      </c>
      <c r="BB208" s="6">
        <v>265.17500000000001</v>
      </c>
      <c r="BC208" s="6">
        <v>13.866518518518516</v>
      </c>
      <c r="BD208" s="6">
        <v>2.7226591657564616</v>
      </c>
      <c r="BE208" s="6" t="s">
        <v>1125</v>
      </c>
      <c r="BF208" s="6">
        <v>0.26794608951406645</v>
      </c>
      <c r="BG208" s="6">
        <v>32.091344062635926</v>
      </c>
      <c r="BH208" s="6">
        <v>264.79920309381237</v>
      </c>
      <c r="BI208" s="6">
        <v>9.8907600000000002</v>
      </c>
      <c r="BJ208" s="414">
        <v>0.10451529754064928</v>
      </c>
      <c r="BK208" s="6" t="s">
        <v>1126</v>
      </c>
      <c r="BL208" s="6" t="s">
        <v>1136</v>
      </c>
    </row>
    <row r="209" spans="1:64" s="6" customFormat="1" ht="20.25" customHeight="1" thickBot="1" x14ac:dyDescent="0.35">
      <c r="A209" s="279" t="s">
        <v>805</v>
      </c>
      <c r="B209" s="6" t="s">
        <v>721</v>
      </c>
      <c r="C209" s="6" t="s">
        <v>806</v>
      </c>
      <c r="D209" s="6" t="s">
        <v>1240</v>
      </c>
      <c r="G209" s="6" t="s">
        <v>848</v>
      </c>
      <c r="H209" s="6" t="s">
        <v>870</v>
      </c>
      <c r="J209" s="6" t="s">
        <v>829</v>
      </c>
      <c r="L209" s="280">
        <v>44861</v>
      </c>
      <c r="M209" s="280">
        <v>44890</v>
      </c>
      <c r="N209" s="6">
        <v>8.41</v>
      </c>
      <c r="O209" s="6">
        <v>2.5</v>
      </c>
      <c r="R209" s="6">
        <v>19.29</v>
      </c>
      <c r="S209" s="29">
        <f>LOG10(O209)</f>
        <v>0.3979400086720376</v>
      </c>
      <c r="T209" s="29">
        <f>LOG10(R209)</f>
        <v>1.2853322276438846</v>
      </c>
      <c r="U209" s="356">
        <f t="shared" ref="U209" si="61">O209*5.4</f>
        <v>13.5</v>
      </c>
      <c r="V209" s="356">
        <f>13.223*O209-1.5217</f>
        <v>31.535800000000005</v>
      </c>
      <c r="W209" s="356"/>
      <c r="X209" s="271">
        <v>46</v>
      </c>
      <c r="Y209" s="271">
        <v>40</v>
      </c>
      <c r="Z209" s="271">
        <v>14</v>
      </c>
      <c r="AA209" s="239" t="s">
        <v>887</v>
      </c>
      <c r="AB209" s="239" t="s">
        <v>891</v>
      </c>
      <c r="AC209" s="281">
        <v>1.573</v>
      </c>
      <c r="AD209" s="6">
        <v>0.06</v>
      </c>
      <c r="AE209" s="271">
        <v>56.18</v>
      </c>
      <c r="AF209" s="282">
        <v>548.95000000000005</v>
      </c>
      <c r="AG209" s="436">
        <v>1786</v>
      </c>
      <c r="AH209" s="30">
        <v>1325.0334</v>
      </c>
      <c r="AI209" s="436">
        <v>13427</v>
      </c>
      <c r="AJ209" s="30">
        <v>9596.2769000000008</v>
      </c>
      <c r="AK209" s="436">
        <v>1497</v>
      </c>
      <c r="AL209" s="30">
        <v>902.69099999999992</v>
      </c>
      <c r="AM209" s="238">
        <v>18.288097124885056</v>
      </c>
      <c r="AN209" s="339" t="s">
        <v>999</v>
      </c>
      <c r="AO209" s="6">
        <v>2.17</v>
      </c>
      <c r="AP209" s="6">
        <v>10.79</v>
      </c>
      <c r="AQ209" s="6">
        <v>6.84</v>
      </c>
      <c r="AR209" s="6">
        <v>1.1499999999999999</v>
      </c>
      <c r="AS209" s="283">
        <v>47.01</v>
      </c>
      <c r="AT209" s="283" t="s">
        <v>561</v>
      </c>
      <c r="AU209" s="284">
        <v>9779.5300000000007</v>
      </c>
      <c r="AV209" s="6">
        <v>0.77</v>
      </c>
      <c r="AW209" s="448">
        <v>8.4182605053748443</v>
      </c>
      <c r="AX209" s="285"/>
      <c r="AY209" s="286"/>
      <c r="AZ209" s="6">
        <v>1.1652902813299233</v>
      </c>
      <c r="BA209" s="6">
        <v>5.7610147826086964</v>
      </c>
      <c r="BB209" s="6">
        <v>47.953571428571436</v>
      </c>
      <c r="BC209" s="6">
        <v>7.429555555555555</v>
      </c>
      <c r="BD209" s="6">
        <v>1.0947759570079216</v>
      </c>
      <c r="BE209" s="6" t="s">
        <v>1125</v>
      </c>
      <c r="BF209" s="6">
        <v>1.1654306777493606</v>
      </c>
      <c r="BG209" s="6">
        <v>5.748760330578512</v>
      </c>
      <c r="BH209" s="6">
        <v>47.885613273453096</v>
      </c>
      <c r="BI209" s="6">
        <v>5.2993800000000002</v>
      </c>
      <c r="BJ209" s="414">
        <v>9.5654548381636617E-2</v>
      </c>
      <c r="BK209" s="6" t="s">
        <v>1126</v>
      </c>
      <c r="BL209" s="6" t="s">
        <v>1136</v>
      </c>
    </row>
    <row r="210" spans="1:64" s="6" customFormat="1" ht="20.25" customHeight="1" thickBot="1" x14ac:dyDescent="0.35">
      <c r="A210" s="279" t="s">
        <v>807</v>
      </c>
      <c r="B210" s="6" t="s">
        <v>721</v>
      </c>
      <c r="C210" s="6" t="s">
        <v>808</v>
      </c>
      <c r="D210" s="6" t="s">
        <v>1241</v>
      </c>
      <c r="G210" s="6" t="s">
        <v>848</v>
      </c>
      <c r="H210" s="6" t="s">
        <v>870</v>
      </c>
      <c r="J210" s="6" t="s">
        <v>829</v>
      </c>
      <c r="L210" s="280">
        <v>44861</v>
      </c>
      <c r="M210" s="280">
        <v>44890</v>
      </c>
      <c r="N210" s="6">
        <v>8.09</v>
      </c>
      <c r="O210" s="6">
        <v>8.42</v>
      </c>
      <c r="U210" s="356">
        <f t="shared" ref="U210:U212" si="62">O210*5.4</f>
        <v>45.468000000000004</v>
      </c>
      <c r="V210" s="356"/>
      <c r="W210" s="356">
        <f t="shared" ref="W210:W212" si="63">4.8306*O210</f>
        <v>40.673651999999997</v>
      </c>
      <c r="X210" s="271">
        <v>10</v>
      </c>
      <c r="Y210" s="271">
        <v>72</v>
      </c>
      <c r="Z210" s="271">
        <v>18</v>
      </c>
      <c r="AA210" s="239" t="s">
        <v>884</v>
      </c>
      <c r="AB210" s="239" t="s">
        <v>879</v>
      </c>
      <c r="AC210" s="281">
        <v>1.867</v>
      </c>
      <c r="AD210" s="6">
        <v>0.09</v>
      </c>
      <c r="AE210" s="271">
        <v>46.02</v>
      </c>
      <c r="AF210" s="282">
        <v>479.91</v>
      </c>
      <c r="AG210" s="436">
        <v>8308</v>
      </c>
      <c r="AH210" s="30">
        <v>6163.7052000000003</v>
      </c>
      <c r="AI210" s="436">
        <v>18024</v>
      </c>
      <c r="AJ210" s="30">
        <v>12881.7528</v>
      </c>
      <c r="AK210" s="436">
        <v>3440</v>
      </c>
      <c r="AL210" s="30">
        <v>2074.3199999999997</v>
      </c>
      <c r="AM210" s="238">
        <v>71.276779961551199</v>
      </c>
      <c r="AN210" s="339" t="s">
        <v>997</v>
      </c>
      <c r="AO210" s="6">
        <v>1.76</v>
      </c>
      <c r="AP210" s="6">
        <v>11.37</v>
      </c>
      <c r="AQ210" s="6">
        <v>4.07</v>
      </c>
      <c r="AR210" s="6">
        <v>1.08</v>
      </c>
      <c r="AS210" s="283">
        <v>51.25</v>
      </c>
      <c r="AT210" s="283" t="s">
        <v>561</v>
      </c>
      <c r="AU210" s="284">
        <v>3254.12</v>
      </c>
      <c r="AV210" s="6">
        <v>0.82</v>
      </c>
      <c r="AW210" s="448">
        <v>8.800111747450762</v>
      </c>
      <c r="AX210" s="285"/>
      <c r="AY210" s="286"/>
      <c r="AZ210" s="6">
        <v>1.0187347826086957</v>
      </c>
      <c r="BA210" s="6">
        <v>26.798718260869567</v>
      </c>
      <c r="BB210" s="6">
        <v>64.371428571428567</v>
      </c>
      <c r="BC210" s="6">
        <v>17.072592592592589</v>
      </c>
      <c r="BD210" s="6">
        <v>4.1995177063803046</v>
      </c>
      <c r="BE210" s="6" t="s">
        <v>1125</v>
      </c>
      <c r="BF210" s="6">
        <v>1.0188575217391305</v>
      </c>
      <c r="BG210" s="6">
        <v>26.741713788603739</v>
      </c>
      <c r="BH210" s="6">
        <v>64.280203592814374</v>
      </c>
      <c r="BI210" s="6">
        <v>12.1776</v>
      </c>
      <c r="BJ210" s="414">
        <v>0.25659307980433316</v>
      </c>
      <c r="BK210" s="6" t="s">
        <v>1127</v>
      </c>
      <c r="BL210" s="6" t="s">
        <v>1136</v>
      </c>
    </row>
    <row r="211" spans="1:64" s="6" customFormat="1" ht="20.25" customHeight="1" thickBot="1" x14ac:dyDescent="0.35">
      <c r="A211" s="279" t="s">
        <v>809</v>
      </c>
      <c r="B211" s="6" t="s">
        <v>721</v>
      </c>
      <c r="C211" s="6" t="s">
        <v>810</v>
      </c>
      <c r="D211" s="6" t="s">
        <v>1240</v>
      </c>
      <c r="G211" s="6" t="s">
        <v>849</v>
      </c>
      <c r="H211" s="6" t="s">
        <v>871</v>
      </c>
      <c r="J211" s="6" t="s">
        <v>829</v>
      </c>
      <c r="L211" s="280">
        <v>44861</v>
      </c>
      <c r="M211" s="280">
        <v>44890</v>
      </c>
      <c r="N211" s="6">
        <v>8.58</v>
      </c>
      <c r="O211" s="6">
        <v>8.15</v>
      </c>
      <c r="R211" s="6">
        <v>52.65</v>
      </c>
      <c r="S211" s="29">
        <f>LOG10(O211)</f>
        <v>0.91115760873997664</v>
      </c>
      <c r="T211" s="29">
        <f>LOG10(R211)</f>
        <v>1.7213983755215052</v>
      </c>
      <c r="U211" s="356">
        <f t="shared" si="62"/>
        <v>44.010000000000005</v>
      </c>
      <c r="V211" s="356">
        <f>5.4577*O211-1.0593</f>
        <v>43.420954999999999</v>
      </c>
      <c r="W211" s="356">
        <f t="shared" si="63"/>
        <v>39.369389999999996</v>
      </c>
      <c r="X211" s="271">
        <v>12</v>
      </c>
      <c r="Y211" s="271">
        <v>60</v>
      </c>
      <c r="Z211" s="271">
        <v>28</v>
      </c>
      <c r="AA211" s="239" t="s">
        <v>884</v>
      </c>
      <c r="AB211" s="239" t="s">
        <v>879</v>
      </c>
      <c r="AC211" s="281">
        <v>2.0169999999999999</v>
      </c>
      <c r="AD211" s="6">
        <v>0.1</v>
      </c>
      <c r="AE211" s="271">
        <v>72.37</v>
      </c>
      <c r="AF211" s="282">
        <v>377.37</v>
      </c>
      <c r="AG211" s="436">
        <v>15848</v>
      </c>
      <c r="AH211" s="30">
        <v>11757.6312</v>
      </c>
      <c r="AI211" s="436">
        <v>37316</v>
      </c>
      <c r="AJ211" s="30">
        <v>26669.745200000001</v>
      </c>
      <c r="AK211" s="436">
        <v>1706</v>
      </c>
      <c r="AL211" s="30">
        <v>1028.7180000000001</v>
      </c>
      <c r="AM211" s="238">
        <v>99.909548096183016</v>
      </c>
      <c r="AN211" s="339" t="s">
        <v>999</v>
      </c>
      <c r="AO211" s="6">
        <v>1.74</v>
      </c>
      <c r="AP211" s="6">
        <v>14.07</v>
      </c>
      <c r="AQ211" s="6">
        <v>6.35</v>
      </c>
      <c r="AR211" s="6">
        <v>0.71</v>
      </c>
      <c r="AS211" s="283">
        <v>25.78</v>
      </c>
      <c r="AT211" s="283" t="s">
        <v>561</v>
      </c>
      <c r="AU211" s="284">
        <v>11927.33</v>
      </c>
      <c r="AV211" s="6">
        <v>2.96</v>
      </c>
      <c r="AW211" s="448">
        <v>9.2435808466342806</v>
      </c>
      <c r="AX211" s="285"/>
      <c r="AY211" s="286"/>
      <c r="AZ211" s="6">
        <v>0.80106675191815857</v>
      </c>
      <c r="BA211" s="6">
        <v>51.120135652173914</v>
      </c>
      <c r="BB211" s="6">
        <v>133.27142857142857</v>
      </c>
      <c r="BC211" s="6">
        <v>8.4668148148148159</v>
      </c>
      <c r="BD211" s="6">
        <v>6.0724433560282982</v>
      </c>
      <c r="BE211" s="6" t="s">
        <v>1125</v>
      </c>
      <c r="BF211" s="6">
        <v>0.8011632659846547</v>
      </c>
      <c r="BG211" s="6">
        <v>51.011396259243149</v>
      </c>
      <c r="BH211" s="6">
        <v>133.08256087824353</v>
      </c>
      <c r="BI211" s="6">
        <v>6.0392400000000004</v>
      </c>
      <c r="BJ211" s="414">
        <v>0.26716718851153265</v>
      </c>
      <c r="BK211" s="6" t="s">
        <v>1127</v>
      </c>
      <c r="BL211" s="6" t="s">
        <v>1136</v>
      </c>
    </row>
    <row r="212" spans="1:64" s="6" customFormat="1" ht="20.25" customHeight="1" thickBot="1" x14ac:dyDescent="0.35">
      <c r="A212" s="279" t="s">
        <v>811</v>
      </c>
      <c r="B212" s="6" t="s">
        <v>721</v>
      </c>
      <c r="C212" s="6" t="s">
        <v>812</v>
      </c>
      <c r="D212" s="6" t="s">
        <v>1241</v>
      </c>
      <c r="G212" s="6" t="s">
        <v>849</v>
      </c>
      <c r="H212" s="6" t="s">
        <v>871</v>
      </c>
      <c r="J212" s="6" t="s">
        <v>829</v>
      </c>
      <c r="L212" s="280">
        <v>44861</v>
      </c>
      <c r="M212" s="280">
        <v>44890</v>
      </c>
      <c r="N212" s="6">
        <v>8.76</v>
      </c>
      <c r="O212" s="6">
        <v>14.87</v>
      </c>
      <c r="U212" s="356">
        <f t="shared" si="62"/>
        <v>80.298000000000002</v>
      </c>
      <c r="V212" s="356"/>
      <c r="W212" s="356">
        <f t="shared" si="63"/>
        <v>71.83102199999999</v>
      </c>
      <c r="X212" s="271">
        <v>12</v>
      </c>
      <c r="Y212" s="271">
        <v>62</v>
      </c>
      <c r="Z212" s="271">
        <v>26</v>
      </c>
      <c r="AA212" s="239" t="s">
        <v>884</v>
      </c>
      <c r="AB212" s="239" t="s">
        <v>879</v>
      </c>
      <c r="AC212" s="281">
        <v>1.482</v>
      </c>
      <c r="AD212" s="6">
        <v>0.1</v>
      </c>
      <c r="AE212" s="271">
        <v>47.86</v>
      </c>
      <c r="AF212" s="282">
        <v>301.5</v>
      </c>
      <c r="AG212" s="436">
        <v>18365</v>
      </c>
      <c r="AH212" s="30">
        <v>13624.9935</v>
      </c>
      <c r="AI212" s="436">
        <v>45521</v>
      </c>
      <c r="AJ212" s="30">
        <v>32533.858700000001</v>
      </c>
      <c r="AK212" s="436">
        <v>2921</v>
      </c>
      <c r="AL212" s="30">
        <v>1761.3630000000001</v>
      </c>
      <c r="AM212" s="238">
        <v>104.04818150299039</v>
      </c>
      <c r="AN212" s="339" t="s">
        <v>999</v>
      </c>
      <c r="AO212" s="6">
        <v>1.39</v>
      </c>
      <c r="AP212" s="6">
        <v>4.72</v>
      </c>
      <c r="AQ212" s="6">
        <v>3.41</v>
      </c>
      <c r="AR212" s="6">
        <v>0.42</v>
      </c>
      <c r="AS212" s="283">
        <v>82.33</v>
      </c>
      <c r="AT212" s="283" t="s">
        <v>561</v>
      </c>
      <c r="AU212" s="284">
        <v>9207.57</v>
      </c>
      <c r="AV212" s="6">
        <v>2.77</v>
      </c>
      <c r="AW212" s="448">
        <v>11.029104581534604</v>
      </c>
      <c r="AX212" s="285">
        <v>4.4000000000000004</v>
      </c>
      <c r="AY212" s="286"/>
      <c r="AZ212" s="6">
        <v>0.640012787723785</v>
      </c>
      <c r="BA212" s="6">
        <v>59.239102173913047</v>
      </c>
      <c r="BB212" s="6">
        <v>162.57499999999999</v>
      </c>
      <c r="BC212" s="6">
        <v>14.496814814814815</v>
      </c>
      <c r="BD212" s="6">
        <v>6.2957684427747411</v>
      </c>
      <c r="BE212" s="6" t="s">
        <v>1125</v>
      </c>
      <c r="BF212" s="6">
        <v>0.64008989769820968</v>
      </c>
      <c r="BG212" s="6">
        <v>59.113092648977819</v>
      </c>
      <c r="BH212" s="6">
        <v>162.34460429141717</v>
      </c>
      <c r="BI212" s="6">
        <v>10.340340000000001</v>
      </c>
      <c r="BJ212" s="414">
        <v>0.25431754012608077</v>
      </c>
      <c r="BK212" s="6" t="s">
        <v>1127</v>
      </c>
      <c r="BL212" s="6" t="s">
        <v>1136</v>
      </c>
    </row>
    <row r="213" spans="1:64" s="6" customFormat="1" ht="20.25" customHeight="1" thickBot="1" x14ac:dyDescent="0.35">
      <c r="A213" s="279" t="s">
        <v>813</v>
      </c>
      <c r="B213" s="6" t="s">
        <v>721</v>
      </c>
      <c r="C213" s="6" t="s">
        <v>814</v>
      </c>
      <c r="D213" s="6" t="s">
        <v>1240</v>
      </c>
      <c r="G213" s="6" t="s">
        <v>850</v>
      </c>
      <c r="H213" s="6" t="s">
        <v>872</v>
      </c>
      <c r="J213" s="6" t="s">
        <v>829</v>
      </c>
      <c r="L213" s="280">
        <v>44861</v>
      </c>
      <c r="M213" s="280">
        <v>44890</v>
      </c>
      <c r="N213" s="6">
        <v>8.1300000000000008</v>
      </c>
      <c r="O213" s="6">
        <v>2.3199999999999998</v>
      </c>
      <c r="R213" s="6">
        <v>3.56</v>
      </c>
      <c r="S213" s="29">
        <f>LOG10(O213)</f>
        <v>0.36548798489089962</v>
      </c>
      <c r="T213" s="29">
        <f>LOG10(R213)</f>
        <v>0.55144999797287519</v>
      </c>
      <c r="U213" s="356">
        <f t="shared" ref="U213:U214" si="64">10.92*O213</f>
        <v>25.334399999999999</v>
      </c>
      <c r="V213" s="356">
        <f t="shared" ref="V213:V214" si="65">9.5459*O213+2.1572</f>
        <v>24.303687999999998</v>
      </c>
      <c r="W213" s="356">
        <f t="shared" ref="W213:W214" si="66">9.7271*O213</f>
        <v>22.566872</v>
      </c>
      <c r="X213" s="271">
        <v>12</v>
      </c>
      <c r="Y213" s="271">
        <v>44</v>
      </c>
      <c r="Z213" s="271">
        <v>44</v>
      </c>
      <c r="AA213" s="239" t="s">
        <v>883</v>
      </c>
      <c r="AB213" s="239" t="s">
        <v>888</v>
      </c>
      <c r="AC213" s="281">
        <v>1.61</v>
      </c>
      <c r="AD213" s="6">
        <v>0.1</v>
      </c>
      <c r="AE213" s="271">
        <v>31.96</v>
      </c>
      <c r="AF213" s="282">
        <v>165.38</v>
      </c>
      <c r="AG213" s="436">
        <v>164</v>
      </c>
      <c r="AH213" s="30">
        <v>121.6716</v>
      </c>
      <c r="AI213" s="436">
        <v>72332</v>
      </c>
      <c r="AJ213" s="30">
        <v>51695.680399999997</v>
      </c>
      <c r="AK213" s="436">
        <v>163</v>
      </c>
      <c r="AL213" s="30">
        <v>98.289000000000001</v>
      </c>
      <c r="AM213" s="238">
        <v>0.75607454891155734</v>
      </c>
      <c r="AN213" s="238" t="s">
        <v>1000</v>
      </c>
      <c r="AO213" s="6">
        <v>1.21</v>
      </c>
      <c r="AP213" s="6">
        <v>4.37</v>
      </c>
      <c r="AQ213" s="6">
        <v>3.75</v>
      </c>
      <c r="AR213" s="6">
        <v>0.56999999999999995</v>
      </c>
      <c r="AS213" s="283">
        <v>2</v>
      </c>
      <c r="AT213" s="283" t="s">
        <v>561</v>
      </c>
      <c r="AU213" s="284">
        <v>215.95</v>
      </c>
      <c r="AV213" s="6">
        <v>1.03</v>
      </c>
      <c r="AW213" s="448">
        <v>7.5749167591564932</v>
      </c>
      <c r="AX213" s="285"/>
      <c r="AY213" s="286"/>
      <c r="AZ213" s="6">
        <v>0.35106240409207162</v>
      </c>
      <c r="BA213" s="6">
        <v>0.52900695652173912</v>
      </c>
      <c r="BB213" s="6">
        <v>258.32857142857142</v>
      </c>
      <c r="BC213" s="6">
        <v>0.80896296296296299</v>
      </c>
      <c r="BD213" s="6">
        <v>4.647412479018783E-2</v>
      </c>
      <c r="BE213" s="6" t="s">
        <v>1125</v>
      </c>
      <c r="BF213" s="6">
        <v>0.35110470076726341</v>
      </c>
      <c r="BG213" s="6">
        <v>0.52788168769030008</v>
      </c>
      <c r="BH213" s="6">
        <v>257.96247704590814</v>
      </c>
      <c r="BI213" s="6">
        <v>0.57701999999999998</v>
      </c>
      <c r="BJ213" s="414">
        <v>2.0348653677325847E-3</v>
      </c>
      <c r="BK213" s="6" t="s">
        <v>1126</v>
      </c>
      <c r="BL213" s="6" t="s">
        <v>1136</v>
      </c>
    </row>
    <row r="214" spans="1:64" s="6" customFormat="1" ht="20.25" customHeight="1" thickBot="1" x14ac:dyDescent="0.35">
      <c r="A214" s="279" t="s">
        <v>815</v>
      </c>
      <c r="B214" s="6" t="s">
        <v>721</v>
      </c>
      <c r="C214" s="6" t="s">
        <v>816</v>
      </c>
      <c r="D214" s="6" t="s">
        <v>1241</v>
      </c>
      <c r="G214" s="6" t="s">
        <v>850</v>
      </c>
      <c r="H214" s="6" t="s">
        <v>872</v>
      </c>
      <c r="J214" s="6" t="s">
        <v>829</v>
      </c>
      <c r="L214" s="280">
        <v>44861</v>
      </c>
      <c r="M214" s="280">
        <v>44890</v>
      </c>
      <c r="N214" s="6">
        <v>8.36</v>
      </c>
      <c r="O214" s="6">
        <v>6.2</v>
      </c>
      <c r="U214" s="356">
        <f t="shared" si="64"/>
        <v>67.704000000000008</v>
      </c>
      <c r="V214" s="356">
        <f t="shared" si="65"/>
        <v>61.34178</v>
      </c>
      <c r="W214" s="356">
        <f t="shared" si="66"/>
        <v>60.308019999999999</v>
      </c>
      <c r="X214" s="271">
        <v>12</v>
      </c>
      <c r="Y214" s="271">
        <v>46</v>
      </c>
      <c r="Z214" s="271">
        <v>42</v>
      </c>
      <c r="AA214" s="239" t="s">
        <v>883</v>
      </c>
      <c r="AB214" s="239" t="s">
        <v>888</v>
      </c>
      <c r="AC214" s="281">
        <v>0.58299999999999996</v>
      </c>
      <c r="AD214" s="6">
        <v>0.06</v>
      </c>
      <c r="AE214" s="271">
        <v>11.58</v>
      </c>
      <c r="AF214" s="282">
        <v>183.63</v>
      </c>
      <c r="AG214" s="436">
        <v>5290</v>
      </c>
      <c r="AH214" s="30">
        <v>3924.6509999999998</v>
      </c>
      <c r="AI214" s="436">
        <v>73645</v>
      </c>
      <c r="AJ214" s="30">
        <v>52634.0815</v>
      </c>
      <c r="AK214" s="436">
        <v>1582</v>
      </c>
      <c r="AL214" s="30">
        <v>953.94599999999991</v>
      </c>
      <c r="AM214" s="238">
        <v>23.976299511156792</v>
      </c>
      <c r="AN214" s="339" t="s">
        <v>997</v>
      </c>
      <c r="AO214" s="6">
        <v>0.79</v>
      </c>
      <c r="AP214" s="6">
        <v>1.1299999999999999</v>
      </c>
      <c r="AQ214" s="6">
        <v>1.41</v>
      </c>
      <c r="AR214" s="6">
        <v>0.22</v>
      </c>
      <c r="AS214" s="283">
        <v>60.83</v>
      </c>
      <c r="AT214" s="283" t="s">
        <v>561</v>
      </c>
      <c r="AU214" s="284">
        <v>6462.67</v>
      </c>
      <c r="AV214" s="6">
        <v>1.07</v>
      </c>
      <c r="AW214" s="448">
        <v>2.6804411559402488</v>
      </c>
      <c r="AX214" s="285"/>
      <c r="AY214" s="286"/>
      <c r="AZ214" s="6">
        <v>0.38980281329923266</v>
      </c>
      <c r="BA214" s="6">
        <v>17.063700000000001</v>
      </c>
      <c r="BB214" s="6">
        <v>263.01785714285717</v>
      </c>
      <c r="BC214" s="6">
        <v>7.8514074074074065</v>
      </c>
      <c r="BD214" s="6">
        <v>1.466251065252383</v>
      </c>
      <c r="BE214" s="6" t="s">
        <v>1125</v>
      </c>
      <c r="BF214" s="6">
        <v>0.38984977749360605</v>
      </c>
      <c r="BG214" s="6">
        <v>17.027403218790777</v>
      </c>
      <c r="BH214" s="6">
        <v>262.64511726546908</v>
      </c>
      <c r="BI214" s="6">
        <v>5.6002800000000006</v>
      </c>
      <c r="BJ214" s="414">
        <v>5.9606683629058688E-2</v>
      </c>
      <c r="BK214" s="6" t="s">
        <v>1126</v>
      </c>
      <c r="BL214" s="6" t="s">
        <v>1136</v>
      </c>
    </row>
    <row r="215" spans="1:64" s="6" customFormat="1" ht="20.25" customHeight="1" thickBot="1" x14ac:dyDescent="0.35">
      <c r="A215" s="279" t="s">
        <v>817</v>
      </c>
      <c r="B215" s="6" t="s">
        <v>721</v>
      </c>
      <c r="C215" s="6" t="s">
        <v>818</v>
      </c>
      <c r="D215" s="6" t="s">
        <v>1240</v>
      </c>
      <c r="G215" s="6" t="s">
        <v>851</v>
      </c>
      <c r="H215" s="6" t="s">
        <v>873</v>
      </c>
      <c r="J215" s="6" t="s">
        <v>829</v>
      </c>
      <c r="L215" s="280">
        <v>44861</v>
      </c>
      <c r="M215" s="280">
        <v>44890</v>
      </c>
      <c r="N215" s="6">
        <v>8.09</v>
      </c>
      <c r="O215" s="6">
        <v>2.29</v>
      </c>
      <c r="R215" s="6">
        <v>2.722</v>
      </c>
      <c r="S215" s="29">
        <f>LOG10(O215)</f>
        <v>0.35983548233988799</v>
      </c>
      <c r="T215" s="29">
        <f>LOG10(R215)</f>
        <v>0.43488812086731587</v>
      </c>
      <c r="U215" s="356">
        <f t="shared" ref="U215:U216" si="67">O215*5.4</f>
        <v>12.366000000000001</v>
      </c>
      <c r="V215" s="356">
        <f>5.4577*O215-1.0593</f>
        <v>11.438833000000001</v>
      </c>
      <c r="W215" s="356">
        <f t="shared" ref="W215:W216" si="68">4.8306*O215</f>
        <v>11.062073999999999</v>
      </c>
      <c r="X215" s="271">
        <v>12</v>
      </c>
      <c r="Y215" s="271">
        <v>54</v>
      </c>
      <c r="Z215" s="271">
        <v>34</v>
      </c>
      <c r="AA215" s="239" t="s">
        <v>884</v>
      </c>
      <c r="AB215" s="239" t="s">
        <v>879</v>
      </c>
      <c r="AC215" s="281">
        <v>1.002</v>
      </c>
      <c r="AD215" s="6">
        <v>0.06</v>
      </c>
      <c r="AE215" s="271">
        <v>13</v>
      </c>
      <c r="AF215" s="282">
        <v>130.33000000000001</v>
      </c>
      <c r="AG215" s="436">
        <v>60</v>
      </c>
      <c r="AH215" s="30">
        <v>44.514000000000003</v>
      </c>
      <c r="AI215" s="436">
        <v>73954</v>
      </c>
      <c r="AJ215" s="30">
        <v>52854.923799999997</v>
      </c>
      <c r="AK215" s="436">
        <v>72</v>
      </c>
      <c r="AL215" s="30">
        <v>43.415999999999997</v>
      </c>
      <c r="AM215" s="238">
        <v>0.27370995816594368</v>
      </c>
      <c r="AN215" s="238" t="s">
        <v>1000</v>
      </c>
      <c r="AO215" s="6">
        <v>1.0900000000000001</v>
      </c>
      <c r="AP215" s="6">
        <v>3.51</v>
      </c>
      <c r="AQ215" s="6">
        <v>2.4700000000000002</v>
      </c>
      <c r="AR215" s="6">
        <v>0.36</v>
      </c>
      <c r="AS215" s="283">
        <v>2.2999999999999998</v>
      </c>
      <c r="AT215" s="283" t="s">
        <v>561</v>
      </c>
      <c r="AU215" s="284">
        <v>175.18</v>
      </c>
      <c r="AV215" s="6">
        <v>0.85</v>
      </c>
      <c r="AW215" s="448">
        <v>3.6789297658862878</v>
      </c>
      <c r="AX215" s="285"/>
      <c r="AY215" s="286"/>
      <c r="AZ215" s="6">
        <v>0.27665959079283886</v>
      </c>
      <c r="BA215" s="6">
        <v>0.19353913043478263</v>
      </c>
      <c r="BB215" s="6">
        <v>264.12142857142857</v>
      </c>
      <c r="BC215" s="6">
        <v>0.35733333333333328</v>
      </c>
      <c r="BD215" s="6">
        <v>1.6830165307805608E-2</v>
      </c>
      <c r="BE215" s="6" t="s">
        <v>1125</v>
      </c>
      <c r="BF215" s="6">
        <v>0.2766929232736573</v>
      </c>
      <c r="BG215" s="6">
        <v>0.19312744671596346</v>
      </c>
      <c r="BH215" s="6">
        <v>263.74712475049898</v>
      </c>
      <c r="BI215" s="6">
        <v>0.25488</v>
      </c>
      <c r="BJ215" s="414">
        <v>7.302382649946854E-4</v>
      </c>
      <c r="BK215" s="6" t="s">
        <v>1126</v>
      </c>
      <c r="BL215" s="6" t="s">
        <v>1136</v>
      </c>
    </row>
    <row r="216" spans="1:64" s="6" customFormat="1" ht="20.25" customHeight="1" thickBot="1" x14ac:dyDescent="0.35">
      <c r="A216" s="279" t="s">
        <v>819</v>
      </c>
      <c r="B216" s="6" t="s">
        <v>721</v>
      </c>
      <c r="C216" s="6" t="s">
        <v>820</v>
      </c>
      <c r="D216" s="6" t="s">
        <v>1241</v>
      </c>
      <c r="G216" s="6" t="s">
        <v>851</v>
      </c>
      <c r="H216" s="6" t="s">
        <v>873</v>
      </c>
      <c r="J216" s="6" t="s">
        <v>829</v>
      </c>
      <c r="L216" s="280">
        <v>44861</v>
      </c>
      <c r="M216" s="280">
        <v>44890</v>
      </c>
      <c r="N216" s="6">
        <v>8.07</v>
      </c>
      <c r="O216" s="6">
        <v>2.35</v>
      </c>
      <c r="U216" s="356">
        <f t="shared" si="67"/>
        <v>12.690000000000001</v>
      </c>
      <c r="V216" s="356"/>
      <c r="W216" s="356">
        <f t="shared" si="68"/>
        <v>11.35191</v>
      </c>
      <c r="X216" s="271">
        <v>10</v>
      </c>
      <c r="Y216" s="271">
        <v>60</v>
      </c>
      <c r="Z216" s="271">
        <v>30</v>
      </c>
      <c r="AA216" s="239" t="s">
        <v>884</v>
      </c>
      <c r="AB216" s="239" t="s">
        <v>879</v>
      </c>
      <c r="AC216" s="281">
        <v>1.0529999999999999</v>
      </c>
      <c r="AD216" s="6">
        <v>0.06</v>
      </c>
      <c r="AE216" s="271">
        <v>12.89</v>
      </c>
      <c r="AF216" s="282">
        <v>120.71</v>
      </c>
      <c r="AG216" s="436">
        <v>143</v>
      </c>
      <c r="AH216" s="30">
        <v>106.0917</v>
      </c>
      <c r="AI216" s="436">
        <v>72340</v>
      </c>
      <c r="AJ216" s="30">
        <v>51701.398000000001</v>
      </c>
      <c r="AK216" s="436">
        <v>89</v>
      </c>
      <c r="AL216" s="30">
        <v>53.667000000000002</v>
      </c>
      <c r="AM216" s="238">
        <v>0.65950786208539092</v>
      </c>
      <c r="AN216" s="238" t="s">
        <v>1000</v>
      </c>
      <c r="AO216" s="6">
        <v>0.84</v>
      </c>
      <c r="AP216" s="6">
        <v>2</v>
      </c>
      <c r="AQ216" s="6">
        <v>1.39</v>
      </c>
      <c r="AR216" s="6">
        <v>0.28000000000000003</v>
      </c>
      <c r="AS216" s="283">
        <v>13.83</v>
      </c>
      <c r="AT216" s="283" t="s">
        <v>561</v>
      </c>
      <c r="AU216" s="284">
        <v>180.45</v>
      </c>
      <c r="AV216" s="6">
        <v>0.76</v>
      </c>
      <c r="AW216" s="448">
        <v>3.4228468067343814</v>
      </c>
      <c r="AX216" s="285"/>
      <c r="AY216" s="286"/>
      <c r="AZ216" s="6">
        <v>0.25623861892583116</v>
      </c>
      <c r="BA216" s="6">
        <v>0.46126826086956524</v>
      </c>
      <c r="BB216" s="6">
        <v>258.35714285714283</v>
      </c>
      <c r="BC216" s="6">
        <v>0.44170370370370365</v>
      </c>
      <c r="BD216" s="6">
        <v>4.0549677279229E-2</v>
      </c>
      <c r="BE216" s="6" t="s">
        <v>1125</v>
      </c>
      <c r="BF216" s="6">
        <v>0.25626949104859331</v>
      </c>
      <c r="BG216" s="6">
        <v>0.46028708133971286</v>
      </c>
      <c r="BH216" s="6">
        <v>257.99100798403191</v>
      </c>
      <c r="BI216" s="6">
        <v>0.31506000000000001</v>
      </c>
      <c r="BJ216" s="414">
        <v>1.7770149697462171E-3</v>
      </c>
      <c r="BK216" s="6" t="s">
        <v>1126</v>
      </c>
      <c r="BL216" s="6" t="s">
        <v>1136</v>
      </c>
    </row>
    <row r="217" spans="1:64" s="6" customFormat="1" ht="20.25" customHeight="1" thickBot="1" x14ac:dyDescent="0.35">
      <c r="A217" s="279" t="s">
        <v>821</v>
      </c>
      <c r="B217" s="6" t="s">
        <v>721</v>
      </c>
      <c r="C217" s="6" t="s">
        <v>822</v>
      </c>
      <c r="D217" s="6" t="s">
        <v>1240</v>
      </c>
      <c r="G217" s="6" t="s">
        <v>852</v>
      </c>
      <c r="H217" s="6" t="s">
        <v>874</v>
      </c>
      <c r="J217" s="6" t="s">
        <v>829</v>
      </c>
      <c r="L217" s="280">
        <v>44861</v>
      </c>
      <c r="M217" s="280">
        <v>44890</v>
      </c>
      <c r="N217" s="6">
        <v>8.3000000000000007</v>
      </c>
      <c r="O217" s="6">
        <v>3.28</v>
      </c>
      <c r="R217" s="6">
        <v>22.31</v>
      </c>
      <c r="S217" s="29">
        <f>LOG10(O217)</f>
        <v>0.5158738437116791</v>
      </c>
      <c r="T217" s="29">
        <f>LOG10(R217)</f>
        <v>1.3484995702838376</v>
      </c>
      <c r="U217" s="356">
        <f>O217*9.63</f>
        <v>31.586400000000001</v>
      </c>
      <c r="V217" s="354">
        <f>9.0013*O217+4.2416</f>
        <v>33.765864000000001</v>
      </c>
      <c r="W217" s="354">
        <f>9.347*O217</f>
        <v>30.658159999999995</v>
      </c>
      <c r="X217" s="271">
        <v>30</v>
      </c>
      <c r="Y217" s="271">
        <v>30</v>
      </c>
      <c r="Z217" s="271">
        <v>40</v>
      </c>
      <c r="AA217" s="239" t="s">
        <v>882</v>
      </c>
      <c r="AB217" s="239" t="s">
        <v>878</v>
      </c>
      <c r="AC217" s="281">
        <v>1.87</v>
      </c>
      <c r="AD217" s="6">
        <v>0.09</v>
      </c>
      <c r="AE217" s="271">
        <v>73.44</v>
      </c>
      <c r="AF217" s="282">
        <v>593.42999999999995</v>
      </c>
      <c r="AG217" s="436">
        <v>2671</v>
      </c>
      <c r="AH217" s="30">
        <v>1981.6149</v>
      </c>
      <c r="AI217" s="436">
        <v>15300</v>
      </c>
      <c r="AJ217" s="30">
        <v>10934.91</v>
      </c>
      <c r="AK217" s="436">
        <v>1570</v>
      </c>
      <c r="AL217" s="30">
        <v>946.70999999999992</v>
      </c>
      <c r="AM217" s="238">
        <v>25.709665584422936</v>
      </c>
      <c r="AN217" s="339" t="s">
        <v>999</v>
      </c>
      <c r="AO217" s="6">
        <v>1.78</v>
      </c>
      <c r="AP217" s="6">
        <v>14.11</v>
      </c>
      <c r="AQ217" s="6">
        <v>6.55</v>
      </c>
      <c r="AR217" s="6">
        <v>0.96</v>
      </c>
      <c r="AS217" s="283">
        <v>18.75</v>
      </c>
      <c r="AT217" s="283" t="s">
        <v>561</v>
      </c>
      <c r="AU217" s="284">
        <v>3787.67</v>
      </c>
      <c r="AV217" s="6">
        <v>1.23</v>
      </c>
      <c r="AW217" s="448">
        <v>15.2521183497708</v>
      </c>
      <c r="AX217" s="285">
        <v>6.8</v>
      </c>
      <c r="AY217" s="286"/>
      <c r="AZ217" s="6">
        <v>1.2597107416879794</v>
      </c>
      <c r="BA217" s="6">
        <v>8.6157169565217391</v>
      </c>
      <c r="BB217" s="6">
        <v>54.642857142857146</v>
      </c>
      <c r="BC217" s="6">
        <v>7.7918518518518507</v>
      </c>
      <c r="BD217" s="6">
        <v>1.5420319601729824</v>
      </c>
      <c r="BE217" s="6" t="s">
        <v>1125</v>
      </c>
      <c r="BF217" s="6">
        <v>1.2598625140664961</v>
      </c>
      <c r="BG217" s="6">
        <v>8.5973901696389738</v>
      </c>
      <c r="BH217" s="6">
        <v>54.565419161676644</v>
      </c>
      <c r="BI217" s="6">
        <v>5.5578000000000003</v>
      </c>
      <c r="BJ217" s="414">
        <v>0.12285413263052042</v>
      </c>
      <c r="BK217" s="6" t="s">
        <v>1126</v>
      </c>
      <c r="BL217" s="6" t="s">
        <v>1136</v>
      </c>
    </row>
    <row r="218" spans="1:64" s="6" customFormat="1" ht="20.25" customHeight="1" thickBot="1" x14ac:dyDescent="0.35">
      <c r="A218" s="279" t="s">
        <v>823</v>
      </c>
      <c r="B218" s="6" t="s">
        <v>721</v>
      </c>
      <c r="C218" s="6" t="s">
        <v>824</v>
      </c>
      <c r="D218" s="6" t="s">
        <v>1241</v>
      </c>
      <c r="G218" s="6" t="s">
        <v>852</v>
      </c>
      <c r="H218" s="6" t="s">
        <v>874</v>
      </c>
      <c r="J218" s="6" t="s">
        <v>829</v>
      </c>
      <c r="L218" s="280">
        <v>44861</v>
      </c>
      <c r="M218" s="280">
        <v>44890</v>
      </c>
      <c r="N218" s="6">
        <v>8.24</v>
      </c>
      <c r="O218" s="6">
        <v>6.89</v>
      </c>
      <c r="U218" s="356">
        <f t="shared" ref="U218:U220" si="69">O218*5.4</f>
        <v>37.206000000000003</v>
      </c>
      <c r="V218" s="356"/>
      <c r="W218" s="356">
        <f t="shared" ref="W218:W220" si="70">4.8306*O218</f>
        <v>33.282833999999994</v>
      </c>
      <c r="X218" s="271">
        <v>10</v>
      </c>
      <c r="Y218" s="271">
        <v>58</v>
      </c>
      <c r="Z218" s="271">
        <v>32</v>
      </c>
      <c r="AA218" s="239" t="s">
        <v>884</v>
      </c>
      <c r="AB218" s="239" t="s">
        <v>879</v>
      </c>
      <c r="AC218" s="281">
        <v>1.931</v>
      </c>
      <c r="AD218" s="6">
        <v>0.09</v>
      </c>
      <c r="AE218" s="271">
        <v>45.57</v>
      </c>
      <c r="AF218" s="282">
        <v>479.43</v>
      </c>
      <c r="AG218" s="436">
        <v>6734</v>
      </c>
      <c r="AH218" s="30">
        <v>4995.9546</v>
      </c>
      <c r="AI218" s="436">
        <v>25838</v>
      </c>
      <c r="AJ218" s="30">
        <v>18466.418600000001</v>
      </c>
      <c r="AK218" s="436">
        <v>2998</v>
      </c>
      <c r="AL218" s="30">
        <v>1807.7939999999999</v>
      </c>
      <c r="AM218" s="238">
        <v>49.620539612415925</v>
      </c>
      <c r="AN218" s="339" t="s">
        <v>997</v>
      </c>
      <c r="AO218" s="6">
        <v>1.48</v>
      </c>
      <c r="AP218" s="6">
        <v>6.36</v>
      </c>
      <c r="AQ218" s="6">
        <v>4.37</v>
      </c>
      <c r="AR218" s="6">
        <v>0.81</v>
      </c>
      <c r="AS218" s="283">
        <v>39.61</v>
      </c>
      <c r="AT218" s="283" t="s">
        <v>561</v>
      </c>
      <c r="AU218" s="284">
        <v>140.05000000000001</v>
      </c>
      <c r="AV218" s="6">
        <v>1.61</v>
      </c>
      <c r="AW218" s="448">
        <v>13.259207783182765</v>
      </c>
      <c r="AX218" s="285">
        <v>6</v>
      </c>
      <c r="AY218" s="286"/>
      <c r="AZ218" s="6">
        <v>1.0177158567774935</v>
      </c>
      <c r="BA218" s="6">
        <v>21.721541739130434</v>
      </c>
      <c r="BB218" s="6">
        <v>92.278571428571439</v>
      </c>
      <c r="BC218" s="6">
        <v>14.878962962962961</v>
      </c>
      <c r="BD218" s="6">
        <v>2.9675243333497483</v>
      </c>
      <c r="BE218" s="6" t="s">
        <v>1125</v>
      </c>
      <c r="BF218" s="6">
        <v>1.0178384731457799</v>
      </c>
      <c r="BG218" s="6">
        <v>21.6753371030883</v>
      </c>
      <c r="BH218" s="6">
        <v>92.147797405189621</v>
      </c>
      <c r="BI218" s="6">
        <v>10.612920000000001</v>
      </c>
      <c r="BJ218" s="414">
        <v>0.17277532476650864</v>
      </c>
      <c r="BK218" s="6" t="s">
        <v>1127</v>
      </c>
      <c r="BL218" s="6" t="s">
        <v>1136</v>
      </c>
    </row>
    <row r="219" spans="1:64" s="6" customFormat="1" ht="20.25" customHeight="1" thickBot="1" x14ac:dyDescent="0.35">
      <c r="A219" s="279" t="s">
        <v>825</v>
      </c>
      <c r="B219" s="6" t="s">
        <v>721</v>
      </c>
      <c r="C219" s="6" t="s">
        <v>826</v>
      </c>
      <c r="D219" s="6" t="s">
        <v>1240</v>
      </c>
      <c r="G219" s="6" t="s">
        <v>853</v>
      </c>
      <c r="H219" s="6" t="s">
        <v>875</v>
      </c>
      <c r="J219" s="6" t="s">
        <v>829</v>
      </c>
      <c r="L219" s="280">
        <v>44861</v>
      </c>
      <c r="M219" s="280">
        <v>44890</v>
      </c>
      <c r="N219" s="6">
        <v>8.07</v>
      </c>
      <c r="O219" s="6">
        <v>25.85</v>
      </c>
      <c r="R219" s="6">
        <v>123</v>
      </c>
      <c r="S219" s="29">
        <f>LOG10(O219)</f>
        <v>1.4124605474299614</v>
      </c>
      <c r="T219" s="29">
        <f>LOG10(R219)</f>
        <v>2.0899051114393981</v>
      </c>
      <c r="U219" s="356">
        <f t="shared" si="69"/>
        <v>139.59</v>
      </c>
      <c r="V219" s="356">
        <f>5.4577*O219-1.0593</f>
        <v>140.022245</v>
      </c>
      <c r="W219" s="356">
        <f t="shared" si="70"/>
        <v>124.87101</v>
      </c>
      <c r="X219" s="271">
        <v>12</v>
      </c>
      <c r="Y219" s="271">
        <v>80</v>
      </c>
      <c r="Z219" s="271">
        <v>8</v>
      </c>
      <c r="AA219" s="239" t="s">
        <v>884</v>
      </c>
      <c r="AB219" s="239" t="s">
        <v>879</v>
      </c>
      <c r="AC219" s="281">
        <v>3.4260000000000002</v>
      </c>
      <c r="AD219" s="6">
        <v>0.17</v>
      </c>
      <c r="AE219" s="271">
        <v>66.88</v>
      </c>
      <c r="AF219" s="282">
        <v>1895.27</v>
      </c>
      <c r="AG219" s="436">
        <v>27116</v>
      </c>
      <c r="AH219" s="30">
        <v>20117.360400000001</v>
      </c>
      <c r="AI219" s="436">
        <v>16547</v>
      </c>
      <c r="AJ219" s="30">
        <v>11826.1409</v>
      </c>
      <c r="AK219" s="436">
        <v>5530</v>
      </c>
      <c r="AL219" s="30">
        <v>3334.5899999999997</v>
      </c>
      <c r="AM219" s="238">
        <v>231.0606147987225</v>
      </c>
      <c r="AN219" s="339" t="s">
        <v>997</v>
      </c>
      <c r="AO219" s="6">
        <v>3.68</v>
      </c>
      <c r="AP219" s="6">
        <v>126.6</v>
      </c>
      <c r="AQ219" s="6">
        <v>26.71</v>
      </c>
      <c r="AR219" s="6">
        <v>2.95</v>
      </c>
      <c r="AS219" s="283">
        <v>26.52</v>
      </c>
      <c r="AT219" s="283">
        <v>8.17</v>
      </c>
      <c r="AU219" s="284">
        <v>96011.61</v>
      </c>
      <c r="AV219" s="6">
        <v>2.48</v>
      </c>
      <c r="AW219" s="448">
        <v>2.6692617822883355</v>
      </c>
      <c r="AX219" s="285"/>
      <c r="AY219" s="286"/>
      <c r="AZ219" s="6">
        <v>4.0232074168797949</v>
      </c>
      <c r="BA219" s="6">
        <v>87.466784347826092</v>
      </c>
      <c r="BB219" s="6">
        <v>59.096428571428568</v>
      </c>
      <c r="BC219" s="6">
        <v>27.445185185185181</v>
      </c>
      <c r="BD219" s="6">
        <v>13.29675490096662</v>
      </c>
      <c r="BE219" s="6" t="s">
        <v>1133</v>
      </c>
      <c r="BF219" s="6">
        <v>4.0236921406649611</v>
      </c>
      <c r="BG219" s="6">
        <v>87.280730752501086</v>
      </c>
      <c r="BH219" s="6">
        <v>59.012679141716568</v>
      </c>
      <c r="BI219" s="6">
        <v>19.5762</v>
      </c>
      <c r="BJ219" s="414">
        <v>0.51373850356137374</v>
      </c>
      <c r="BK219" s="6" t="s">
        <v>1129</v>
      </c>
      <c r="BL219" s="6" t="s">
        <v>1136</v>
      </c>
    </row>
    <row r="220" spans="1:64" s="291" customFormat="1" ht="20.25" customHeight="1" thickBot="1" x14ac:dyDescent="0.35">
      <c r="A220" s="290" t="s">
        <v>827</v>
      </c>
      <c r="B220" s="291" t="s">
        <v>721</v>
      </c>
      <c r="C220" s="291" t="s">
        <v>828</v>
      </c>
      <c r="D220" s="291" t="s">
        <v>1241</v>
      </c>
      <c r="G220" s="291" t="s">
        <v>853</v>
      </c>
      <c r="H220" s="291" t="s">
        <v>875</v>
      </c>
      <c r="J220" s="291" t="s">
        <v>829</v>
      </c>
      <c r="L220" s="292">
        <v>44861</v>
      </c>
      <c r="M220" s="292">
        <v>44890</v>
      </c>
      <c r="N220" s="291">
        <v>8.0399999999999991</v>
      </c>
      <c r="O220" s="291">
        <v>22.18</v>
      </c>
      <c r="U220" s="356">
        <f t="shared" si="69"/>
        <v>119.77200000000001</v>
      </c>
      <c r="V220" s="359"/>
      <c r="W220" s="356">
        <f t="shared" si="70"/>
        <v>107.14270799999998</v>
      </c>
      <c r="X220" s="293">
        <v>10</v>
      </c>
      <c r="Y220" s="293">
        <v>78</v>
      </c>
      <c r="Z220" s="294">
        <v>12</v>
      </c>
      <c r="AA220" s="239" t="s">
        <v>884</v>
      </c>
      <c r="AB220" s="239" t="s">
        <v>879</v>
      </c>
      <c r="AC220" s="294">
        <v>2.0840000000000001</v>
      </c>
      <c r="AD220" s="291">
        <v>0.14000000000000001</v>
      </c>
      <c r="AE220" s="293">
        <v>41.39</v>
      </c>
      <c r="AF220" s="295">
        <v>1883.77</v>
      </c>
      <c r="AG220" s="440">
        <v>19971</v>
      </c>
      <c r="AH220" s="30">
        <v>14816.484899999999</v>
      </c>
      <c r="AI220" s="440">
        <v>18605</v>
      </c>
      <c r="AJ220" s="30">
        <v>13296.9935</v>
      </c>
      <c r="AK220" s="440">
        <v>7887</v>
      </c>
      <c r="AL220" s="30">
        <v>4755.8609999999999</v>
      </c>
      <c r="AM220" s="238">
        <v>155.95066810017767</v>
      </c>
      <c r="AN220" s="339" t="s">
        <v>997</v>
      </c>
      <c r="AO220" s="291">
        <v>3.04</v>
      </c>
      <c r="AP220" s="291">
        <v>11.55</v>
      </c>
      <c r="AQ220" s="291">
        <v>12.02</v>
      </c>
      <c r="AR220" s="291">
        <v>1.53</v>
      </c>
      <c r="AS220" s="296">
        <v>21.21</v>
      </c>
      <c r="AT220" s="296" t="s">
        <v>561</v>
      </c>
      <c r="AU220" s="297">
        <v>74565.62</v>
      </c>
      <c r="AV220" s="291">
        <v>2.63</v>
      </c>
      <c r="AW220" s="450">
        <v>2.8806011689396045</v>
      </c>
      <c r="AX220" s="298"/>
      <c r="AY220" s="299"/>
      <c r="AZ220" s="291">
        <v>3.998795652173913</v>
      </c>
      <c r="BA220" s="291">
        <v>64.419499565217393</v>
      </c>
      <c r="BB220" s="291">
        <v>66.446428571428569</v>
      </c>
      <c r="BC220" s="291">
        <v>39.142888888888884</v>
      </c>
      <c r="BD220" s="291">
        <v>8.8658902985163746</v>
      </c>
      <c r="BE220" s="291" t="s">
        <v>1125</v>
      </c>
      <c r="BF220" s="291">
        <v>3.9992774347826083</v>
      </c>
      <c r="BG220" s="291">
        <v>64.28247063940843</v>
      </c>
      <c r="BH220" s="291">
        <v>66.352262974051897</v>
      </c>
      <c r="BI220" s="291">
        <v>27.919980000000002</v>
      </c>
      <c r="BJ220" s="415">
        <v>0.39545304440006401</v>
      </c>
      <c r="BK220" s="291" t="s">
        <v>1130</v>
      </c>
      <c r="BL220" s="291" t="s">
        <v>1136</v>
      </c>
    </row>
    <row r="221" spans="1:64" s="1" customFormat="1" ht="20.25" customHeight="1" thickBot="1" x14ac:dyDescent="0.35">
      <c r="A221" s="300" t="s">
        <v>564</v>
      </c>
      <c r="B221" s="1" t="s">
        <v>81</v>
      </c>
      <c r="C221" s="301" t="s">
        <v>565</v>
      </c>
      <c r="D221" s="301" t="s">
        <v>1240</v>
      </c>
      <c r="E221" s="1" t="s">
        <v>593</v>
      </c>
      <c r="F221" s="1" t="s">
        <v>241</v>
      </c>
      <c r="G221" s="1" t="s">
        <v>640</v>
      </c>
      <c r="H221" s="1" t="s">
        <v>641</v>
      </c>
      <c r="I221" s="1" t="s">
        <v>83</v>
      </c>
      <c r="J221" s="301" t="s">
        <v>592</v>
      </c>
      <c r="K221" s="301"/>
      <c r="L221" s="302">
        <v>44867</v>
      </c>
      <c r="M221" s="303">
        <v>44882</v>
      </c>
      <c r="N221" s="1">
        <v>8.89</v>
      </c>
      <c r="O221" s="1">
        <v>0.47</v>
      </c>
      <c r="R221" s="1">
        <v>4.3680000000000003</v>
      </c>
      <c r="S221" s="29">
        <f>LOG10(O221)</f>
        <v>-0.32790214206428259</v>
      </c>
      <c r="T221" s="29">
        <f>LOG10(R221)</f>
        <v>0.64028262969668082</v>
      </c>
      <c r="U221" s="356">
        <f>O221*12.43</f>
        <v>5.8420999999999994</v>
      </c>
      <c r="V221" s="356">
        <f>13.223*O221-1.5217</f>
        <v>4.6931099999999999</v>
      </c>
      <c r="W221" s="356">
        <f t="shared" ref="W221:W222" si="71">-0.144*(O221*O221)+11.253*O221+3.5274</f>
        <v>8.7845003999999989</v>
      </c>
      <c r="X221" s="304">
        <v>26</v>
      </c>
      <c r="Y221" s="304">
        <v>26</v>
      </c>
      <c r="Z221" s="305">
        <v>48</v>
      </c>
      <c r="AA221" s="239" t="s">
        <v>885</v>
      </c>
      <c r="AB221" s="239" t="s">
        <v>880</v>
      </c>
      <c r="AC221" s="1">
        <v>0.97399999999999998</v>
      </c>
      <c r="AD221" s="1">
        <v>7.1199999999999999E-2</v>
      </c>
      <c r="AE221" s="304">
        <v>65.45</v>
      </c>
      <c r="AF221" s="306">
        <v>686.95</v>
      </c>
      <c r="AG221" s="438">
        <v>1069</v>
      </c>
      <c r="AH221" s="30">
        <v>793.09109999999998</v>
      </c>
      <c r="AI221" s="438">
        <v>7187</v>
      </c>
      <c r="AJ221" s="30">
        <v>5136.5488999999998</v>
      </c>
      <c r="AK221" s="438">
        <v>573</v>
      </c>
      <c r="AL221" s="30">
        <v>345.51900000000001</v>
      </c>
      <c r="AM221" s="238">
        <v>15.148368768772194</v>
      </c>
      <c r="AN221" s="339" t="s">
        <v>999</v>
      </c>
      <c r="AO221" s="1">
        <v>0.98</v>
      </c>
      <c r="AP221" s="1">
        <v>2.79</v>
      </c>
      <c r="AQ221" s="1">
        <v>1.27</v>
      </c>
      <c r="AR221" s="1">
        <v>0.67</v>
      </c>
      <c r="AS221" s="307" t="s">
        <v>830</v>
      </c>
      <c r="AT221" s="307">
        <v>47.26</v>
      </c>
      <c r="AU221" s="308">
        <v>357.15</v>
      </c>
      <c r="AV221" s="1">
        <v>0.97</v>
      </c>
      <c r="AW221" s="447">
        <v>7.8925505400166145</v>
      </c>
      <c r="AX221" s="309"/>
      <c r="AY221" s="310"/>
      <c r="AZ221" s="1">
        <v>1.4582314578005113</v>
      </c>
      <c r="BA221" s="1">
        <v>3.4482221739130439</v>
      </c>
      <c r="BB221" s="1">
        <v>25.667857142857144</v>
      </c>
      <c r="BC221" s="1">
        <v>2.843777777777778</v>
      </c>
      <c r="BD221" s="1">
        <v>0.91326996980327324</v>
      </c>
      <c r="BE221" s="1" t="s">
        <v>1125</v>
      </c>
      <c r="BF221" s="1">
        <v>1.458407148337596</v>
      </c>
      <c r="BG221" s="1">
        <v>3.4408873423227488</v>
      </c>
      <c r="BH221" s="1">
        <v>25.631481536926145</v>
      </c>
      <c r="BI221" s="1">
        <v>2.0284200000000001</v>
      </c>
      <c r="BJ221" s="416">
        <v>0.10568096765679909</v>
      </c>
      <c r="BK221" s="1" t="s">
        <v>1126</v>
      </c>
      <c r="BL221" s="1" t="s">
        <v>1135</v>
      </c>
    </row>
    <row r="222" spans="1:64" s="2" customFormat="1" ht="20.25" customHeight="1" thickBot="1" x14ac:dyDescent="0.35">
      <c r="A222" s="311" t="s">
        <v>566</v>
      </c>
      <c r="B222" s="2" t="s">
        <v>81</v>
      </c>
      <c r="C222" s="312" t="s">
        <v>567</v>
      </c>
      <c r="D222" s="312" t="s">
        <v>1241</v>
      </c>
      <c r="E222" s="2" t="s">
        <v>593</v>
      </c>
      <c r="F222" s="2" t="s">
        <v>241</v>
      </c>
      <c r="G222" s="2" t="s">
        <v>640</v>
      </c>
      <c r="H222" s="2" t="s">
        <v>641</v>
      </c>
      <c r="I222" s="2" t="s">
        <v>83</v>
      </c>
      <c r="J222" s="312" t="s">
        <v>592</v>
      </c>
      <c r="K222" s="312"/>
      <c r="L222" s="313">
        <v>44867</v>
      </c>
      <c r="M222" s="314">
        <v>44882</v>
      </c>
      <c r="N222" s="2">
        <v>9.1300000000000008</v>
      </c>
      <c r="O222" s="2">
        <v>0.4</v>
      </c>
      <c r="U222" s="356">
        <f>O222*12.43</f>
        <v>4.9720000000000004</v>
      </c>
      <c r="V222" s="356"/>
      <c r="W222" s="356">
        <f t="shared" si="71"/>
        <v>8.0055599999999991</v>
      </c>
      <c r="X222" s="305">
        <v>22</v>
      </c>
      <c r="Y222" s="305">
        <v>26</v>
      </c>
      <c r="Z222" s="305">
        <v>52</v>
      </c>
      <c r="AA222" s="239" t="s">
        <v>885</v>
      </c>
      <c r="AB222" s="239" t="s">
        <v>880</v>
      </c>
      <c r="AC222" s="2">
        <v>0.74399999999999999</v>
      </c>
      <c r="AD222" s="2">
        <v>5.4699999999999999E-2</v>
      </c>
      <c r="AE222" s="305">
        <v>47.25</v>
      </c>
      <c r="AF222" s="315">
        <v>593.73</v>
      </c>
      <c r="AG222" s="436">
        <v>1081</v>
      </c>
      <c r="AH222" s="30">
        <v>801.99390000000005</v>
      </c>
      <c r="AI222" s="436">
        <v>7722</v>
      </c>
      <c r="AJ222" s="30">
        <v>5518.9134000000004</v>
      </c>
      <c r="AK222" s="436">
        <v>522</v>
      </c>
      <c r="AL222" s="30">
        <v>314.76599999999996</v>
      </c>
      <c r="AM222" s="238">
        <v>14.849600975239975</v>
      </c>
      <c r="AN222" s="339" t="s">
        <v>999</v>
      </c>
      <c r="AO222" s="2">
        <v>0.6</v>
      </c>
      <c r="AP222" s="2">
        <v>0.74</v>
      </c>
      <c r="AQ222" s="2">
        <v>0.51</v>
      </c>
      <c r="AR222" s="2">
        <v>0.33</v>
      </c>
      <c r="AS222" s="316" t="s">
        <v>830</v>
      </c>
      <c r="AT222" s="316">
        <v>33.979999999999997</v>
      </c>
      <c r="AU222" s="317">
        <v>238.86</v>
      </c>
      <c r="AV222" s="2">
        <v>0.45</v>
      </c>
      <c r="AW222" s="448">
        <v>7.1099958176495184</v>
      </c>
      <c r="AX222" s="318"/>
      <c r="AY222" s="319"/>
      <c r="AZ222" s="2">
        <v>1.2603475703324807</v>
      </c>
      <c r="BA222" s="2">
        <v>3.4869300000000005</v>
      </c>
      <c r="BB222" s="2">
        <v>27.578571428571429</v>
      </c>
      <c r="BC222" s="2">
        <v>2.5906666666666665</v>
      </c>
      <c r="BD222" s="2">
        <v>0.89779267064037638</v>
      </c>
      <c r="BE222" s="2" t="s">
        <v>1125</v>
      </c>
      <c r="BF222" s="2">
        <v>1.2604994194373402</v>
      </c>
      <c r="BG222" s="2">
        <v>3.4795128316659412</v>
      </c>
      <c r="BH222" s="2">
        <v>27.539488023952096</v>
      </c>
      <c r="BI222" s="2">
        <v>1.8478800000000002</v>
      </c>
      <c r="BJ222" s="417">
        <v>0.1019566343394137</v>
      </c>
      <c r="BK222" s="2" t="s">
        <v>1126</v>
      </c>
      <c r="BL222" s="2" t="s">
        <v>1135</v>
      </c>
    </row>
    <row r="223" spans="1:64" s="2" customFormat="1" ht="20.25" customHeight="1" thickBot="1" x14ac:dyDescent="0.35">
      <c r="A223" s="311" t="s">
        <v>568</v>
      </c>
      <c r="B223" s="2" t="s">
        <v>81</v>
      </c>
      <c r="C223" s="312" t="s">
        <v>569</v>
      </c>
      <c r="D223" s="312" t="s">
        <v>1240</v>
      </c>
      <c r="E223" s="2" t="s">
        <v>594</v>
      </c>
      <c r="F223" s="2" t="s">
        <v>595</v>
      </c>
      <c r="G223" s="2" t="s">
        <v>642</v>
      </c>
      <c r="H223" s="2" t="s">
        <v>643</v>
      </c>
      <c r="I223" s="2" t="s">
        <v>83</v>
      </c>
      <c r="J223" s="312" t="s">
        <v>592</v>
      </c>
      <c r="K223" s="312"/>
      <c r="L223" s="313">
        <v>44867</v>
      </c>
      <c r="M223" s="314">
        <v>44882</v>
      </c>
      <c r="N223" s="2">
        <v>8.3800000000000008</v>
      </c>
      <c r="O223" s="2">
        <v>1.1599999999999999</v>
      </c>
      <c r="R223" s="2">
        <v>7.024</v>
      </c>
      <c r="S223" s="29">
        <f>LOG10(O223)</f>
        <v>6.445798922691845E-2</v>
      </c>
      <c r="T223" s="29">
        <f>LOG10(R223)</f>
        <v>0.8465845028980461</v>
      </c>
      <c r="U223" s="356">
        <f>O223*5.25</f>
        <v>6.09</v>
      </c>
      <c r="V223" s="363">
        <f t="shared" ref="V223:V226" si="72">5.3954*O223+8.0586</f>
        <v>14.317264000000002</v>
      </c>
      <c r="W223" s="363">
        <f t="shared" ref="W223:W226" si="73">O223*5.8798</f>
        <v>6.8205679999999997</v>
      </c>
      <c r="X223" s="305">
        <v>50</v>
      </c>
      <c r="Y223" s="305">
        <v>36</v>
      </c>
      <c r="Z223" s="305">
        <v>14</v>
      </c>
      <c r="AA223" s="239" t="s">
        <v>876</v>
      </c>
      <c r="AB223" s="239" t="s">
        <v>877</v>
      </c>
      <c r="AC223" s="2">
        <v>1.5569999999999999</v>
      </c>
      <c r="AD223" s="2">
        <v>0.1129</v>
      </c>
      <c r="AE223" s="305">
        <v>71.16</v>
      </c>
      <c r="AF223" s="315">
        <v>1375.23</v>
      </c>
      <c r="AG223" s="436">
        <v>1923</v>
      </c>
      <c r="AH223" s="30">
        <v>1426.6737000000001</v>
      </c>
      <c r="AI223" s="436">
        <v>10649</v>
      </c>
      <c r="AJ223" s="30">
        <v>7610.8402999999998</v>
      </c>
      <c r="AK223" s="436">
        <v>1184</v>
      </c>
      <c r="AL223" s="30">
        <v>713.952</v>
      </c>
      <c r="AM223" s="238">
        <v>22.113269037518464</v>
      </c>
      <c r="AN223" s="339" t="s">
        <v>999</v>
      </c>
      <c r="AO223" s="2">
        <v>2.34</v>
      </c>
      <c r="AP223" s="2">
        <v>6.4</v>
      </c>
      <c r="AQ223" s="2">
        <v>3.28</v>
      </c>
      <c r="AR223" s="2">
        <v>0.62</v>
      </c>
      <c r="AS223" s="316" t="s">
        <v>830</v>
      </c>
      <c r="AT223" s="316">
        <v>28.33</v>
      </c>
      <c r="AU223" s="317">
        <v>1076.44</v>
      </c>
      <c r="AV223" s="2">
        <v>0.53</v>
      </c>
      <c r="AW223" s="448">
        <v>9.1438071487946786</v>
      </c>
      <c r="AX223" s="318"/>
      <c r="AY223" s="319"/>
      <c r="AZ223" s="2">
        <v>2.9192861892583122</v>
      </c>
      <c r="BA223" s="2">
        <v>6.2029291304347831</v>
      </c>
      <c r="BB223" s="2">
        <v>38.032142857142858</v>
      </c>
      <c r="BC223" s="2">
        <v>5.8761481481481486</v>
      </c>
      <c r="BD223" s="2">
        <v>1.3238493002195029</v>
      </c>
      <c r="BE223" s="2" t="s">
        <v>1125</v>
      </c>
      <c r="BF223" s="2">
        <v>2.9196379104859331</v>
      </c>
      <c r="BG223" s="2">
        <v>6.1897346672466291</v>
      </c>
      <c r="BH223" s="2">
        <v>37.978245009980036</v>
      </c>
      <c r="BI223" s="2">
        <v>4.1913600000000004</v>
      </c>
      <c r="BJ223" s="417">
        <v>0.12070706083519506</v>
      </c>
      <c r="BK223" s="2" t="s">
        <v>1126</v>
      </c>
      <c r="BL223" s="2" t="s">
        <v>1136</v>
      </c>
    </row>
    <row r="224" spans="1:64" s="2" customFormat="1" ht="20.25" customHeight="1" thickBot="1" x14ac:dyDescent="0.35">
      <c r="A224" s="311" t="s">
        <v>570</v>
      </c>
      <c r="B224" s="2" t="s">
        <v>81</v>
      </c>
      <c r="C224" s="312" t="s">
        <v>571</v>
      </c>
      <c r="D224" s="312" t="s">
        <v>1241</v>
      </c>
      <c r="E224" s="2" t="s">
        <v>594</v>
      </c>
      <c r="F224" s="2" t="s">
        <v>595</v>
      </c>
      <c r="G224" s="2" t="s">
        <v>642</v>
      </c>
      <c r="H224" s="2" t="s">
        <v>643</v>
      </c>
      <c r="I224" s="2" t="s">
        <v>83</v>
      </c>
      <c r="J224" s="312" t="s">
        <v>592</v>
      </c>
      <c r="K224" s="312"/>
      <c r="L224" s="313">
        <v>44867</v>
      </c>
      <c r="M224" s="314">
        <v>44882</v>
      </c>
      <c r="N224" s="2">
        <v>8.2100000000000009</v>
      </c>
      <c r="O224" s="2">
        <v>2.5499999999999998</v>
      </c>
      <c r="U224" s="356">
        <f t="shared" ref="U224:U226" si="74">O224*5.25</f>
        <v>13.387499999999999</v>
      </c>
      <c r="V224" s="363">
        <f t="shared" si="72"/>
        <v>21.816870000000002</v>
      </c>
      <c r="W224" s="363">
        <f t="shared" si="73"/>
        <v>14.99349</v>
      </c>
      <c r="X224" s="305">
        <v>48</v>
      </c>
      <c r="Y224" s="305">
        <v>34</v>
      </c>
      <c r="Z224" s="305">
        <v>18</v>
      </c>
      <c r="AA224" s="239" t="s">
        <v>876</v>
      </c>
      <c r="AB224" s="239" t="s">
        <v>877</v>
      </c>
      <c r="AC224" s="2">
        <v>1.577</v>
      </c>
      <c r="AD224" s="2">
        <v>0.1143</v>
      </c>
      <c r="AE224" s="305">
        <v>55.75</v>
      </c>
      <c r="AF224" s="315">
        <v>1374.7</v>
      </c>
      <c r="AG224" s="436">
        <v>3231</v>
      </c>
      <c r="AH224" s="30">
        <v>2397.0789</v>
      </c>
      <c r="AI224" s="436">
        <v>10125</v>
      </c>
      <c r="AJ224" s="30">
        <v>7236.3374999999996</v>
      </c>
      <c r="AK224" s="436">
        <v>1557</v>
      </c>
      <c r="AL224" s="30">
        <v>938.87099999999998</v>
      </c>
      <c r="AM224" s="238">
        <v>37.492802840534182</v>
      </c>
      <c r="AN224" s="339" t="s">
        <v>999</v>
      </c>
      <c r="AO224" s="2">
        <v>1.64</v>
      </c>
      <c r="AP224" s="2">
        <v>2.88</v>
      </c>
      <c r="AQ224" s="2">
        <v>1.0900000000000001</v>
      </c>
      <c r="AR224" s="2">
        <v>0.74</v>
      </c>
      <c r="AS224" s="316">
        <v>1.56</v>
      </c>
      <c r="AT224" s="316">
        <v>63.28</v>
      </c>
      <c r="AU224" s="317">
        <v>3685.27</v>
      </c>
      <c r="AV224" s="2">
        <v>0.56000000000000005</v>
      </c>
      <c r="AW224" s="448">
        <v>6.1535252398831872</v>
      </c>
      <c r="AX224" s="318"/>
      <c r="AY224" s="319"/>
      <c r="AZ224" s="2">
        <v>2.9181611253196929</v>
      </c>
      <c r="BA224" s="2">
        <v>10.422082173913044</v>
      </c>
      <c r="BB224" s="2">
        <v>36.160714285714285</v>
      </c>
      <c r="BC224" s="2">
        <v>7.7273333333333332</v>
      </c>
      <c r="BD224" s="2">
        <v>2.2248275829147937</v>
      </c>
      <c r="BE224" s="2" t="s">
        <v>1125</v>
      </c>
      <c r="BF224" s="2">
        <v>2.918512710997442</v>
      </c>
      <c r="BG224" s="2">
        <v>10.399913005654632</v>
      </c>
      <c r="BH224" s="2">
        <v>36.109468562874248</v>
      </c>
      <c r="BI224" s="2">
        <v>5.5117799999999999</v>
      </c>
      <c r="BJ224" s="417">
        <v>0.18929695419636364</v>
      </c>
      <c r="BK224" s="2" t="s">
        <v>1127</v>
      </c>
      <c r="BL224" s="2" t="s">
        <v>1136</v>
      </c>
    </row>
    <row r="225" spans="1:64" s="2" customFormat="1" ht="20.25" customHeight="1" thickBot="1" x14ac:dyDescent="0.35">
      <c r="A225" s="311" t="s">
        <v>572</v>
      </c>
      <c r="B225" s="2" t="s">
        <v>81</v>
      </c>
      <c r="C225" s="312" t="s">
        <v>573</v>
      </c>
      <c r="D225" s="312" t="s">
        <v>1240</v>
      </c>
      <c r="G225" s="2" t="s">
        <v>644</v>
      </c>
      <c r="H225" s="2" t="s">
        <v>645</v>
      </c>
      <c r="I225" s="2" t="s">
        <v>89</v>
      </c>
      <c r="J225" s="312" t="s">
        <v>592</v>
      </c>
      <c r="K225" s="312"/>
      <c r="L225" s="313">
        <v>44867</v>
      </c>
      <c r="M225" s="314">
        <v>44882</v>
      </c>
      <c r="N225" s="2">
        <v>8.09</v>
      </c>
      <c r="O225" s="2">
        <v>2.36</v>
      </c>
      <c r="R225" s="2">
        <v>11.54</v>
      </c>
      <c r="S225" s="29">
        <f>LOG10(O225)</f>
        <v>0.37291200297010657</v>
      </c>
      <c r="T225" s="29">
        <f>LOG10(R225)</f>
        <v>1.0622058088197126</v>
      </c>
      <c r="U225" s="356">
        <f t="shared" si="74"/>
        <v>12.389999999999999</v>
      </c>
      <c r="V225" s="363">
        <f t="shared" si="72"/>
        <v>20.791744000000001</v>
      </c>
      <c r="W225" s="363">
        <f t="shared" si="73"/>
        <v>13.876328000000001</v>
      </c>
      <c r="X225" s="305">
        <v>62</v>
      </c>
      <c r="Y225" s="305">
        <v>30</v>
      </c>
      <c r="Z225" s="305">
        <v>8</v>
      </c>
      <c r="AA225" s="239" t="s">
        <v>876</v>
      </c>
      <c r="AB225" s="239" t="s">
        <v>877</v>
      </c>
      <c r="AC225" s="2">
        <v>2.266</v>
      </c>
      <c r="AD225" s="2">
        <v>0.1636</v>
      </c>
      <c r="AE225" s="305">
        <v>155.15</v>
      </c>
      <c r="AF225" s="315">
        <v>1445.2</v>
      </c>
      <c r="AG225" s="436">
        <v>2008</v>
      </c>
      <c r="AH225" s="30">
        <v>1489.7352000000001</v>
      </c>
      <c r="AI225" s="436">
        <v>9153</v>
      </c>
      <c r="AJ225" s="30">
        <v>6541.6490999999996</v>
      </c>
      <c r="AK225" s="436">
        <v>1790</v>
      </c>
      <c r="AL225" s="30">
        <v>1079.3699999999999</v>
      </c>
      <c r="AM225" s="238">
        <v>24.133346718492113</v>
      </c>
      <c r="AN225" s="339" t="s">
        <v>999</v>
      </c>
      <c r="AO225" s="2">
        <v>2.0099999999999998</v>
      </c>
      <c r="AP225" s="2">
        <v>1.84</v>
      </c>
      <c r="AQ225" s="2">
        <v>2.09</v>
      </c>
      <c r="AR225" s="2">
        <v>1.29</v>
      </c>
      <c r="AS225" s="316" t="s">
        <v>830</v>
      </c>
      <c r="AT225" s="316">
        <v>31.64</v>
      </c>
      <c r="AU225" s="317">
        <v>4000.36</v>
      </c>
      <c r="AV225" s="2">
        <v>1.08</v>
      </c>
      <c r="AW225" s="448">
        <v>2.0055710306406684</v>
      </c>
      <c r="AX225" s="318"/>
      <c r="AY225" s="319"/>
      <c r="AZ225" s="2">
        <v>3.0678158567774938</v>
      </c>
      <c r="BA225" s="2">
        <v>6.4771095652173916</v>
      </c>
      <c r="BB225" s="2">
        <v>32.689285714285717</v>
      </c>
      <c r="BC225" s="2">
        <v>8.8837037037037021</v>
      </c>
      <c r="BD225" s="2">
        <v>1.4206615090865586</v>
      </c>
      <c r="BE225" s="2" t="s">
        <v>1125</v>
      </c>
      <c r="BF225" s="2">
        <v>3.0681854731457796</v>
      </c>
      <c r="BG225" s="2">
        <v>6.4633318834275775</v>
      </c>
      <c r="BH225" s="2">
        <v>32.642959580838323</v>
      </c>
      <c r="BI225" s="2">
        <v>6.3366000000000007</v>
      </c>
      <c r="BJ225" s="417">
        <v>0.13323414550797291</v>
      </c>
      <c r="BK225" s="2" t="s">
        <v>1126</v>
      </c>
      <c r="BL225" s="2" t="s">
        <v>1136</v>
      </c>
    </row>
    <row r="226" spans="1:64" s="2" customFormat="1" ht="20.25" customHeight="1" thickBot="1" x14ac:dyDescent="0.35">
      <c r="A226" s="311" t="s">
        <v>574</v>
      </c>
      <c r="B226" s="2" t="s">
        <v>81</v>
      </c>
      <c r="C226" s="312" t="s">
        <v>575</v>
      </c>
      <c r="D226" s="312" t="s">
        <v>1241</v>
      </c>
      <c r="G226" s="2" t="s">
        <v>644</v>
      </c>
      <c r="H226" s="2" t="s">
        <v>645</v>
      </c>
      <c r="I226" s="2" t="s">
        <v>89</v>
      </c>
      <c r="J226" s="312" t="s">
        <v>592</v>
      </c>
      <c r="K226" s="312"/>
      <c r="L226" s="313">
        <v>44867</v>
      </c>
      <c r="M226" s="314">
        <v>44882</v>
      </c>
      <c r="N226" s="2">
        <v>8.1999999999999993</v>
      </c>
      <c r="O226" s="2">
        <v>4.99</v>
      </c>
      <c r="U226" s="356">
        <f t="shared" si="74"/>
        <v>26.197500000000002</v>
      </c>
      <c r="V226" s="363">
        <f t="shared" si="72"/>
        <v>34.981646000000005</v>
      </c>
      <c r="W226" s="363">
        <f t="shared" si="73"/>
        <v>29.340202000000001</v>
      </c>
      <c r="X226" s="305">
        <v>52</v>
      </c>
      <c r="Y226" s="305">
        <v>22</v>
      </c>
      <c r="Z226" s="305">
        <v>26</v>
      </c>
      <c r="AA226" s="239" t="s">
        <v>876</v>
      </c>
      <c r="AB226" s="239" t="s">
        <v>877</v>
      </c>
      <c r="AC226" s="2">
        <v>0.85399999999999998</v>
      </c>
      <c r="AD226" s="2">
        <v>6.2600000000000003E-2</v>
      </c>
      <c r="AE226" s="305">
        <v>46.35</v>
      </c>
      <c r="AF226" s="315">
        <v>1553.56</v>
      </c>
      <c r="AG226" s="436">
        <v>6345</v>
      </c>
      <c r="AH226" s="30">
        <v>4707.3554999999997</v>
      </c>
      <c r="AI226" s="436">
        <v>7775</v>
      </c>
      <c r="AJ226" s="30">
        <v>5556.7924999999996</v>
      </c>
      <c r="AK226" s="436">
        <v>2154</v>
      </c>
      <c r="AL226" s="30">
        <v>1298.8619999999999</v>
      </c>
      <c r="AM226" s="238">
        <v>80.402126275323681</v>
      </c>
      <c r="AN226" s="339" t="s">
        <v>997</v>
      </c>
      <c r="AO226" s="2">
        <v>0.98</v>
      </c>
      <c r="AP226" s="2">
        <v>0.36</v>
      </c>
      <c r="AQ226" s="2">
        <v>0.42</v>
      </c>
      <c r="AR226" s="2">
        <v>0.74</v>
      </c>
      <c r="AS226" s="316" t="s">
        <v>830</v>
      </c>
      <c r="AT226" s="316">
        <v>12.51</v>
      </c>
      <c r="AU226" s="317">
        <v>5179.87</v>
      </c>
      <c r="AV226" s="2">
        <v>0.56999999999999995</v>
      </c>
      <c r="AW226" s="448">
        <v>3.1618360837609205</v>
      </c>
      <c r="AX226" s="318"/>
      <c r="AY226" s="319"/>
      <c r="AZ226" s="2">
        <v>3.2978383631713553</v>
      </c>
      <c r="BA226" s="2">
        <v>20.466763043478259</v>
      </c>
      <c r="BB226" s="2">
        <v>27.767857142857146</v>
      </c>
      <c r="BC226" s="2">
        <v>10.69022222222222</v>
      </c>
      <c r="BD226" s="2">
        <v>4.6673499379968391</v>
      </c>
      <c r="BE226" s="2" t="s">
        <v>1125</v>
      </c>
      <c r="BF226" s="2">
        <v>3.2982356930946293</v>
      </c>
      <c r="BG226" s="2">
        <v>20.423227490213137</v>
      </c>
      <c r="BH226" s="2">
        <v>27.728505489021952</v>
      </c>
      <c r="BI226" s="2">
        <v>7.6251600000000002</v>
      </c>
      <c r="BJ226" s="417">
        <v>0.34571617445802028</v>
      </c>
      <c r="BK226" s="2" t="s">
        <v>1130</v>
      </c>
      <c r="BL226" s="2" t="s">
        <v>1136</v>
      </c>
    </row>
    <row r="227" spans="1:64" s="2" customFormat="1" ht="20.25" customHeight="1" thickBot="1" x14ac:dyDescent="0.35">
      <c r="A227" s="311" t="s">
        <v>576</v>
      </c>
      <c r="B227" s="2" t="s">
        <v>81</v>
      </c>
      <c r="C227" s="312" t="s">
        <v>577</v>
      </c>
      <c r="D227" s="312" t="s">
        <v>1240</v>
      </c>
      <c r="E227" s="2" t="s">
        <v>363</v>
      </c>
      <c r="F227" s="2" t="s">
        <v>596</v>
      </c>
      <c r="G227" s="2" t="s">
        <v>646</v>
      </c>
      <c r="H227" s="2" t="s">
        <v>647</v>
      </c>
      <c r="J227" s="312" t="s">
        <v>592</v>
      </c>
      <c r="K227" s="312"/>
      <c r="L227" s="313">
        <v>44867</v>
      </c>
      <c r="M227" s="314">
        <v>44882</v>
      </c>
      <c r="N227" s="2">
        <v>9.0399999999999991</v>
      </c>
      <c r="O227" s="2">
        <v>0.42</v>
      </c>
      <c r="R227" s="2">
        <v>3.17</v>
      </c>
      <c r="S227" s="29">
        <f>LOG10(O227)</f>
        <v>-0.37675070960209955</v>
      </c>
      <c r="T227" s="29">
        <f>LOG10(R227)</f>
        <v>0.50105926221775143</v>
      </c>
      <c r="U227" s="356">
        <f>10.92*O227</f>
        <v>4.5863999999999994</v>
      </c>
      <c r="V227" s="356">
        <f>9.5459*O227+2.1572</f>
        <v>6.1664779999999997</v>
      </c>
      <c r="W227" s="356">
        <f>9.7271*O227</f>
        <v>4.0853820000000001</v>
      </c>
      <c r="X227" s="305">
        <v>26</v>
      </c>
      <c r="Y227" s="305">
        <v>34</v>
      </c>
      <c r="Z227" s="305">
        <v>40</v>
      </c>
      <c r="AA227" s="239" t="s">
        <v>883</v>
      </c>
      <c r="AB227" s="239" t="s">
        <v>888</v>
      </c>
      <c r="AC227" s="2">
        <v>1.798</v>
      </c>
      <c r="AD227" s="2">
        <v>0.13009999999999999</v>
      </c>
      <c r="AE227" s="305">
        <v>99.58</v>
      </c>
      <c r="AF227" s="315">
        <v>1244.3599999999999</v>
      </c>
      <c r="AG227" s="436">
        <v>723</v>
      </c>
      <c r="AH227" s="30">
        <v>536.39369999999997</v>
      </c>
      <c r="AI227" s="436">
        <v>6068</v>
      </c>
      <c r="AJ227" s="30">
        <v>4336.7996000000003</v>
      </c>
      <c r="AK227" s="436">
        <v>1243</v>
      </c>
      <c r="AL227" s="30">
        <v>749.529</v>
      </c>
      <c r="AM227" s="238">
        <v>10.636444029923013</v>
      </c>
      <c r="AN227" s="238" t="s">
        <v>1000</v>
      </c>
      <c r="AO227" s="2">
        <v>0.6</v>
      </c>
      <c r="AP227" s="2">
        <v>1.57</v>
      </c>
      <c r="AQ227" s="2">
        <v>0.55000000000000004</v>
      </c>
      <c r="AR227" s="2">
        <v>0.87</v>
      </c>
      <c r="AS227" s="316" t="s">
        <v>830</v>
      </c>
      <c r="AT227" s="316">
        <v>0.28000000000000003</v>
      </c>
      <c r="AU227" s="317">
        <v>249.91</v>
      </c>
      <c r="AV227" s="2">
        <v>0.48</v>
      </c>
      <c r="AW227" s="448">
        <v>4.3902439024390247</v>
      </c>
      <c r="AX227" s="318"/>
      <c r="AY227" s="319"/>
      <c r="AZ227" s="2">
        <v>2.6414803069053701</v>
      </c>
      <c r="BA227" s="2">
        <v>2.3321465217391304</v>
      </c>
      <c r="BB227" s="2">
        <v>21.671428571428571</v>
      </c>
      <c r="BC227" s="2">
        <v>6.1689629629629623</v>
      </c>
      <c r="BD227" s="2">
        <v>0.62507648431905771</v>
      </c>
      <c r="BE227" s="2" t="s">
        <v>1125</v>
      </c>
      <c r="BF227" s="2">
        <v>2.6417985575447567</v>
      </c>
      <c r="BG227" s="2">
        <v>2.3271857329273598</v>
      </c>
      <c r="BH227" s="2">
        <v>21.640716566866267</v>
      </c>
      <c r="BI227" s="2">
        <v>4.40022</v>
      </c>
      <c r="BJ227" s="417">
        <v>7.5046490561314669E-2</v>
      </c>
      <c r="BK227" s="2" t="s">
        <v>1126</v>
      </c>
      <c r="BL227" s="2" t="s">
        <v>1135</v>
      </c>
    </row>
    <row r="228" spans="1:64" s="2" customFormat="1" ht="20.25" customHeight="1" thickBot="1" x14ac:dyDescent="0.35">
      <c r="A228" s="311" t="s">
        <v>578</v>
      </c>
      <c r="B228" s="2" t="s">
        <v>81</v>
      </c>
      <c r="C228" s="312" t="s">
        <v>579</v>
      </c>
      <c r="D228" s="312" t="s">
        <v>1241</v>
      </c>
      <c r="E228" s="2" t="s">
        <v>363</v>
      </c>
      <c r="F228" s="2" t="s">
        <v>596</v>
      </c>
      <c r="G228" s="2" t="s">
        <v>646</v>
      </c>
      <c r="H228" s="2" t="s">
        <v>647</v>
      </c>
      <c r="J228" s="312" t="s">
        <v>592</v>
      </c>
      <c r="K228" s="312"/>
      <c r="L228" s="313">
        <v>44867</v>
      </c>
      <c r="M228" s="314">
        <v>44882</v>
      </c>
      <c r="N228" s="2">
        <v>8.94</v>
      </c>
      <c r="O228" s="2">
        <v>0.28000000000000003</v>
      </c>
      <c r="U228" s="356">
        <f>O228*9.63</f>
        <v>2.6964000000000006</v>
      </c>
      <c r="V228" s="354">
        <f>9.0013*O228+4.2416</f>
        <v>6.7619640000000008</v>
      </c>
      <c r="W228" s="354">
        <f>9.347*O228</f>
        <v>2.6171600000000002</v>
      </c>
      <c r="X228" s="305">
        <v>34</v>
      </c>
      <c r="Y228" s="305">
        <v>32</v>
      </c>
      <c r="Z228" s="305">
        <v>34</v>
      </c>
      <c r="AA228" s="239" t="s">
        <v>882</v>
      </c>
      <c r="AB228" s="239" t="s">
        <v>878</v>
      </c>
      <c r="AC228" s="2">
        <v>1.262</v>
      </c>
      <c r="AD228" s="2">
        <v>9.1800000000000007E-2</v>
      </c>
      <c r="AE228" s="305">
        <v>45.27</v>
      </c>
      <c r="AF228" s="315">
        <v>1006.38</v>
      </c>
      <c r="AG228" s="436">
        <v>775</v>
      </c>
      <c r="AH228" s="30">
        <v>574.97249999999997</v>
      </c>
      <c r="AI228" s="436">
        <v>8926</v>
      </c>
      <c r="AJ228" s="30">
        <v>6379.4121999999998</v>
      </c>
      <c r="AK228" s="436">
        <v>1745</v>
      </c>
      <c r="AL228" s="30">
        <v>1052.2349999999999</v>
      </c>
      <c r="AM228" s="238">
        <v>9.4323417853448817</v>
      </c>
      <c r="AN228" s="238" t="s">
        <v>1000</v>
      </c>
      <c r="AO228" s="2">
        <v>0.9</v>
      </c>
      <c r="AP228" s="2">
        <v>1.7</v>
      </c>
      <c r="AQ228" s="2">
        <v>0.84</v>
      </c>
      <c r="AR228" s="2">
        <v>0.54</v>
      </c>
      <c r="AS228" s="316" t="s">
        <v>830</v>
      </c>
      <c r="AT228" s="316">
        <v>1.75</v>
      </c>
      <c r="AU228" s="317">
        <v>104.73</v>
      </c>
      <c r="AV228" s="2">
        <v>0.5</v>
      </c>
      <c r="AW228" s="448">
        <v>2.2597293904310227</v>
      </c>
      <c r="AX228" s="318"/>
      <c r="AY228" s="319"/>
      <c r="AZ228" s="2">
        <v>2.1363053708439894</v>
      </c>
      <c r="BA228" s="2">
        <v>2.4998804347826082</v>
      </c>
      <c r="BB228" s="2">
        <v>31.878571428571426</v>
      </c>
      <c r="BC228" s="2">
        <v>8.6603703703703694</v>
      </c>
      <c r="BD228" s="2">
        <v>0.5552621002008562</v>
      </c>
      <c r="BE228" s="2" t="s">
        <v>1125</v>
      </c>
      <c r="BF228" s="2">
        <v>2.1365627570332482</v>
      </c>
      <c r="BG228" s="2">
        <v>2.4945628534145281</v>
      </c>
      <c r="BH228" s="2">
        <v>31.833394211576845</v>
      </c>
      <c r="BI228" s="2">
        <v>6.1773000000000007</v>
      </c>
      <c r="BJ228" s="417">
        <v>5.8500384454185025E-2</v>
      </c>
      <c r="BK228" s="2" t="s">
        <v>1126</v>
      </c>
      <c r="BL228" s="2" t="s">
        <v>1135</v>
      </c>
    </row>
    <row r="229" spans="1:64" s="2" customFormat="1" ht="20.25" customHeight="1" thickBot="1" x14ac:dyDescent="0.35">
      <c r="A229" s="311" t="s">
        <v>580</v>
      </c>
      <c r="B229" s="2" t="s">
        <v>81</v>
      </c>
      <c r="C229" s="312" t="s">
        <v>581</v>
      </c>
      <c r="D229" s="312" t="s">
        <v>1240</v>
      </c>
      <c r="E229" s="2" t="s">
        <v>597</v>
      </c>
      <c r="F229" s="2" t="s">
        <v>598</v>
      </c>
      <c r="G229" s="2" t="s">
        <v>648</v>
      </c>
      <c r="H229" s="2" t="s">
        <v>649</v>
      </c>
      <c r="J229" s="312" t="s">
        <v>592</v>
      </c>
      <c r="K229" s="312"/>
      <c r="L229" s="313">
        <v>44867</v>
      </c>
      <c r="M229" s="314">
        <v>44882</v>
      </c>
      <c r="N229" s="2">
        <v>8.6999999999999993</v>
      </c>
      <c r="O229" s="2">
        <v>0.16</v>
      </c>
      <c r="R229" s="2">
        <v>0.63</v>
      </c>
      <c r="S229" s="29">
        <f>LOG10(O229)</f>
        <v>-0.79588001734407521</v>
      </c>
      <c r="T229" s="29">
        <f>LOG10(R229)</f>
        <v>-0.20065945054641829</v>
      </c>
      <c r="U229" s="356">
        <f>10.92*O229</f>
        <v>1.7472000000000001</v>
      </c>
      <c r="V229" s="356">
        <f>9.5459*O229+2.1572</f>
        <v>3.6845439999999998</v>
      </c>
      <c r="W229" s="356">
        <f>9.7271*O229</f>
        <v>1.5563359999999999</v>
      </c>
      <c r="X229" s="305">
        <v>26</v>
      </c>
      <c r="Y229" s="305">
        <v>40</v>
      </c>
      <c r="Z229" s="305">
        <v>34</v>
      </c>
      <c r="AA229" s="239" t="s">
        <v>883</v>
      </c>
      <c r="AB229" s="239" t="s">
        <v>888</v>
      </c>
      <c r="AC229" s="2">
        <v>1.677</v>
      </c>
      <c r="AD229" s="2">
        <v>0.1215</v>
      </c>
      <c r="AE229" s="305">
        <v>106.11</v>
      </c>
      <c r="AF229" s="315">
        <v>753.05</v>
      </c>
      <c r="AG229" s="436">
        <v>81</v>
      </c>
      <c r="AH229" s="30">
        <v>60.093899999999998</v>
      </c>
      <c r="AI229" s="436">
        <v>7108</v>
      </c>
      <c r="AJ229" s="30">
        <v>5080.0875999999998</v>
      </c>
      <c r="AK229" s="436">
        <v>723</v>
      </c>
      <c r="AL229" s="30">
        <v>435.96899999999999</v>
      </c>
      <c r="AM229" s="238">
        <v>1.1442766369104427</v>
      </c>
      <c r="AN229" s="238" t="s">
        <v>1000</v>
      </c>
      <c r="AO229" s="2">
        <v>0.56999999999999995</v>
      </c>
      <c r="AP229" s="2">
        <v>3.28</v>
      </c>
      <c r="AQ229" s="2">
        <v>1.1100000000000001</v>
      </c>
      <c r="AR229" s="2">
        <v>0.69</v>
      </c>
      <c r="AS229" s="316" t="s">
        <v>830</v>
      </c>
      <c r="AT229" s="316" t="s">
        <v>562</v>
      </c>
      <c r="AU229" s="317">
        <v>25.740000000000002</v>
      </c>
      <c r="AV229" s="2">
        <v>0.89</v>
      </c>
      <c r="AW229" s="448">
        <v>6.6675927212112782</v>
      </c>
      <c r="AX229" s="318"/>
      <c r="AY229" s="319"/>
      <c r="AZ229" s="2">
        <v>1.5985460358056263</v>
      </c>
      <c r="BA229" s="2">
        <v>0.26127782608695649</v>
      </c>
      <c r="BB229" s="2">
        <v>25.385714285714283</v>
      </c>
      <c r="BC229" s="2">
        <v>3.588222222222222</v>
      </c>
      <c r="BD229" s="2">
        <v>6.8645772980665876E-2</v>
      </c>
      <c r="BE229" s="2" t="s">
        <v>1125</v>
      </c>
      <c r="BF229" s="2">
        <v>1.5987386317135548</v>
      </c>
      <c r="BG229" s="2">
        <v>0.26072205306655066</v>
      </c>
      <c r="BH229" s="2">
        <v>25.349738522954091</v>
      </c>
      <c r="BI229" s="2">
        <v>2.5594200000000003</v>
      </c>
      <c r="BJ229" s="417">
        <v>8.7582850668066047E-3</v>
      </c>
      <c r="BK229" s="2" t="s">
        <v>1126</v>
      </c>
      <c r="BL229" s="2" t="s">
        <v>1135</v>
      </c>
    </row>
    <row r="230" spans="1:64" s="2" customFormat="1" ht="20.25" customHeight="1" thickBot="1" x14ac:dyDescent="0.35">
      <c r="A230" s="311" t="s">
        <v>582</v>
      </c>
      <c r="B230" s="2" t="s">
        <v>81</v>
      </c>
      <c r="C230" s="312" t="s">
        <v>583</v>
      </c>
      <c r="D230" s="312" t="s">
        <v>1241</v>
      </c>
      <c r="E230" s="2" t="s">
        <v>597</v>
      </c>
      <c r="F230" s="2" t="s">
        <v>598</v>
      </c>
      <c r="G230" s="2" t="s">
        <v>648</v>
      </c>
      <c r="H230" s="2" t="s">
        <v>649</v>
      </c>
      <c r="J230" s="312" t="s">
        <v>592</v>
      </c>
      <c r="K230" s="312"/>
      <c r="L230" s="313">
        <v>44867</v>
      </c>
      <c r="M230" s="314">
        <v>44882</v>
      </c>
      <c r="N230" s="2">
        <v>8.32</v>
      </c>
      <c r="O230" s="2">
        <v>1.38</v>
      </c>
      <c r="U230" s="356">
        <f>O230*9.63</f>
        <v>13.289400000000001</v>
      </c>
      <c r="V230" s="354">
        <f>9.0013*O230+4.2416</f>
        <v>16.663394</v>
      </c>
      <c r="W230" s="354">
        <f>9.347*O230</f>
        <v>12.898859999999999</v>
      </c>
      <c r="X230" s="305">
        <v>28</v>
      </c>
      <c r="Y230" s="305">
        <v>34</v>
      </c>
      <c r="Z230" s="305">
        <v>38</v>
      </c>
      <c r="AA230" s="239" t="s">
        <v>882</v>
      </c>
      <c r="AB230" s="239" t="s">
        <v>878</v>
      </c>
      <c r="AC230" s="2">
        <v>1.577</v>
      </c>
      <c r="AD230" s="2">
        <v>0.1143</v>
      </c>
      <c r="AE230" s="305">
        <v>77.19</v>
      </c>
      <c r="AF230" s="315">
        <v>897.94</v>
      </c>
      <c r="AG230" s="436">
        <v>1054</v>
      </c>
      <c r="AH230" s="30">
        <v>781.96259999999995</v>
      </c>
      <c r="AI230" s="436">
        <v>7958</v>
      </c>
      <c r="AJ230" s="30">
        <v>5687.5825999999997</v>
      </c>
      <c r="AK230" s="436">
        <v>1309</v>
      </c>
      <c r="AL230" s="30">
        <v>789.327</v>
      </c>
      <c r="AM230" s="238">
        <v>13.740959577358318</v>
      </c>
      <c r="AN230" s="339" t="s">
        <v>999</v>
      </c>
      <c r="AO230" s="2">
        <v>0.91</v>
      </c>
      <c r="AP230" s="2">
        <v>5.74</v>
      </c>
      <c r="AQ230" s="2">
        <v>0.92</v>
      </c>
      <c r="AR230" s="2">
        <v>0.48</v>
      </c>
      <c r="AS230" s="316" t="s">
        <v>830</v>
      </c>
      <c r="AT230" s="316">
        <v>80.59</v>
      </c>
      <c r="AU230" s="317">
        <v>1295.6099999999999</v>
      </c>
      <c r="AV230" s="2">
        <v>0.86</v>
      </c>
      <c r="AW230" s="448">
        <v>6.041666666666667</v>
      </c>
      <c r="AX230" s="318"/>
      <c r="AY230" s="319"/>
      <c r="AZ230" s="2">
        <v>1.9061130434782609</v>
      </c>
      <c r="BA230" s="2">
        <v>3.3998373913043478</v>
      </c>
      <c r="BB230" s="2">
        <v>28.421428571428571</v>
      </c>
      <c r="BC230" s="2">
        <v>6.4965185185185179</v>
      </c>
      <c r="BD230" s="2">
        <v>0.81367091546683668</v>
      </c>
      <c r="BE230" s="2" t="s">
        <v>1125</v>
      </c>
      <c r="BF230" s="2">
        <v>1.9063426956521738</v>
      </c>
      <c r="BG230" s="2">
        <v>3.3926054806437582</v>
      </c>
      <c r="BH230" s="2">
        <v>28.381150698602791</v>
      </c>
      <c r="BI230" s="2">
        <v>4.6338600000000003</v>
      </c>
      <c r="BJ230" s="417">
        <v>8.8547505407132798E-2</v>
      </c>
      <c r="BK230" s="2" t="s">
        <v>1126</v>
      </c>
      <c r="BL230" s="2" t="s">
        <v>1136</v>
      </c>
    </row>
    <row r="231" spans="1:64" s="2" customFormat="1" ht="20.25" customHeight="1" thickBot="1" x14ac:dyDescent="0.35">
      <c r="A231" s="311" t="s">
        <v>584</v>
      </c>
      <c r="B231" s="2" t="s">
        <v>81</v>
      </c>
      <c r="C231" s="312" t="s">
        <v>585</v>
      </c>
      <c r="D231" s="312" t="s">
        <v>1240</v>
      </c>
      <c r="G231" s="2" t="s">
        <v>650</v>
      </c>
      <c r="H231" s="2" t="s">
        <v>599</v>
      </c>
      <c r="I231" s="2" t="s">
        <v>89</v>
      </c>
      <c r="J231" s="312" t="s">
        <v>592</v>
      </c>
      <c r="K231" s="312"/>
      <c r="L231" s="313">
        <v>44867</v>
      </c>
      <c r="M231" s="314">
        <v>44882</v>
      </c>
      <c r="N231" s="2">
        <v>8.6199999999999992</v>
      </c>
      <c r="O231" s="2">
        <v>0.1</v>
      </c>
      <c r="R231" s="2">
        <v>0.78800000000000003</v>
      </c>
      <c r="S231" s="29">
        <f>LOG10(O231)</f>
        <v>-1</v>
      </c>
      <c r="T231" s="29">
        <f>LOG10(R231)</f>
        <v>-0.10347378251044466</v>
      </c>
      <c r="U231" s="356">
        <f>10.92*O231</f>
        <v>1.0920000000000001</v>
      </c>
      <c r="V231" s="356">
        <f>9.5459*O231+2.1572</f>
        <v>3.1117900000000001</v>
      </c>
      <c r="W231" s="356">
        <f>9.7271*O231</f>
        <v>0.97271000000000007</v>
      </c>
      <c r="X231" s="305">
        <v>18</v>
      </c>
      <c r="Y231" s="305">
        <v>30</v>
      </c>
      <c r="Z231" s="305">
        <v>52</v>
      </c>
      <c r="AA231" s="239" t="s">
        <v>883</v>
      </c>
      <c r="AB231" s="239" t="s">
        <v>888</v>
      </c>
      <c r="AC231" s="2">
        <v>1.454</v>
      </c>
      <c r="AD231" s="2">
        <v>0.1055</v>
      </c>
      <c r="AE231" s="305">
        <v>57.23</v>
      </c>
      <c r="AF231" s="315">
        <v>601.53</v>
      </c>
      <c r="AG231" s="436">
        <v>41</v>
      </c>
      <c r="AH231" s="30">
        <v>30.417899999999999</v>
      </c>
      <c r="AI231" s="436">
        <v>3936</v>
      </c>
      <c r="AJ231" s="30">
        <v>2813.0592000000001</v>
      </c>
      <c r="AK231" s="436">
        <v>439</v>
      </c>
      <c r="AL231" s="30">
        <v>264.71699999999998</v>
      </c>
      <c r="AM231" s="238">
        <v>0.77539984014439123</v>
      </c>
      <c r="AN231" s="238" t="s">
        <v>1000</v>
      </c>
      <c r="AO231" s="2">
        <v>0.9</v>
      </c>
      <c r="AP231" s="2">
        <v>2.42</v>
      </c>
      <c r="AQ231" s="2">
        <v>3.46</v>
      </c>
      <c r="AR231" s="2">
        <v>0.7</v>
      </c>
      <c r="AS231" s="316" t="s">
        <v>830</v>
      </c>
      <c r="AT231" s="316">
        <v>9.64</v>
      </c>
      <c r="AU231" s="317">
        <v>86.17</v>
      </c>
      <c r="AV231" s="2">
        <v>0.87</v>
      </c>
      <c r="AW231" s="448">
        <v>1.6692168590902767</v>
      </c>
      <c r="AX231" s="318"/>
      <c r="AY231" s="319"/>
      <c r="AZ231" s="2">
        <v>1.2769051150895139</v>
      </c>
      <c r="BA231" s="2">
        <v>0.13225173913043478</v>
      </c>
      <c r="BB231" s="2">
        <v>14.057142857142859</v>
      </c>
      <c r="BC231" s="2">
        <v>2.1787407407407406</v>
      </c>
      <c r="BD231" s="2">
        <v>4.6417145054789527E-2</v>
      </c>
      <c r="BE231" s="2" t="s">
        <v>1125</v>
      </c>
      <c r="BF231" s="2">
        <v>1.2770589590792838</v>
      </c>
      <c r="BG231" s="2">
        <v>0.13197042192257502</v>
      </c>
      <c r="BH231" s="2">
        <v>14.037221556886228</v>
      </c>
      <c r="BI231" s="2">
        <v>1.55406</v>
      </c>
      <c r="BJ231" s="417">
        <v>7.76282400979246E-3</v>
      </c>
      <c r="BK231" s="2" t="s">
        <v>1126</v>
      </c>
      <c r="BL231" s="2" t="s">
        <v>1135</v>
      </c>
    </row>
    <row r="232" spans="1:64" s="2" customFormat="1" ht="20.25" customHeight="1" thickBot="1" x14ac:dyDescent="0.35">
      <c r="A232" s="311" t="s">
        <v>586</v>
      </c>
      <c r="B232" s="2" t="s">
        <v>81</v>
      </c>
      <c r="C232" s="312" t="s">
        <v>587</v>
      </c>
      <c r="D232" s="312" t="s">
        <v>1241</v>
      </c>
      <c r="G232" s="2" t="s">
        <v>650</v>
      </c>
      <c r="H232" s="2" t="s">
        <v>599</v>
      </c>
      <c r="I232" s="2" t="s">
        <v>89</v>
      </c>
      <c r="J232" s="312" t="s">
        <v>592</v>
      </c>
      <c r="K232" s="312"/>
      <c r="L232" s="313">
        <v>44867</v>
      </c>
      <c r="M232" s="314">
        <v>44882</v>
      </c>
      <c r="N232" s="2">
        <v>8.85</v>
      </c>
      <c r="O232" s="2">
        <v>0.11</v>
      </c>
      <c r="U232" s="356">
        <f>O232*12.43</f>
        <v>1.3673</v>
      </c>
      <c r="V232" s="356"/>
      <c r="W232" s="356">
        <f>-0.144*(O232*O232)+11.253*O232+3.5274</f>
        <v>4.7634876000000004</v>
      </c>
      <c r="X232" s="305">
        <v>24</v>
      </c>
      <c r="Y232" s="305">
        <v>26</v>
      </c>
      <c r="Z232" s="305">
        <v>50</v>
      </c>
      <c r="AA232" s="239" t="s">
        <v>885</v>
      </c>
      <c r="AB232" s="239" t="s">
        <v>880</v>
      </c>
      <c r="AC232" s="2">
        <v>0.80600000000000005</v>
      </c>
      <c r="AD232" s="2">
        <v>5.9200000000000003E-2</v>
      </c>
      <c r="AE232" s="305">
        <v>37.659999999999997</v>
      </c>
      <c r="AF232" s="315">
        <v>512.47</v>
      </c>
      <c r="AG232" s="436">
        <v>72</v>
      </c>
      <c r="AH232" s="30">
        <v>53.416800000000002</v>
      </c>
      <c r="AI232" s="436">
        <v>3621</v>
      </c>
      <c r="AJ232" s="30">
        <v>2587.9286999999999</v>
      </c>
      <c r="AK232" s="436">
        <v>295</v>
      </c>
      <c r="AL232" s="30">
        <v>177.88499999999999</v>
      </c>
      <c r="AM232" s="238">
        <v>1.4364198683518161</v>
      </c>
      <c r="AN232" s="238" t="s">
        <v>1000</v>
      </c>
      <c r="AO232" s="2">
        <v>0.75</v>
      </c>
      <c r="AP232" s="2">
        <v>0.84</v>
      </c>
      <c r="AQ232" s="2">
        <v>1.29</v>
      </c>
      <c r="AR232" s="2">
        <v>0.47</v>
      </c>
      <c r="AS232" s="316" t="s">
        <v>830</v>
      </c>
      <c r="AT232" s="316">
        <v>11.25</v>
      </c>
      <c r="AU232" s="317">
        <v>16.14</v>
      </c>
      <c r="AV232" s="2">
        <v>0.96</v>
      </c>
      <c r="AW232" s="448">
        <v>1.2529583739384658</v>
      </c>
      <c r="AX232" s="318"/>
      <c r="AY232" s="319"/>
      <c r="AZ232" s="2">
        <v>1.0878519181585677</v>
      </c>
      <c r="BA232" s="2">
        <v>0.23224695652173913</v>
      </c>
      <c r="BB232" s="2">
        <v>12.932142857142859</v>
      </c>
      <c r="BC232" s="2">
        <v>1.4640740740740739</v>
      </c>
      <c r="BD232" s="2">
        <v>8.6564701979623682E-2</v>
      </c>
      <c r="BE232" s="2" t="s">
        <v>1125</v>
      </c>
      <c r="BF232" s="2">
        <v>1.0879829846547315</v>
      </c>
      <c r="BG232" s="2">
        <v>0.23175293605915614</v>
      </c>
      <c r="BH232" s="2">
        <v>12.913815868263473</v>
      </c>
      <c r="BI232" s="2">
        <v>1.0443</v>
      </c>
      <c r="BJ232" s="417">
        <v>1.516920960225317E-2</v>
      </c>
      <c r="BK232" s="2" t="s">
        <v>1126</v>
      </c>
      <c r="BL232" s="2" t="s">
        <v>1135</v>
      </c>
    </row>
    <row r="233" spans="1:64" s="2" customFormat="1" ht="20.25" customHeight="1" thickBot="1" x14ac:dyDescent="0.35">
      <c r="A233" s="311" t="s">
        <v>588</v>
      </c>
      <c r="B233" s="2" t="s">
        <v>81</v>
      </c>
      <c r="C233" s="312" t="s">
        <v>589</v>
      </c>
      <c r="D233" s="312" t="s">
        <v>1240</v>
      </c>
      <c r="F233" s="2" t="s">
        <v>719</v>
      </c>
      <c r="G233" s="2" t="s">
        <v>650</v>
      </c>
      <c r="H233" s="2" t="s">
        <v>599</v>
      </c>
      <c r="I233" s="2" t="s">
        <v>83</v>
      </c>
      <c r="J233" s="312" t="s">
        <v>592</v>
      </c>
      <c r="K233" s="312"/>
      <c r="L233" s="313">
        <v>44867</v>
      </c>
      <c r="M233" s="314">
        <v>44882</v>
      </c>
      <c r="N233" s="2">
        <v>8.58</v>
      </c>
      <c r="O233" s="2">
        <v>0.22</v>
      </c>
      <c r="R233" s="2">
        <v>1.39</v>
      </c>
      <c r="S233" s="29">
        <f>LOG10(O233)</f>
        <v>-0.65757731917779372</v>
      </c>
      <c r="T233" s="29">
        <f>LOG10(R233)</f>
        <v>0.14301480025409505</v>
      </c>
      <c r="U233" s="356">
        <f t="shared" ref="U233:U235" si="75">O233*9.63</f>
        <v>2.1186000000000003</v>
      </c>
      <c r="V233" s="354">
        <f t="shared" ref="V233:V235" si="76">9.0013*O233+4.2416</f>
        <v>6.2218860000000005</v>
      </c>
      <c r="W233" s="354">
        <f t="shared" ref="W233:W235" si="77">9.347*O233</f>
        <v>2.0563400000000001</v>
      </c>
      <c r="X233" s="305">
        <v>28</v>
      </c>
      <c r="Y233" s="305">
        <v>28</v>
      </c>
      <c r="Z233" s="305">
        <v>44</v>
      </c>
      <c r="AA233" s="239" t="s">
        <v>882</v>
      </c>
      <c r="AB233" s="239" t="s">
        <v>878</v>
      </c>
      <c r="AC233" s="2">
        <v>2.3690000000000002</v>
      </c>
      <c r="AD233" s="2">
        <v>0.17100000000000001</v>
      </c>
      <c r="AE233" s="305">
        <v>99.1</v>
      </c>
      <c r="AF233" s="315">
        <v>1308.03</v>
      </c>
      <c r="AG233" s="436">
        <v>179</v>
      </c>
      <c r="AH233" s="30">
        <v>132.80010000000001</v>
      </c>
      <c r="AI233" s="436">
        <v>5294</v>
      </c>
      <c r="AJ233" s="30">
        <v>3783.6217999999999</v>
      </c>
      <c r="AK233" s="436">
        <v>1152</v>
      </c>
      <c r="AL233" s="30">
        <v>694.65599999999995</v>
      </c>
      <c r="AM233" s="238">
        <v>2.8064537184040179</v>
      </c>
      <c r="AN233" s="238" t="s">
        <v>1000</v>
      </c>
      <c r="AO233" s="2">
        <v>2.44</v>
      </c>
      <c r="AP233" s="2">
        <v>16.579999999999998</v>
      </c>
      <c r="AQ233" s="2">
        <v>2.31</v>
      </c>
      <c r="AR233" s="2">
        <v>0.38</v>
      </c>
      <c r="AS233" s="316" t="s">
        <v>830</v>
      </c>
      <c r="AT233" s="316">
        <v>18.86</v>
      </c>
      <c r="AU233" s="317">
        <v>41.480000000000004</v>
      </c>
      <c r="AV233" s="2">
        <v>0.69</v>
      </c>
      <c r="AW233" s="448">
        <v>1.5824541921154915</v>
      </c>
      <c r="AX233" s="318"/>
      <c r="AY233" s="319"/>
      <c r="AZ233" s="2">
        <v>2.7766365728900255</v>
      </c>
      <c r="BA233" s="2">
        <v>0.57739173913043484</v>
      </c>
      <c r="BB233" s="2">
        <v>18.907142857142858</v>
      </c>
      <c r="BC233" s="2">
        <v>5.7173333333333325</v>
      </c>
      <c r="BD233" s="2">
        <v>0.16455158253664165</v>
      </c>
      <c r="BE233" s="2" t="s">
        <v>1125</v>
      </c>
      <c r="BF233" s="2">
        <v>2.7769711074168799</v>
      </c>
      <c r="BG233" s="2">
        <v>0.57616354936929104</v>
      </c>
      <c r="BH233" s="2">
        <v>18.880348303393212</v>
      </c>
      <c r="BI233" s="2">
        <v>4.0780799999999999</v>
      </c>
      <c r="BJ233" s="417">
        <v>2.1897731816284429E-2</v>
      </c>
      <c r="BK233" s="2" t="s">
        <v>1126</v>
      </c>
      <c r="BL233" s="2" t="s">
        <v>1135</v>
      </c>
    </row>
    <row r="234" spans="1:64" s="3" customFormat="1" ht="20.25" customHeight="1" thickBot="1" x14ac:dyDescent="0.35">
      <c r="A234" s="320" t="s">
        <v>590</v>
      </c>
      <c r="B234" s="3" t="s">
        <v>81</v>
      </c>
      <c r="C234" s="321" t="s">
        <v>591</v>
      </c>
      <c r="D234" s="321" t="s">
        <v>1241</v>
      </c>
      <c r="F234" s="3" t="s">
        <v>719</v>
      </c>
      <c r="G234" s="3" t="s">
        <v>650</v>
      </c>
      <c r="H234" s="3" t="s">
        <v>599</v>
      </c>
      <c r="I234" s="3" t="s">
        <v>83</v>
      </c>
      <c r="J234" s="321" t="s">
        <v>592</v>
      </c>
      <c r="K234" s="321"/>
      <c r="L234" s="322">
        <v>44867</v>
      </c>
      <c r="M234" s="323">
        <v>44882</v>
      </c>
      <c r="N234" s="3">
        <v>8.3699999999999992</v>
      </c>
      <c r="O234" s="3">
        <v>0.72</v>
      </c>
      <c r="S234" s="379"/>
      <c r="T234" s="379"/>
      <c r="U234" s="356">
        <f t="shared" si="75"/>
        <v>6.9336000000000002</v>
      </c>
      <c r="V234" s="354">
        <f t="shared" si="76"/>
        <v>10.722536</v>
      </c>
      <c r="W234" s="354">
        <f t="shared" si="77"/>
        <v>6.7298399999999994</v>
      </c>
      <c r="X234" s="324">
        <v>34</v>
      </c>
      <c r="Y234" s="324">
        <v>28</v>
      </c>
      <c r="Z234" s="305">
        <v>38</v>
      </c>
      <c r="AA234" s="239" t="s">
        <v>882</v>
      </c>
      <c r="AB234" s="239" t="s">
        <v>878</v>
      </c>
      <c r="AC234" s="3">
        <v>1.7070000000000001</v>
      </c>
      <c r="AD234" s="3">
        <v>0.1236</v>
      </c>
      <c r="AE234" s="324">
        <v>56.2</v>
      </c>
      <c r="AF234" s="325">
        <v>1029.71</v>
      </c>
      <c r="AG234" s="437">
        <v>672</v>
      </c>
      <c r="AH234" s="30">
        <v>498.55680000000001</v>
      </c>
      <c r="AI234" s="437">
        <v>4849</v>
      </c>
      <c r="AJ234" s="30">
        <v>3465.5803000000001</v>
      </c>
      <c r="AK234" s="437">
        <v>1385</v>
      </c>
      <c r="AL234" s="30">
        <v>835.15499999999997</v>
      </c>
      <c r="AM234" s="238">
        <v>10.751233277534913</v>
      </c>
      <c r="AN234" s="238" t="s">
        <v>1000</v>
      </c>
      <c r="AO234" s="3">
        <v>1.34</v>
      </c>
      <c r="AP234" s="3">
        <v>2.69</v>
      </c>
      <c r="AQ234" s="3">
        <v>1.23</v>
      </c>
      <c r="AR234" s="3">
        <v>0.39</v>
      </c>
      <c r="AS234" s="326" t="s">
        <v>830</v>
      </c>
      <c r="AT234" s="326">
        <v>17.989999999999998</v>
      </c>
      <c r="AU234" s="327">
        <v>687.84</v>
      </c>
      <c r="AV234" s="3">
        <v>0.82</v>
      </c>
      <c r="AW234" s="449">
        <v>0.58381984987489577</v>
      </c>
      <c r="AX234" s="328"/>
      <c r="AY234" s="329"/>
      <c r="AZ234" s="3">
        <v>2.1858294117647059</v>
      </c>
      <c r="BA234" s="3">
        <v>2.1676382608695652</v>
      </c>
      <c r="BB234" s="3">
        <v>17.317857142857143</v>
      </c>
      <c r="BC234" s="3">
        <v>6.8737037037037041</v>
      </c>
      <c r="BD234" s="3">
        <v>0.62326086906008993</v>
      </c>
      <c r="BE234" s="3" t="s">
        <v>1125</v>
      </c>
      <c r="BF234" s="3">
        <v>2.1860927647058821</v>
      </c>
      <c r="BG234" s="3">
        <v>2.1630274032187904</v>
      </c>
      <c r="BH234" s="3">
        <v>17.293314870259479</v>
      </c>
      <c r="BI234" s="3">
        <v>4.9028999999999998</v>
      </c>
      <c r="BJ234" s="418">
        <v>8.1484275866451961E-2</v>
      </c>
      <c r="BK234" s="3" t="s">
        <v>1126</v>
      </c>
      <c r="BL234" s="3" t="s">
        <v>1136</v>
      </c>
    </row>
    <row r="235" spans="1:64" s="330" customFormat="1" ht="20.25" customHeight="1" thickBot="1" x14ac:dyDescent="0.35">
      <c r="A235" s="431" t="s">
        <v>1003</v>
      </c>
      <c r="B235" s="330" t="s">
        <v>952</v>
      </c>
      <c r="C235" s="4" t="s">
        <v>892</v>
      </c>
      <c r="D235" s="430" t="s">
        <v>1240</v>
      </c>
      <c r="G235" s="331">
        <v>32.077058031</v>
      </c>
      <c r="H235" s="331">
        <v>-7.9463056410000004</v>
      </c>
      <c r="J235" s="330" t="s">
        <v>992</v>
      </c>
      <c r="K235" s="5">
        <v>44895</v>
      </c>
      <c r="L235" s="341">
        <v>45282</v>
      </c>
      <c r="M235" s="342">
        <v>45315</v>
      </c>
      <c r="N235" s="340">
        <v>8.67</v>
      </c>
      <c r="O235" s="343">
        <v>0.17</v>
      </c>
      <c r="P235" s="344">
        <v>0.33</v>
      </c>
      <c r="Q235" s="345">
        <v>0.54</v>
      </c>
      <c r="R235" s="343">
        <v>1.01</v>
      </c>
      <c r="S235" s="29">
        <f t="shared" ref="S235:S298" si="78">LOG10(O235)</f>
        <v>-0.769551078621726</v>
      </c>
      <c r="T235" s="29">
        <f t="shared" ref="T235:T298" si="79">LOG10(R235)</f>
        <v>4.3213737826425782E-3</v>
      </c>
      <c r="U235" s="356">
        <f t="shared" si="75"/>
        <v>1.6371000000000002</v>
      </c>
      <c r="V235" s="354">
        <f t="shared" si="76"/>
        <v>5.7718210000000001</v>
      </c>
      <c r="W235" s="354">
        <f t="shared" si="77"/>
        <v>1.5889900000000001</v>
      </c>
      <c r="X235" s="346">
        <v>28</v>
      </c>
      <c r="Y235" s="346">
        <v>46</v>
      </c>
      <c r="Z235" s="346">
        <v>26</v>
      </c>
      <c r="AA235" s="351" t="s">
        <v>882</v>
      </c>
      <c r="AB235" s="351" t="s">
        <v>878</v>
      </c>
      <c r="AC235" s="347">
        <v>1.54</v>
      </c>
      <c r="AE235" s="346">
        <v>37</v>
      </c>
      <c r="AF235" s="348">
        <v>520</v>
      </c>
      <c r="AG235" s="441">
        <v>401</v>
      </c>
      <c r="AH235" s="330">
        <v>297.50189999999998</v>
      </c>
      <c r="AI235" s="441">
        <v>10432</v>
      </c>
      <c r="AJ235" s="330">
        <v>7455.7503999999999</v>
      </c>
      <c r="AK235" s="441">
        <v>1471</v>
      </c>
      <c r="AL235" s="330">
        <v>887.01299999999992</v>
      </c>
      <c r="AM235" s="330">
        <f>AH235/(SQRT((AJ235+AL235)/2))</f>
        <v>4.6062741052423943</v>
      </c>
      <c r="AN235" s="238" t="s">
        <v>1000</v>
      </c>
      <c r="AU235" s="346">
        <v>106.36</v>
      </c>
      <c r="AV235" s="348">
        <v>1.1000000000000001</v>
      </c>
      <c r="AW235" s="453"/>
      <c r="AZ235" s="330">
        <v>1.1038363171355496</v>
      </c>
      <c r="BA235" s="330">
        <v>1.2934865217391303</v>
      </c>
      <c r="BB235" s="330">
        <v>37.257142857142853</v>
      </c>
      <c r="BC235" s="330">
        <v>7.3005185185185173</v>
      </c>
      <c r="BD235" s="330">
        <v>0.27404110572613977</v>
      </c>
      <c r="BE235" s="330" t="s">
        <v>1125</v>
      </c>
      <c r="BF235" s="330">
        <v>1.1039693094629155</v>
      </c>
      <c r="BG235" s="330">
        <v>1.2907351022183557</v>
      </c>
      <c r="BH235" s="330">
        <v>37.204343313373251</v>
      </c>
      <c r="BI235" s="330">
        <v>5.2073400000000003</v>
      </c>
      <c r="BJ235" s="419">
        <v>2.8806944004026721E-2</v>
      </c>
      <c r="BK235" s="330" t="s">
        <v>1126</v>
      </c>
      <c r="BL235" s="330" t="s">
        <v>1135</v>
      </c>
    </row>
    <row r="236" spans="1:64" ht="20.25" customHeight="1" thickBot="1" x14ac:dyDescent="0.35">
      <c r="A236" s="431" t="s">
        <v>1004</v>
      </c>
      <c r="B236" s="330" t="s">
        <v>952</v>
      </c>
      <c r="C236" s="4" t="s">
        <v>893</v>
      </c>
      <c r="D236" s="4" t="s">
        <v>1240</v>
      </c>
      <c r="G236" s="331">
        <v>32.069441349999998</v>
      </c>
      <c r="H236" s="331">
        <v>-7.9000445199999998</v>
      </c>
      <c r="J236" s="330" t="s">
        <v>992</v>
      </c>
      <c r="K236" s="5">
        <v>44895</v>
      </c>
      <c r="L236" s="341">
        <v>45282</v>
      </c>
      <c r="M236" s="342">
        <v>45315</v>
      </c>
      <c r="N236" s="340">
        <v>8.48</v>
      </c>
      <c r="O236" s="343">
        <v>0.27</v>
      </c>
      <c r="P236" s="344">
        <v>0.81</v>
      </c>
      <c r="Q236" s="345">
        <v>1.1100000000000001</v>
      </c>
      <c r="R236" s="343">
        <v>3.31</v>
      </c>
      <c r="S236" s="29">
        <f t="shared" si="78"/>
        <v>-0.56863623584101264</v>
      </c>
      <c r="T236" s="29">
        <f t="shared" si="79"/>
        <v>0.51982799377571876</v>
      </c>
      <c r="U236" s="356">
        <f t="shared" ref="U236:U239" si="80">10.92*O236</f>
        <v>2.9484000000000004</v>
      </c>
      <c r="V236" s="356">
        <f t="shared" ref="V236:V239" si="81">9.5459*O236+2.1572</f>
        <v>4.7345930000000003</v>
      </c>
      <c r="W236" s="356">
        <f t="shared" ref="W236:W239" si="82">9.7271*O236</f>
        <v>2.6263170000000002</v>
      </c>
      <c r="X236" s="346">
        <v>24</v>
      </c>
      <c r="Y236" s="346">
        <v>36</v>
      </c>
      <c r="Z236" s="346">
        <v>40</v>
      </c>
      <c r="AA236" s="351" t="s">
        <v>883</v>
      </c>
      <c r="AB236" s="351" t="s">
        <v>888</v>
      </c>
      <c r="AC236" s="347">
        <v>0.97</v>
      </c>
      <c r="AE236" s="346">
        <v>22</v>
      </c>
      <c r="AF236" s="348">
        <v>611</v>
      </c>
      <c r="AG236" s="441">
        <v>535</v>
      </c>
      <c r="AH236" s="330">
        <v>396.91649999999998</v>
      </c>
      <c r="AI236" s="441">
        <v>9363</v>
      </c>
      <c r="AJ236" s="330">
        <v>6691.7361000000001</v>
      </c>
      <c r="AK236" s="441">
        <v>1309</v>
      </c>
      <c r="AL236" s="330">
        <v>789.327</v>
      </c>
      <c r="AM236" s="330">
        <f t="shared" ref="AM236:AM299" si="83">AH236/(SQRT((AJ236+AL236)/2))</f>
        <v>6.4898176167165467</v>
      </c>
      <c r="AN236" s="238" t="s">
        <v>1000</v>
      </c>
      <c r="AU236" s="346">
        <v>212.72</v>
      </c>
      <c r="AV236" s="348">
        <v>1.1200000000000001</v>
      </c>
      <c r="AZ236" s="333">
        <v>1.297007672634271</v>
      </c>
      <c r="BA236" s="333">
        <v>1.7257239130434781</v>
      </c>
      <c r="BB236" s="333">
        <v>33.439285714285717</v>
      </c>
      <c r="BC236" s="333">
        <v>6.4965185185185179</v>
      </c>
      <c r="BD236" s="333">
        <v>0.38619362238368482</v>
      </c>
      <c r="BE236" s="333" t="s">
        <v>1125</v>
      </c>
      <c r="BF236" s="333">
        <v>1.2971639386189258</v>
      </c>
      <c r="BG236" s="333">
        <v>1.7220530665506741</v>
      </c>
      <c r="BH236" s="333">
        <v>33.391896706586827</v>
      </c>
      <c r="BI236" s="333">
        <v>4.6338600000000003</v>
      </c>
      <c r="BJ236" s="420">
        <v>4.1955272736779216E-2</v>
      </c>
      <c r="BK236" s="333" t="s">
        <v>1126</v>
      </c>
      <c r="BL236" s="333" t="s">
        <v>1135</v>
      </c>
    </row>
    <row r="237" spans="1:64" ht="20.25" customHeight="1" thickBot="1" x14ac:dyDescent="0.35">
      <c r="A237" s="431" t="s">
        <v>1005</v>
      </c>
      <c r="B237" s="330" t="s">
        <v>952</v>
      </c>
      <c r="C237" s="4" t="s">
        <v>894</v>
      </c>
      <c r="D237" s="4" t="s">
        <v>1241</v>
      </c>
      <c r="G237" s="331">
        <v>32.069441349999998</v>
      </c>
      <c r="H237" s="331">
        <v>-7.9000445199999998</v>
      </c>
      <c r="J237" s="330" t="s">
        <v>992</v>
      </c>
      <c r="K237" s="5">
        <v>44895</v>
      </c>
      <c r="L237" s="341">
        <v>45282</v>
      </c>
      <c r="M237" s="342">
        <v>45315</v>
      </c>
      <c r="N237" s="340">
        <v>8.4700000000000006</v>
      </c>
      <c r="O237" s="343">
        <v>0.18</v>
      </c>
      <c r="P237" s="344">
        <v>0.42</v>
      </c>
      <c r="Q237" s="345">
        <v>0.68</v>
      </c>
      <c r="R237" s="343">
        <v>1.31</v>
      </c>
      <c r="S237" s="29">
        <f t="shared" si="78"/>
        <v>-0.74472749489669399</v>
      </c>
      <c r="T237" s="29">
        <f t="shared" si="79"/>
        <v>0.11727129565576427</v>
      </c>
      <c r="U237" s="356">
        <f t="shared" si="80"/>
        <v>1.9656</v>
      </c>
      <c r="V237" s="356">
        <f t="shared" si="81"/>
        <v>3.8754619999999997</v>
      </c>
      <c r="W237" s="356">
        <f t="shared" si="82"/>
        <v>1.7508779999999999</v>
      </c>
      <c r="X237" s="346">
        <v>14</v>
      </c>
      <c r="Y237" s="346">
        <v>44</v>
      </c>
      <c r="Z237" s="346">
        <v>42</v>
      </c>
      <c r="AA237" s="351" t="s">
        <v>883</v>
      </c>
      <c r="AB237" s="351" t="s">
        <v>888</v>
      </c>
      <c r="AC237" s="347">
        <v>2.25</v>
      </c>
      <c r="AE237" s="346">
        <v>87</v>
      </c>
      <c r="AF237" s="348">
        <v>914</v>
      </c>
      <c r="AG237" s="441">
        <v>236</v>
      </c>
      <c r="AH237" s="330">
        <v>175.08840000000001</v>
      </c>
      <c r="AI237" s="441">
        <v>9648</v>
      </c>
      <c r="AJ237" s="330">
        <v>6895.4255999999996</v>
      </c>
      <c r="AK237" s="441">
        <v>1319</v>
      </c>
      <c r="AL237" s="330">
        <v>795.35699999999997</v>
      </c>
      <c r="AM237" s="330">
        <f t="shared" si="83"/>
        <v>2.8234955288842229</v>
      </c>
      <c r="AN237" s="238" t="s">
        <v>1000</v>
      </c>
      <c r="AU237" s="346">
        <v>70.91</v>
      </c>
      <c r="AV237" s="348">
        <v>0.81</v>
      </c>
      <c r="AZ237" s="333">
        <v>1.9402046035805625</v>
      </c>
      <c r="BA237" s="333">
        <v>0.76125391304347823</v>
      </c>
      <c r="BB237" s="333">
        <v>34.457142857142856</v>
      </c>
      <c r="BC237" s="333">
        <v>6.5461481481481476</v>
      </c>
      <c r="BD237" s="333">
        <v>0.16812611522211882</v>
      </c>
      <c r="BE237" s="333" t="s">
        <v>1125</v>
      </c>
      <c r="BF237" s="333">
        <v>1.9404383631713553</v>
      </c>
      <c r="BG237" s="333">
        <v>0.75963462374945623</v>
      </c>
      <c r="BH237" s="333">
        <v>34.408311377245504</v>
      </c>
      <c r="BI237" s="333">
        <v>4.6692600000000004</v>
      </c>
      <c r="BJ237" s="420">
        <v>1.8182801718734841E-2</v>
      </c>
      <c r="BK237" s="333" t="s">
        <v>1126</v>
      </c>
      <c r="BL237" s="333" t="s">
        <v>1135</v>
      </c>
    </row>
    <row r="238" spans="1:64" ht="20.25" customHeight="1" thickBot="1" x14ac:dyDescent="0.35">
      <c r="A238" s="431" t="s">
        <v>1006</v>
      </c>
      <c r="B238" s="330" t="s">
        <v>952</v>
      </c>
      <c r="C238" s="4" t="s">
        <v>895</v>
      </c>
      <c r="D238" s="4" t="s">
        <v>1240</v>
      </c>
      <c r="G238" s="331">
        <v>32.080018369000001</v>
      </c>
      <c r="H238" s="331">
        <v>-7.8405530429999999</v>
      </c>
      <c r="J238" s="330" t="s">
        <v>992</v>
      </c>
      <c r="K238" s="5">
        <v>44895</v>
      </c>
      <c r="L238" s="341">
        <v>45282</v>
      </c>
      <c r="M238" s="342">
        <v>45315</v>
      </c>
      <c r="N238" s="340">
        <v>8.7100000000000009</v>
      </c>
      <c r="O238" s="343">
        <v>0.09</v>
      </c>
      <c r="P238" s="344">
        <v>0.18</v>
      </c>
      <c r="Q238" s="345">
        <v>0.28000000000000003</v>
      </c>
      <c r="R238" s="343">
        <v>0.69</v>
      </c>
      <c r="S238" s="29">
        <f t="shared" si="78"/>
        <v>-1.0457574905606752</v>
      </c>
      <c r="T238" s="29">
        <f t="shared" si="79"/>
        <v>-0.16115090926274472</v>
      </c>
      <c r="U238" s="356">
        <f t="shared" si="80"/>
        <v>0.98280000000000001</v>
      </c>
      <c r="V238" s="356">
        <f t="shared" si="81"/>
        <v>3.0163310000000001</v>
      </c>
      <c r="W238" s="356">
        <f t="shared" si="82"/>
        <v>0.87543899999999997</v>
      </c>
      <c r="X238" s="346">
        <v>20</v>
      </c>
      <c r="Y238" s="346">
        <v>34</v>
      </c>
      <c r="Z238" s="346">
        <v>46</v>
      </c>
      <c r="AA238" s="351" t="s">
        <v>883</v>
      </c>
      <c r="AB238" s="351" t="s">
        <v>888</v>
      </c>
      <c r="AC238" s="347">
        <v>1.27</v>
      </c>
      <c r="AE238" s="346">
        <v>35</v>
      </c>
      <c r="AF238" s="348">
        <v>672</v>
      </c>
      <c r="AG238" s="441">
        <v>139</v>
      </c>
      <c r="AH238" s="330">
        <v>103.1241</v>
      </c>
      <c r="AI238" s="441">
        <v>3700</v>
      </c>
      <c r="AJ238" s="330">
        <v>2644.39</v>
      </c>
      <c r="AK238" s="441">
        <v>705</v>
      </c>
      <c r="AL238" s="330">
        <v>425.11500000000001</v>
      </c>
      <c r="AM238" s="330">
        <f t="shared" si="83"/>
        <v>2.6323340200530279</v>
      </c>
      <c r="AN238" s="238" t="s">
        <v>1000</v>
      </c>
      <c r="AU238" s="346">
        <v>141.81</v>
      </c>
      <c r="AV238" s="348">
        <v>0.73</v>
      </c>
      <c r="AZ238" s="333">
        <v>1.4264961636828644</v>
      </c>
      <c r="BA238" s="333">
        <v>0.44836565217391305</v>
      </c>
      <c r="BB238" s="333">
        <v>13.214285714285714</v>
      </c>
      <c r="BC238" s="333">
        <v>3.4988888888888887</v>
      </c>
      <c r="BD238" s="333">
        <v>0.15510216429611035</v>
      </c>
      <c r="BE238" s="333" t="s">
        <v>1125</v>
      </c>
      <c r="BF238" s="333">
        <v>1.426668030690537</v>
      </c>
      <c r="BG238" s="333">
        <v>0.44741191822531534</v>
      </c>
      <c r="BH238" s="333">
        <v>13.195558882235527</v>
      </c>
      <c r="BI238" s="333">
        <v>2.4957000000000003</v>
      </c>
      <c r="BJ238" s="420">
        <v>2.5471294492301472E-2</v>
      </c>
      <c r="BK238" s="333" t="s">
        <v>1126</v>
      </c>
      <c r="BL238" s="333" t="s">
        <v>1135</v>
      </c>
    </row>
    <row r="239" spans="1:64" ht="20.25" customHeight="1" thickBot="1" x14ac:dyDescent="0.35">
      <c r="A239" s="431" t="s">
        <v>1007</v>
      </c>
      <c r="B239" s="330" t="s">
        <v>952</v>
      </c>
      <c r="C239" s="4" t="s">
        <v>896</v>
      </c>
      <c r="D239" s="4" t="s">
        <v>1240</v>
      </c>
      <c r="G239" s="331">
        <v>32.066851722000003</v>
      </c>
      <c r="H239" s="331">
        <v>-7.8166230179999996</v>
      </c>
      <c r="J239" s="330" t="s">
        <v>992</v>
      </c>
      <c r="K239" s="5">
        <v>44895</v>
      </c>
      <c r="L239" s="341">
        <v>45282</v>
      </c>
      <c r="M239" s="342">
        <v>45315</v>
      </c>
      <c r="N239" s="340">
        <v>8.4700000000000006</v>
      </c>
      <c r="O239" s="343">
        <v>0.11</v>
      </c>
      <c r="P239" s="344">
        <v>0.23</v>
      </c>
      <c r="Q239" s="345">
        <v>0.34</v>
      </c>
      <c r="R239" s="343">
        <v>0.94</v>
      </c>
      <c r="S239" s="29">
        <f t="shared" si="78"/>
        <v>-0.95860731484177497</v>
      </c>
      <c r="T239" s="29">
        <f t="shared" si="79"/>
        <v>-2.6872146400301365E-2</v>
      </c>
      <c r="U239" s="356">
        <f t="shared" si="80"/>
        <v>1.2012</v>
      </c>
      <c r="V239" s="356">
        <f t="shared" si="81"/>
        <v>3.207249</v>
      </c>
      <c r="W239" s="356">
        <f t="shared" si="82"/>
        <v>1.0699810000000001</v>
      </c>
      <c r="X239" s="346">
        <v>20</v>
      </c>
      <c r="Y239" s="346">
        <v>44</v>
      </c>
      <c r="Z239" s="346">
        <v>36</v>
      </c>
      <c r="AA239" s="351" t="s">
        <v>883</v>
      </c>
      <c r="AB239" s="351" t="s">
        <v>888</v>
      </c>
      <c r="AC239" s="347">
        <v>1.21</v>
      </c>
      <c r="AE239" s="346">
        <v>43</v>
      </c>
      <c r="AF239" s="348">
        <v>830</v>
      </c>
      <c r="AG239" s="441">
        <v>39</v>
      </c>
      <c r="AH239" s="330">
        <v>28.934100000000001</v>
      </c>
      <c r="AI239" s="441">
        <v>9670</v>
      </c>
      <c r="AJ239" s="330">
        <v>6911.1490000000003</v>
      </c>
      <c r="AK239" s="441">
        <v>640</v>
      </c>
      <c r="AL239" s="330">
        <v>385.91999999999996</v>
      </c>
      <c r="AM239" s="330">
        <f t="shared" si="83"/>
        <v>0.47901680474680786</v>
      </c>
      <c r="AN239" s="238" t="s">
        <v>1000</v>
      </c>
      <c r="AU239" s="346">
        <v>177.27</v>
      </c>
      <c r="AV239" s="348" t="s">
        <v>318</v>
      </c>
      <c r="AZ239" s="333">
        <v>1.7618925831202046</v>
      </c>
      <c r="BA239" s="333">
        <v>0.12580043478260872</v>
      </c>
      <c r="BB239" s="333">
        <v>34.535714285714285</v>
      </c>
      <c r="BC239" s="333">
        <v>3.1762962962962962</v>
      </c>
      <c r="BD239" s="333">
        <v>2.8970587097584339E-2</v>
      </c>
      <c r="BE239" s="333" t="s">
        <v>1125</v>
      </c>
      <c r="BF239" s="333">
        <v>1.7621048593350381</v>
      </c>
      <c r="BG239" s="333">
        <v>0.12553284036537624</v>
      </c>
      <c r="BH239" s="333">
        <v>34.48677145708583</v>
      </c>
      <c r="BI239" s="333">
        <v>2.2656000000000001</v>
      </c>
      <c r="BJ239" s="420">
        <v>3.2487787426760803E-3</v>
      </c>
      <c r="BK239" s="333" t="s">
        <v>1126</v>
      </c>
      <c r="BL239" s="333" t="s">
        <v>1135</v>
      </c>
    </row>
    <row r="240" spans="1:64" ht="20.25" customHeight="1" thickBot="1" x14ac:dyDescent="0.35">
      <c r="A240" s="431" t="s">
        <v>1008</v>
      </c>
      <c r="B240" s="330" t="s">
        <v>952</v>
      </c>
      <c r="C240" s="4" t="s">
        <v>897</v>
      </c>
      <c r="D240" s="4" t="s">
        <v>1240</v>
      </c>
      <c r="G240" s="331">
        <v>32.053209598999999</v>
      </c>
      <c r="H240" s="331">
        <v>-7.7994562810000003</v>
      </c>
      <c r="J240" s="330" t="s">
        <v>992</v>
      </c>
      <c r="K240" s="5">
        <v>44895</v>
      </c>
      <c r="L240" s="341">
        <v>45282</v>
      </c>
      <c r="M240" s="342">
        <v>45315</v>
      </c>
      <c r="N240" s="340">
        <v>8.07</v>
      </c>
      <c r="O240" s="343">
        <v>4.3099999999999996</v>
      </c>
      <c r="P240" s="344">
        <v>10.93</v>
      </c>
      <c r="Q240" s="345">
        <v>17.010000000000002</v>
      </c>
      <c r="R240" s="343">
        <v>52.02</v>
      </c>
      <c r="S240" s="29">
        <f t="shared" si="78"/>
        <v>0.63447727016073152</v>
      </c>
      <c r="T240" s="29">
        <f t="shared" si="79"/>
        <v>1.716170347859854</v>
      </c>
      <c r="U240" s="356">
        <f t="shared" ref="U240" si="84">O240*9.63</f>
        <v>41.505299999999998</v>
      </c>
      <c r="V240" s="354">
        <f>9.0013*O240+4.2416</f>
        <v>43.037202999999998</v>
      </c>
      <c r="W240" s="354">
        <f>9.347*O240</f>
        <v>40.285569999999993</v>
      </c>
      <c r="X240" s="346">
        <v>30</v>
      </c>
      <c r="Y240" s="346">
        <v>32</v>
      </c>
      <c r="Z240" s="346">
        <v>38</v>
      </c>
      <c r="AA240" s="351" t="s">
        <v>882</v>
      </c>
      <c r="AB240" s="351" t="s">
        <v>878</v>
      </c>
      <c r="AC240" s="347">
        <v>1.6</v>
      </c>
      <c r="AE240" s="346">
        <v>56</v>
      </c>
      <c r="AF240" s="348">
        <v>792</v>
      </c>
      <c r="AG240" s="441">
        <v>5799</v>
      </c>
      <c r="AH240" s="330">
        <v>4302.2781000000004</v>
      </c>
      <c r="AI240" s="441">
        <v>9824</v>
      </c>
      <c r="AJ240" s="330">
        <v>7021.2128000000002</v>
      </c>
      <c r="AK240" s="441">
        <v>1210</v>
      </c>
      <c r="AL240" s="330">
        <v>729.63</v>
      </c>
      <c r="AM240" s="330">
        <f t="shared" si="83"/>
        <v>69.109700882584193</v>
      </c>
      <c r="AN240" s="339" t="s">
        <v>997</v>
      </c>
      <c r="AU240" s="346">
        <v>9075.9699999999993</v>
      </c>
      <c r="AV240" s="348">
        <v>0.96</v>
      </c>
      <c r="AZ240" s="333">
        <v>1.6812276214833759</v>
      </c>
      <c r="BA240" s="333">
        <v>18.70555695652174</v>
      </c>
      <c r="BB240" s="333">
        <v>35.085714285714282</v>
      </c>
      <c r="BC240" s="333">
        <v>6.0051851851851845</v>
      </c>
      <c r="BD240" s="333">
        <v>4.1267942585654316</v>
      </c>
      <c r="BE240" s="333" t="s">
        <v>1125</v>
      </c>
      <c r="BF240" s="333">
        <v>1.6814301790281327</v>
      </c>
      <c r="BG240" s="333">
        <v>18.665767725097869</v>
      </c>
      <c r="BH240" s="333">
        <v>35.035992015968063</v>
      </c>
      <c r="BI240" s="333">
        <v>4.2834000000000003</v>
      </c>
      <c r="BJ240" s="420">
        <v>0.31283449833642579</v>
      </c>
      <c r="BK240" s="333" t="s">
        <v>1130</v>
      </c>
      <c r="BL240" s="333" t="s">
        <v>1136</v>
      </c>
    </row>
    <row r="241" spans="1:64" ht="20.25" customHeight="1" thickBot="1" x14ac:dyDescent="0.35">
      <c r="A241" s="431" t="s">
        <v>1009</v>
      </c>
      <c r="B241" s="330" t="s">
        <v>952</v>
      </c>
      <c r="C241" s="4" t="s">
        <v>898</v>
      </c>
      <c r="D241" s="4" t="s">
        <v>1240</v>
      </c>
      <c r="G241" s="331">
        <v>32.054659639999997</v>
      </c>
      <c r="H241" s="331">
        <v>-7.7996034730000003</v>
      </c>
      <c r="J241" s="330" t="s">
        <v>992</v>
      </c>
      <c r="K241" s="5">
        <v>44895</v>
      </c>
      <c r="L241" s="341">
        <v>45282</v>
      </c>
      <c r="M241" s="342">
        <v>45315</v>
      </c>
      <c r="N241" s="340">
        <v>8.34</v>
      </c>
      <c r="O241" s="343">
        <v>4.01</v>
      </c>
      <c r="P241" s="344">
        <v>8.01</v>
      </c>
      <c r="Q241" s="345">
        <v>13.02</v>
      </c>
      <c r="R241" s="343">
        <v>52.64</v>
      </c>
      <c r="S241" s="29">
        <f t="shared" si="78"/>
        <v>0.60314437262018228</v>
      </c>
      <c r="T241" s="29">
        <f t="shared" si="79"/>
        <v>1.721315880605899</v>
      </c>
      <c r="U241" s="356">
        <f t="shared" ref="U241:U243" si="85">10.92*O241</f>
        <v>43.789199999999994</v>
      </c>
      <c r="V241" s="356">
        <f t="shared" ref="V241:V243" si="86">9.5459*O241+2.1572</f>
        <v>40.436259</v>
      </c>
      <c r="W241" s="356">
        <f t="shared" ref="W241:W243" si="87">9.7271*O241</f>
        <v>39.005671</v>
      </c>
      <c r="X241" s="346">
        <v>22</v>
      </c>
      <c r="Y241" s="346">
        <v>30</v>
      </c>
      <c r="Z241" s="346">
        <v>48</v>
      </c>
      <c r="AA241" s="351" t="s">
        <v>883</v>
      </c>
      <c r="AB241" s="351" t="s">
        <v>888</v>
      </c>
      <c r="AC241" s="347">
        <v>1.27</v>
      </c>
      <c r="AE241" s="346">
        <v>65</v>
      </c>
      <c r="AF241" s="348">
        <v>823</v>
      </c>
      <c r="AG241" s="441">
        <v>6194</v>
      </c>
      <c r="AH241" s="330">
        <v>4595.3285999999998</v>
      </c>
      <c r="AI241" s="441">
        <v>7670</v>
      </c>
      <c r="AJ241" s="330">
        <v>5481.7489999999998</v>
      </c>
      <c r="AK241" s="441">
        <v>939</v>
      </c>
      <c r="AL241" s="330">
        <v>566.21699999999998</v>
      </c>
      <c r="AM241" s="330">
        <f t="shared" si="83"/>
        <v>83.565477559491711</v>
      </c>
      <c r="AN241" s="339" t="s">
        <v>997</v>
      </c>
      <c r="AU241" s="346">
        <v>6736.07</v>
      </c>
      <c r="AV241" s="348">
        <v>0.93</v>
      </c>
      <c r="AZ241" s="333">
        <v>1.7470332480818414</v>
      </c>
      <c r="BA241" s="333">
        <v>19.979689565217392</v>
      </c>
      <c r="BB241" s="333">
        <v>27.392857142857146</v>
      </c>
      <c r="BC241" s="333">
        <v>4.660222222222222</v>
      </c>
      <c r="BD241" s="333">
        <v>4.9907849235948181</v>
      </c>
      <c r="BE241" s="333" t="s">
        <v>1125</v>
      </c>
      <c r="BF241" s="333">
        <v>1.7472437340153451</v>
      </c>
      <c r="BG241" s="333">
        <v>19.937190082644626</v>
      </c>
      <c r="BH241" s="333">
        <v>27.354036926147703</v>
      </c>
      <c r="BI241" s="333">
        <v>3.3240600000000002</v>
      </c>
      <c r="BJ241" s="420">
        <v>0.3807529888227017</v>
      </c>
      <c r="BK241" s="333" t="s">
        <v>1130</v>
      </c>
      <c r="BL241" s="333" t="s">
        <v>1136</v>
      </c>
    </row>
    <row r="242" spans="1:64" ht="20.25" customHeight="1" thickBot="1" x14ac:dyDescent="0.35">
      <c r="A242" s="431" t="s">
        <v>1010</v>
      </c>
      <c r="B242" s="330" t="s">
        <v>952</v>
      </c>
      <c r="C242" s="4" t="s">
        <v>899</v>
      </c>
      <c r="D242" s="4" t="s">
        <v>1240</v>
      </c>
      <c r="G242" s="331">
        <v>32.055395736999998</v>
      </c>
      <c r="H242" s="331">
        <v>-7.7964673639999997</v>
      </c>
      <c r="J242" s="330" t="s">
        <v>992</v>
      </c>
      <c r="K242" s="5">
        <v>44895</v>
      </c>
      <c r="L242" s="341">
        <v>45282</v>
      </c>
      <c r="M242" s="342">
        <v>45315</v>
      </c>
      <c r="N242" s="340">
        <v>8.58</v>
      </c>
      <c r="O242" s="343">
        <v>0.21</v>
      </c>
      <c r="P242" s="344">
        <v>0.51</v>
      </c>
      <c r="Q242" s="345">
        <v>0.78</v>
      </c>
      <c r="R242" s="343">
        <v>2.19</v>
      </c>
      <c r="S242" s="29">
        <f t="shared" si="78"/>
        <v>-0.6777807052660807</v>
      </c>
      <c r="T242" s="29">
        <f t="shared" si="79"/>
        <v>0.34044411484011833</v>
      </c>
      <c r="U242" s="356">
        <f t="shared" si="85"/>
        <v>2.2931999999999997</v>
      </c>
      <c r="V242" s="356">
        <f t="shared" si="86"/>
        <v>4.1618390000000005</v>
      </c>
      <c r="W242" s="356">
        <f t="shared" si="87"/>
        <v>2.042691</v>
      </c>
      <c r="X242" s="346">
        <v>22</v>
      </c>
      <c r="Y242" s="346">
        <v>44</v>
      </c>
      <c r="Z242" s="346">
        <v>34</v>
      </c>
      <c r="AA242" s="351" t="s">
        <v>883</v>
      </c>
      <c r="AB242" s="351" t="s">
        <v>888</v>
      </c>
      <c r="AC242" s="347">
        <v>1.19</v>
      </c>
      <c r="AE242" s="346">
        <v>47</v>
      </c>
      <c r="AF242" s="348">
        <v>917</v>
      </c>
      <c r="AG242" s="441">
        <v>306</v>
      </c>
      <c r="AH242" s="330">
        <v>227.0214</v>
      </c>
      <c r="AI242" s="441">
        <v>5155</v>
      </c>
      <c r="AJ242" s="330">
        <v>3684.2784999999999</v>
      </c>
      <c r="AK242" s="441">
        <v>634</v>
      </c>
      <c r="AL242" s="330">
        <v>382.30199999999996</v>
      </c>
      <c r="AM242" s="330">
        <f t="shared" si="83"/>
        <v>5.0346247736745458</v>
      </c>
      <c r="AN242" s="238" t="s">
        <v>1000</v>
      </c>
      <c r="AU242" s="346">
        <v>354.53</v>
      </c>
      <c r="AV242" s="348">
        <v>0.53</v>
      </c>
      <c r="AZ242" s="333">
        <v>1.9465728900255754</v>
      </c>
      <c r="BA242" s="333">
        <v>0.98704956521739129</v>
      </c>
      <c r="BB242" s="333">
        <v>18.410714285714285</v>
      </c>
      <c r="BC242" s="333">
        <v>3.1465185185185183</v>
      </c>
      <c r="BD242" s="333">
        <v>0.30064740071647383</v>
      </c>
      <c r="BE242" s="333" t="s">
        <v>1125</v>
      </c>
      <c r="BF242" s="333">
        <v>1.9468074168797953</v>
      </c>
      <c r="BG242" s="333">
        <v>0.98494997825141362</v>
      </c>
      <c r="BH242" s="333">
        <v>18.384623253493015</v>
      </c>
      <c r="BI242" s="333">
        <v>2.2443599999999999</v>
      </c>
      <c r="BJ242" s="420">
        <v>4.1804712039429349E-2</v>
      </c>
      <c r="BK242" s="333" t="s">
        <v>1126</v>
      </c>
      <c r="BL242" s="333" t="s">
        <v>1135</v>
      </c>
    </row>
    <row r="243" spans="1:64" ht="20.25" customHeight="1" thickBot="1" x14ac:dyDescent="0.35">
      <c r="A243" s="431" t="s">
        <v>1011</v>
      </c>
      <c r="B243" s="330" t="s">
        <v>952</v>
      </c>
      <c r="C243" s="4" t="s">
        <v>900</v>
      </c>
      <c r="D243" s="4" t="s">
        <v>1240</v>
      </c>
      <c r="G243" s="331">
        <v>32.075801339000002</v>
      </c>
      <c r="H243" s="331">
        <v>-7.8249452079999999</v>
      </c>
      <c r="J243" s="330" t="s">
        <v>992</v>
      </c>
      <c r="K243" s="5">
        <v>44895</v>
      </c>
      <c r="L243" s="341">
        <v>45282</v>
      </c>
      <c r="M243" s="342">
        <v>45315</v>
      </c>
      <c r="N243" s="340">
        <v>8.6300000000000008</v>
      </c>
      <c r="O243" s="343">
        <v>7.0000000000000007E-2</v>
      </c>
      <c r="P243" s="344">
        <v>0.15</v>
      </c>
      <c r="Q243" s="345">
        <v>0.23</v>
      </c>
      <c r="R243" s="343">
        <v>0.65</v>
      </c>
      <c r="S243" s="29">
        <f t="shared" si="78"/>
        <v>-1.1549019599857431</v>
      </c>
      <c r="T243" s="29">
        <f t="shared" si="79"/>
        <v>-0.18708664335714442</v>
      </c>
      <c r="U243" s="356">
        <f t="shared" si="85"/>
        <v>0.76440000000000008</v>
      </c>
      <c r="V243" s="356">
        <f t="shared" si="86"/>
        <v>2.8254130000000002</v>
      </c>
      <c r="W243" s="356">
        <f t="shared" si="87"/>
        <v>0.68089700000000009</v>
      </c>
      <c r="X243" s="346">
        <v>22</v>
      </c>
      <c r="Y243" s="346">
        <v>28</v>
      </c>
      <c r="Z243" s="346">
        <v>50</v>
      </c>
      <c r="AA243" s="351" t="s">
        <v>883</v>
      </c>
      <c r="AB243" s="351" t="s">
        <v>888</v>
      </c>
      <c r="AC243" s="347">
        <v>1.72</v>
      </c>
      <c r="AE243" s="346">
        <v>55</v>
      </c>
      <c r="AF243" s="348">
        <v>984</v>
      </c>
      <c r="AG243" s="441">
        <v>28</v>
      </c>
      <c r="AH243" s="330">
        <v>20.773199999999999</v>
      </c>
      <c r="AI243" s="441">
        <v>3617</v>
      </c>
      <c r="AJ243" s="330">
        <v>2585.0699</v>
      </c>
      <c r="AK243" s="441">
        <v>373</v>
      </c>
      <c r="AL243" s="330">
        <v>224.91899999999998</v>
      </c>
      <c r="AM243" s="330">
        <f t="shared" si="83"/>
        <v>0.55419945973881013</v>
      </c>
      <c r="AN243" s="238" t="s">
        <v>1000</v>
      </c>
      <c r="AU243" s="346">
        <v>70.91</v>
      </c>
      <c r="AV243" s="348">
        <v>0.44</v>
      </c>
      <c r="AZ243" s="333">
        <v>2.0887979539641943</v>
      </c>
      <c r="BA243" s="333">
        <v>9.0318260869565209E-2</v>
      </c>
      <c r="BB243" s="333">
        <v>12.917857142857141</v>
      </c>
      <c r="BC243" s="333">
        <v>1.8511851851851848</v>
      </c>
      <c r="BD243" s="333">
        <v>3.3236432110748775E-2</v>
      </c>
      <c r="BE243" s="333" t="s">
        <v>1125</v>
      </c>
      <c r="BF243" s="333">
        <v>2.0890496163682863</v>
      </c>
      <c r="BG243" s="333">
        <v>9.0126141800782947E-2</v>
      </c>
      <c r="BH243" s="333">
        <v>12.899550399201596</v>
      </c>
      <c r="BI243" s="333">
        <v>1.3204200000000001</v>
      </c>
      <c r="BJ243" s="420">
        <v>5.4957825813556375E-3</v>
      </c>
      <c r="BK243" s="333" t="s">
        <v>1126</v>
      </c>
      <c r="BL243" s="333" t="s">
        <v>1135</v>
      </c>
    </row>
    <row r="244" spans="1:64" ht="20.25" customHeight="1" thickBot="1" x14ac:dyDescent="0.35">
      <c r="A244" s="431" t="s">
        <v>1012</v>
      </c>
      <c r="B244" s="330" t="s">
        <v>952</v>
      </c>
      <c r="C244" s="4" t="s">
        <v>901</v>
      </c>
      <c r="D244" s="4" t="s">
        <v>1241</v>
      </c>
      <c r="G244" s="331">
        <v>32.075801339000002</v>
      </c>
      <c r="H244" s="331">
        <v>-7.8249452079999999</v>
      </c>
      <c r="J244" s="330" t="s">
        <v>992</v>
      </c>
      <c r="K244" s="5">
        <v>44895</v>
      </c>
      <c r="L244" s="341">
        <v>45282</v>
      </c>
      <c r="M244" s="342">
        <v>45315</v>
      </c>
      <c r="N244" s="340">
        <v>8.7100000000000009</v>
      </c>
      <c r="O244" s="343">
        <v>8.66</v>
      </c>
      <c r="P244" s="344">
        <v>21.51</v>
      </c>
      <c r="Q244" s="345">
        <v>32.369999999999997</v>
      </c>
      <c r="R244" s="343">
        <v>112.5</v>
      </c>
      <c r="S244" s="29">
        <f t="shared" si="78"/>
        <v>0.9375178920173467</v>
      </c>
      <c r="T244" s="29">
        <f t="shared" si="79"/>
        <v>2.0511525224473814</v>
      </c>
      <c r="U244" s="356">
        <f>O244*12.43</f>
        <v>107.6438</v>
      </c>
      <c r="V244" s="356">
        <f>9.4944*O244-4.8391</f>
        <v>77.382404000000008</v>
      </c>
      <c r="W244" s="356">
        <f>-0.144*(O244*O244)+11.253*O244+3.5274</f>
        <v>90.179013600000005</v>
      </c>
      <c r="X244" s="346">
        <v>8</v>
      </c>
      <c r="Y244" s="346">
        <v>36</v>
      </c>
      <c r="Z244" s="346">
        <v>56</v>
      </c>
      <c r="AA244" s="351" t="s">
        <v>886</v>
      </c>
      <c r="AB244" s="351" t="s">
        <v>881</v>
      </c>
      <c r="AC244" s="347">
        <v>0.92</v>
      </c>
      <c r="AE244" s="346">
        <v>23</v>
      </c>
      <c r="AF244" s="348">
        <v>872</v>
      </c>
      <c r="AG244" s="441">
        <v>1455</v>
      </c>
      <c r="AH244" s="330">
        <v>1079.4645</v>
      </c>
      <c r="AI244" s="441">
        <v>15029</v>
      </c>
      <c r="AJ244" s="330">
        <v>10741.2263</v>
      </c>
      <c r="AK244" s="441">
        <v>2451</v>
      </c>
      <c r="AL244" s="330">
        <v>1477.953</v>
      </c>
      <c r="AM244" s="330">
        <f t="shared" si="83"/>
        <v>13.810275534883189</v>
      </c>
      <c r="AN244" s="339" t="s">
        <v>997</v>
      </c>
      <c r="AU244" s="346">
        <v>10990.43</v>
      </c>
      <c r="AV244" s="348">
        <v>0.44</v>
      </c>
      <c r="AZ244" s="333">
        <v>1.8510485933503837</v>
      </c>
      <c r="BA244" s="333">
        <v>4.6933239130434785</v>
      </c>
      <c r="BB244" s="333">
        <v>53.674999999999997</v>
      </c>
      <c r="BC244" s="333">
        <v>12.164222222222222</v>
      </c>
      <c r="BD244" s="333">
        <v>0.81799976767203753</v>
      </c>
      <c r="BE244" s="333" t="s">
        <v>1125</v>
      </c>
      <c r="BF244" s="333">
        <v>1.8512716112531968</v>
      </c>
      <c r="BG244" s="333">
        <v>4.6833405828621144</v>
      </c>
      <c r="BH244" s="333">
        <v>53.598933632734528</v>
      </c>
      <c r="BI244" s="333">
        <v>8.676540000000001</v>
      </c>
      <c r="BJ244" s="420">
        <v>6.8061833183103881E-2</v>
      </c>
      <c r="BK244" s="333" t="s">
        <v>1126</v>
      </c>
      <c r="BL244" s="333" t="s">
        <v>1136</v>
      </c>
    </row>
    <row r="245" spans="1:64" ht="20.25" customHeight="1" thickBot="1" x14ac:dyDescent="0.35">
      <c r="A245" s="431" t="s">
        <v>1013</v>
      </c>
      <c r="B245" s="330" t="s">
        <v>952</v>
      </c>
      <c r="C245" s="4" t="s">
        <v>902</v>
      </c>
      <c r="D245" s="4" t="s">
        <v>1241</v>
      </c>
      <c r="G245" s="331">
        <v>32.075801339000002</v>
      </c>
      <c r="H245" s="331">
        <v>-7.8249452079999999</v>
      </c>
      <c r="J245" s="330" t="s">
        <v>992</v>
      </c>
      <c r="K245" s="5">
        <v>44895</v>
      </c>
      <c r="L245" s="341">
        <v>45282</v>
      </c>
      <c r="M245" s="342">
        <v>45315</v>
      </c>
      <c r="N245" s="340">
        <v>8.75</v>
      </c>
      <c r="O245" s="343">
        <v>9.31</v>
      </c>
      <c r="P245" s="344">
        <v>22.54</v>
      </c>
      <c r="Q245" s="345">
        <v>31.5</v>
      </c>
      <c r="R245" s="343">
        <v>108.6</v>
      </c>
      <c r="S245" s="29">
        <f t="shared" si="78"/>
        <v>0.9689496809813426</v>
      </c>
      <c r="T245" s="29">
        <f t="shared" si="79"/>
        <v>2.035829825252828</v>
      </c>
      <c r="U245" s="356">
        <f t="shared" ref="U245:U246" si="88">10.92*O245</f>
        <v>101.6652</v>
      </c>
      <c r="V245" s="356">
        <f t="shared" ref="V245:V246" si="89">9.5459*O245+2.1572</f>
        <v>91.029529000000011</v>
      </c>
      <c r="W245" s="356">
        <f t="shared" ref="W245:W246" si="90">9.7271*O245</f>
        <v>90.559301000000005</v>
      </c>
      <c r="X245" s="346">
        <v>10</v>
      </c>
      <c r="Y245" s="346">
        <v>40</v>
      </c>
      <c r="Z245" s="346">
        <v>50</v>
      </c>
      <c r="AA245" s="351" t="s">
        <v>883</v>
      </c>
      <c r="AB245" s="351" t="s">
        <v>888</v>
      </c>
      <c r="AC245" s="347">
        <v>0.94</v>
      </c>
      <c r="AE245" s="346">
        <v>32</v>
      </c>
      <c r="AF245" s="348">
        <v>1116</v>
      </c>
      <c r="AG245" s="441">
        <v>4968</v>
      </c>
      <c r="AH245" s="330">
        <v>3685.7592</v>
      </c>
      <c r="AI245" s="441">
        <v>15952</v>
      </c>
      <c r="AJ245" s="330">
        <v>11400.894399999999</v>
      </c>
      <c r="AK245" s="441">
        <v>2937</v>
      </c>
      <c r="AL245" s="330">
        <v>1771.011</v>
      </c>
      <c r="AM245" s="330">
        <f t="shared" si="83"/>
        <v>45.416917478478148</v>
      </c>
      <c r="AN245" s="339" t="s">
        <v>997</v>
      </c>
      <c r="AU245" s="346">
        <v>14181.2</v>
      </c>
      <c r="AV245" s="348">
        <v>0.64</v>
      </c>
      <c r="AZ245" s="333">
        <v>2.3690025575447571</v>
      </c>
      <c r="BA245" s="333">
        <v>16.025040000000001</v>
      </c>
      <c r="BB245" s="333">
        <v>56.971428571428568</v>
      </c>
      <c r="BC245" s="333">
        <v>14.576222222222222</v>
      </c>
      <c r="BD245" s="333">
        <v>2.679269688211622</v>
      </c>
      <c r="BE245" s="333" t="s">
        <v>1125</v>
      </c>
      <c r="BF245" s="333">
        <v>2.3692879795396418</v>
      </c>
      <c r="BG245" s="333">
        <v>15.990952588081775</v>
      </c>
      <c r="BH245" s="333">
        <v>56.89069061876247</v>
      </c>
      <c r="BI245" s="333">
        <v>10.396980000000001</v>
      </c>
      <c r="BJ245" s="420">
        <v>0.18670569272008095</v>
      </c>
      <c r="BK245" s="333" t="s">
        <v>1127</v>
      </c>
      <c r="BL245" s="333" t="s">
        <v>1136</v>
      </c>
    </row>
    <row r="246" spans="1:64" ht="20.25" customHeight="1" thickBot="1" x14ac:dyDescent="0.35">
      <c r="A246" s="431" t="s">
        <v>1014</v>
      </c>
      <c r="B246" s="330" t="s">
        <v>952</v>
      </c>
      <c r="C246" s="6" t="s">
        <v>903</v>
      </c>
      <c r="D246" s="6" t="s">
        <v>1240</v>
      </c>
      <c r="G246" s="334">
        <v>32.000123610000003</v>
      </c>
      <c r="H246" s="334">
        <v>-7.9317199609999998</v>
      </c>
      <c r="J246" s="330" t="s">
        <v>992</v>
      </c>
      <c r="K246" s="7">
        <v>44896</v>
      </c>
      <c r="L246" s="341">
        <v>45282</v>
      </c>
      <c r="M246" s="342">
        <v>45315</v>
      </c>
      <c r="N246" s="340">
        <v>8.6</v>
      </c>
      <c r="O246" s="343">
        <v>0.21</v>
      </c>
      <c r="P246" s="344">
        <v>0.26</v>
      </c>
      <c r="Q246" s="345">
        <v>0.41</v>
      </c>
      <c r="R246" s="343">
        <v>0.97</v>
      </c>
      <c r="S246" s="29">
        <f t="shared" si="78"/>
        <v>-0.6777807052660807</v>
      </c>
      <c r="T246" s="29">
        <f t="shared" si="79"/>
        <v>-1.322826573375516E-2</v>
      </c>
      <c r="U246" s="356">
        <f t="shared" si="88"/>
        <v>2.2931999999999997</v>
      </c>
      <c r="V246" s="356">
        <f t="shared" si="89"/>
        <v>4.1618390000000005</v>
      </c>
      <c r="W246" s="356">
        <f t="shared" si="90"/>
        <v>2.042691</v>
      </c>
      <c r="X246" s="346">
        <v>20</v>
      </c>
      <c r="Y246" s="346">
        <v>32</v>
      </c>
      <c r="Z246" s="346">
        <v>48</v>
      </c>
      <c r="AA246" s="351" t="s">
        <v>883</v>
      </c>
      <c r="AB246" s="351" t="s">
        <v>888</v>
      </c>
      <c r="AC246" s="347">
        <v>1.42</v>
      </c>
      <c r="AE246" s="346">
        <v>39</v>
      </c>
      <c r="AF246" s="348">
        <v>365</v>
      </c>
      <c r="AG246" s="441">
        <v>188</v>
      </c>
      <c r="AH246" s="330">
        <v>139.47720000000001</v>
      </c>
      <c r="AI246" s="441">
        <v>9490</v>
      </c>
      <c r="AJ246" s="330">
        <v>6782.5029999999997</v>
      </c>
      <c r="AK246" s="441">
        <v>447</v>
      </c>
      <c r="AL246" s="330">
        <v>269.541</v>
      </c>
      <c r="AM246" s="330">
        <f t="shared" si="83"/>
        <v>2.3488793589630674</v>
      </c>
      <c r="AN246" s="238" t="s">
        <v>1000</v>
      </c>
      <c r="AU246" s="346">
        <v>177.27</v>
      </c>
      <c r="AV246" s="348">
        <v>0.5</v>
      </c>
      <c r="AZ246" s="333">
        <v>0.77480818414322239</v>
      </c>
      <c r="BA246" s="333">
        <v>0.60642260869565223</v>
      </c>
      <c r="BB246" s="333">
        <v>33.892857142857146</v>
      </c>
      <c r="BC246" s="333">
        <v>2.2184444444444442</v>
      </c>
      <c r="BD246" s="333">
        <v>0.14271473354335826</v>
      </c>
      <c r="BE246" s="333" t="s">
        <v>1125</v>
      </c>
      <c r="BF246" s="333">
        <v>0.77490153452685417</v>
      </c>
      <c r="BG246" s="333">
        <v>0.6051326663766855</v>
      </c>
      <c r="BH246" s="333">
        <v>33.844825349301395</v>
      </c>
      <c r="BI246" s="333">
        <v>1.5823800000000001</v>
      </c>
      <c r="BJ246" s="420">
        <v>1.6440588149820006E-2</v>
      </c>
      <c r="BK246" s="333" t="s">
        <v>1126</v>
      </c>
      <c r="BL246" s="333" t="s">
        <v>1135</v>
      </c>
    </row>
    <row r="247" spans="1:64" ht="20.25" customHeight="1" thickBot="1" x14ac:dyDescent="0.35">
      <c r="A247" s="431" t="s">
        <v>1015</v>
      </c>
      <c r="B247" s="330" t="s">
        <v>952</v>
      </c>
      <c r="C247" s="6" t="s">
        <v>904</v>
      </c>
      <c r="D247" s="6" t="s">
        <v>1240</v>
      </c>
      <c r="G247" s="334">
        <v>31.982081943000001</v>
      </c>
      <c r="H247" s="334">
        <v>-7.9178726800000003</v>
      </c>
      <c r="J247" s="330" t="s">
        <v>992</v>
      </c>
      <c r="K247" s="7">
        <v>44896</v>
      </c>
      <c r="L247" s="341">
        <v>45282</v>
      </c>
      <c r="M247" s="342">
        <v>45315</v>
      </c>
      <c r="N247" s="340">
        <v>8.4499999999999993</v>
      </c>
      <c r="O247" s="343">
        <v>0.09</v>
      </c>
      <c r="P247" s="344">
        <v>0.18</v>
      </c>
      <c r="Q247" s="345">
        <v>0.28999999999999998</v>
      </c>
      <c r="R247" s="343">
        <v>0.81</v>
      </c>
      <c r="S247" s="29">
        <f t="shared" si="78"/>
        <v>-1.0457574905606752</v>
      </c>
      <c r="T247" s="29">
        <f t="shared" si="79"/>
        <v>-9.1514981121350217E-2</v>
      </c>
      <c r="U247" s="356">
        <f>O247*12.43</f>
        <v>1.1187</v>
      </c>
      <c r="V247" s="356">
        <f>9.4944*O247-4.8391</f>
        <v>-3.984604</v>
      </c>
      <c r="W247" s="356">
        <f>-0.144*(O247*O247)+11.253*O247+3.5274</f>
        <v>4.5390036</v>
      </c>
      <c r="X247" s="346">
        <v>16</v>
      </c>
      <c r="Y247" s="346">
        <v>24</v>
      </c>
      <c r="Z247" s="346">
        <v>60</v>
      </c>
      <c r="AA247" s="351" t="s">
        <v>886</v>
      </c>
      <c r="AB247" s="351" t="s">
        <v>881</v>
      </c>
      <c r="AC247" s="347">
        <v>1.02</v>
      </c>
      <c r="AE247" s="346">
        <v>40</v>
      </c>
      <c r="AF247" s="348">
        <v>378</v>
      </c>
      <c r="AG247" s="441">
        <v>34</v>
      </c>
      <c r="AH247" s="330">
        <v>25.224599999999999</v>
      </c>
      <c r="AI247" s="441">
        <v>6150</v>
      </c>
      <c r="AJ247" s="330">
        <v>4395.4049999999997</v>
      </c>
      <c r="AK247" s="441">
        <v>274</v>
      </c>
      <c r="AL247" s="330">
        <v>165.22200000000001</v>
      </c>
      <c r="AM247" s="330">
        <f t="shared" si="83"/>
        <v>0.52823479986052635</v>
      </c>
      <c r="AN247" s="238" t="s">
        <v>1000</v>
      </c>
      <c r="AU247" s="346">
        <v>70.91</v>
      </c>
      <c r="AV247" s="348">
        <v>0.59</v>
      </c>
      <c r="AZ247" s="333">
        <v>0.80240409207161123</v>
      </c>
      <c r="BA247" s="333">
        <v>0.10967217391304347</v>
      </c>
      <c r="BB247" s="333">
        <v>21.964285714285715</v>
      </c>
      <c r="BC247" s="333">
        <v>1.3598518518518519</v>
      </c>
      <c r="BD247" s="333">
        <v>3.2115053720796233E-2</v>
      </c>
      <c r="BE247" s="333" t="s">
        <v>1125</v>
      </c>
      <c r="BF247" s="333">
        <v>0.80250076726342701</v>
      </c>
      <c r="BG247" s="333">
        <v>0.10943888647237929</v>
      </c>
      <c r="BH247" s="333">
        <v>21.93315868263473</v>
      </c>
      <c r="BI247" s="333">
        <v>0.96996000000000004</v>
      </c>
      <c r="BJ247" s="420">
        <v>4.5953650386504992E-3</v>
      </c>
      <c r="BK247" s="333" t="s">
        <v>1126</v>
      </c>
      <c r="BL247" s="333" t="s">
        <v>1135</v>
      </c>
    </row>
    <row r="248" spans="1:64" ht="20.25" customHeight="1" thickBot="1" x14ac:dyDescent="0.35">
      <c r="A248" s="431" t="s">
        <v>1016</v>
      </c>
      <c r="B248" s="330" t="s">
        <v>952</v>
      </c>
      <c r="C248" s="6" t="s">
        <v>905</v>
      </c>
      <c r="D248" s="6" t="s">
        <v>1240</v>
      </c>
      <c r="G248" s="334">
        <v>31.996323862000001</v>
      </c>
      <c r="H248" s="334">
        <v>-7.9176944010000003</v>
      </c>
      <c r="J248" s="330" t="s">
        <v>992</v>
      </c>
      <c r="K248" s="7">
        <v>44896</v>
      </c>
      <c r="L248" s="341">
        <v>45282</v>
      </c>
      <c r="M248" s="342">
        <v>45315</v>
      </c>
      <c r="N248" s="340">
        <v>8.4</v>
      </c>
      <c r="O248" s="343">
        <v>0.11</v>
      </c>
      <c r="P248" s="344">
        <v>0.24</v>
      </c>
      <c r="Q248" s="345">
        <v>0.31</v>
      </c>
      <c r="R248" s="343">
        <v>0.97</v>
      </c>
      <c r="S248" s="29">
        <f t="shared" si="78"/>
        <v>-0.95860731484177497</v>
      </c>
      <c r="T248" s="29">
        <f t="shared" si="79"/>
        <v>-1.322826573375516E-2</v>
      </c>
      <c r="U248" s="356">
        <f>10.92*O248</f>
        <v>1.2012</v>
      </c>
      <c r="V248" s="356">
        <f>9.5459*O248+2.1572</f>
        <v>3.207249</v>
      </c>
      <c r="W248" s="356">
        <f>9.7271*O248</f>
        <v>1.0699810000000001</v>
      </c>
      <c r="X248" s="346">
        <v>20</v>
      </c>
      <c r="Y248" s="346">
        <v>30</v>
      </c>
      <c r="Z248" s="346">
        <v>50</v>
      </c>
      <c r="AA248" s="351" t="s">
        <v>883</v>
      </c>
      <c r="AB248" s="351" t="s">
        <v>888</v>
      </c>
      <c r="AC248" s="347">
        <v>2.38</v>
      </c>
      <c r="AE248" s="346">
        <v>40</v>
      </c>
      <c r="AF248" s="348">
        <v>368</v>
      </c>
      <c r="AG248" s="441">
        <v>56</v>
      </c>
      <c r="AH248" s="330">
        <v>41.546399999999998</v>
      </c>
      <c r="AI248" s="441">
        <v>11342</v>
      </c>
      <c r="AJ248" s="330">
        <v>8106.1274000000003</v>
      </c>
      <c r="AK248" s="441">
        <v>434</v>
      </c>
      <c r="AL248" s="330">
        <v>261.702</v>
      </c>
      <c r="AM248" s="330">
        <f t="shared" si="83"/>
        <v>0.64230601227283146</v>
      </c>
      <c r="AN248" s="238" t="s">
        <v>1000</v>
      </c>
      <c r="AU248" s="346">
        <v>35.450000000000003</v>
      </c>
      <c r="AV248" s="348">
        <v>0.7</v>
      </c>
      <c r="AZ248" s="333">
        <v>0.78117647058823525</v>
      </c>
      <c r="BA248" s="333">
        <v>0.18063652173913042</v>
      </c>
      <c r="BB248" s="333">
        <v>40.507142857142853</v>
      </c>
      <c r="BC248" s="333">
        <v>2.1539259259259258</v>
      </c>
      <c r="BD248" s="333">
        <v>3.9111519976968954E-2</v>
      </c>
      <c r="BE248" s="333" t="s">
        <v>1125</v>
      </c>
      <c r="BF248" s="333">
        <v>0.78127058823529405</v>
      </c>
      <c r="BG248" s="333">
        <v>0.18025228360156589</v>
      </c>
      <c r="BH248" s="333">
        <v>40.449737524950102</v>
      </c>
      <c r="BI248" s="333">
        <v>1.5363600000000002</v>
      </c>
      <c r="BJ248" s="420">
        <v>4.1970260968184183E-3</v>
      </c>
      <c r="BK248" s="333" t="s">
        <v>1126</v>
      </c>
      <c r="BL248" s="333" t="s">
        <v>1135</v>
      </c>
    </row>
    <row r="249" spans="1:64" ht="20.25" customHeight="1" thickBot="1" x14ac:dyDescent="0.35">
      <c r="A249" s="431" t="s">
        <v>1017</v>
      </c>
      <c r="B249" s="330" t="s">
        <v>952</v>
      </c>
      <c r="C249" s="6" t="s">
        <v>906</v>
      </c>
      <c r="D249" s="6" t="s">
        <v>1240</v>
      </c>
      <c r="G249" s="334">
        <v>31.939157000000002</v>
      </c>
      <c r="H249" s="334">
        <v>-7.9084260000000004</v>
      </c>
      <c r="J249" s="330" t="s">
        <v>992</v>
      </c>
      <c r="K249" s="7">
        <v>44896</v>
      </c>
      <c r="L249" s="341">
        <v>45282</v>
      </c>
      <c r="M249" s="342">
        <v>45315</v>
      </c>
      <c r="N249" s="340">
        <v>8.59</v>
      </c>
      <c r="O249" s="343">
        <v>7.0000000000000007E-2</v>
      </c>
      <c r="P249" s="344">
        <v>0.14000000000000001</v>
      </c>
      <c r="Q249" s="345">
        <v>0.23</v>
      </c>
      <c r="R249" s="343">
        <v>0.52</v>
      </c>
      <c r="S249" s="29">
        <f t="shared" si="78"/>
        <v>-1.1549019599857431</v>
      </c>
      <c r="T249" s="29">
        <f t="shared" si="79"/>
        <v>-0.28399665636520083</v>
      </c>
      <c r="U249" s="356">
        <f>O249*12.43</f>
        <v>0.8701000000000001</v>
      </c>
      <c r="V249" s="356">
        <f>9.4944*O249-4.8391</f>
        <v>-4.1744919999999999</v>
      </c>
      <c r="W249" s="356">
        <f>-0.144*(O249*O249)+11.253*O249+3.5274</f>
        <v>4.3144043999999999</v>
      </c>
      <c r="X249" s="346">
        <v>16</v>
      </c>
      <c r="Y249" s="346">
        <v>58</v>
      </c>
      <c r="Z249" s="346">
        <v>26</v>
      </c>
      <c r="AA249" s="351" t="s">
        <v>884</v>
      </c>
      <c r="AB249" s="351" t="s">
        <v>881</v>
      </c>
      <c r="AC249" s="347">
        <v>1.19</v>
      </c>
      <c r="AE249" s="346">
        <v>21</v>
      </c>
      <c r="AF249" s="348">
        <v>262</v>
      </c>
      <c r="AG249" s="441">
        <v>51</v>
      </c>
      <c r="AH249" s="330">
        <v>37.8369</v>
      </c>
      <c r="AI249" s="441">
        <v>7190</v>
      </c>
      <c r="AJ249" s="330">
        <v>5138.6930000000002</v>
      </c>
      <c r="AK249" s="441">
        <v>258</v>
      </c>
      <c r="AL249" s="330">
        <v>155.57399999999998</v>
      </c>
      <c r="AM249" s="330">
        <f t="shared" si="83"/>
        <v>0.73540677258564691</v>
      </c>
      <c r="AN249" s="238" t="s">
        <v>1000</v>
      </c>
      <c r="AU249" s="346">
        <v>70.91</v>
      </c>
      <c r="AV249" s="348">
        <v>0.41</v>
      </c>
      <c r="AZ249" s="333">
        <v>0.55616368286445006</v>
      </c>
      <c r="BA249" s="333">
        <v>0.16450826086956521</v>
      </c>
      <c r="BB249" s="333">
        <v>25.678571428571427</v>
      </c>
      <c r="BC249" s="333">
        <v>1.2804444444444443</v>
      </c>
      <c r="BD249" s="333">
        <v>4.4807497763086498E-2</v>
      </c>
      <c r="BE249" s="333" t="s">
        <v>1125</v>
      </c>
      <c r="BF249" s="333">
        <v>0.5562306905370844</v>
      </c>
      <c r="BG249" s="333">
        <v>0.16415832970856895</v>
      </c>
      <c r="BH249" s="333">
        <v>25.642180638722554</v>
      </c>
      <c r="BI249" s="333">
        <v>0.91332000000000002</v>
      </c>
      <c r="BJ249" s="420">
        <v>6.0184408927095919E-3</v>
      </c>
      <c r="BK249" s="333" t="s">
        <v>1126</v>
      </c>
      <c r="BL249" s="333" t="s">
        <v>1135</v>
      </c>
    </row>
    <row r="250" spans="1:64" ht="20.25" customHeight="1" thickBot="1" x14ac:dyDescent="0.35">
      <c r="A250" s="431" t="s">
        <v>1018</v>
      </c>
      <c r="B250" s="330" t="s">
        <v>952</v>
      </c>
      <c r="C250" s="6" t="s">
        <v>907</v>
      </c>
      <c r="D250" s="6" t="s">
        <v>1240</v>
      </c>
      <c r="G250" s="334">
        <v>31.988385999999998</v>
      </c>
      <c r="H250" s="334">
        <v>-7.8320610000000004</v>
      </c>
      <c r="J250" s="330" t="s">
        <v>992</v>
      </c>
      <c r="K250" s="7">
        <v>44896</v>
      </c>
      <c r="L250" s="341">
        <v>45282</v>
      </c>
      <c r="M250" s="342">
        <v>45315</v>
      </c>
      <c r="N250" s="340">
        <v>8.3699999999999992</v>
      </c>
      <c r="O250" s="343">
        <v>0.28999999999999998</v>
      </c>
      <c r="P250" s="344">
        <v>0.63</v>
      </c>
      <c r="Q250" s="345">
        <v>0.94</v>
      </c>
      <c r="R250" s="343">
        <v>2.58</v>
      </c>
      <c r="S250" s="29">
        <f t="shared" si="78"/>
        <v>-0.53760200210104392</v>
      </c>
      <c r="T250" s="29">
        <f t="shared" si="79"/>
        <v>0.41161970596323016</v>
      </c>
      <c r="U250" s="356">
        <f>10.92*O250</f>
        <v>3.1667999999999998</v>
      </c>
      <c r="V250" s="356">
        <f>9.5459*O250+2.1572</f>
        <v>4.9255110000000002</v>
      </c>
      <c r="W250" s="356">
        <f>9.7271*O250</f>
        <v>2.820859</v>
      </c>
      <c r="X250" s="346">
        <v>22</v>
      </c>
      <c r="Y250" s="346">
        <v>42</v>
      </c>
      <c r="Z250" s="346">
        <v>36</v>
      </c>
      <c r="AA250" s="351" t="s">
        <v>883</v>
      </c>
      <c r="AB250" s="351" t="s">
        <v>888</v>
      </c>
      <c r="AC250" s="347">
        <v>1.68</v>
      </c>
      <c r="AE250" s="346">
        <v>34</v>
      </c>
      <c r="AF250" s="348">
        <v>552</v>
      </c>
      <c r="AG250" s="441">
        <v>295</v>
      </c>
      <c r="AH250" s="330">
        <v>218.8605</v>
      </c>
      <c r="AI250" s="441">
        <v>9919</v>
      </c>
      <c r="AJ250" s="330">
        <v>7089.1093000000001</v>
      </c>
      <c r="AK250" s="441">
        <v>907</v>
      </c>
      <c r="AL250" s="330">
        <v>546.92099999999994</v>
      </c>
      <c r="AM250" s="330">
        <f t="shared" si="83"/>
        <v>3.5420000532382523</v>
      </c>
      <c r="AN250" s="238" t="s">
        <v>1000</v>
      </c>
      <c r="AU250" s="346">
        <v>212.72</v>
      </c>
      <c r="AV250" s="348">
        <v>0.81</v>
      </c>
      <c r="AZ250" s="333">
        <v>1.1717647058823528</v>
      </c>
      <c r="BA250" s="333">
        <v>0.95156739130434786</v>
      </c>
      <c r="BB250" s="333">
        <v>35.424999999999997</v>
      </c>
      <c r="BC250" s="333">
        <v>4.5014074074074069</v>
      </c>
      <c r="BD250" s="333">
        <v>0.21297294279551968</v>
      </c>
      <c r="BE250" s="333" t="s">
        <v>1125</v>
      </c>
      <c r="BF250" s="333">
        <v>1.1719058823529411</v>
      </c>
      <c r="BG250" s="333">
        <v>0.9495432796868204</v>
      </c>
      <c r="BH250" s="333">
        <v>35.374796906187626</v>
      </c>
      <c r="BI250" s="333">
        <v>3.2107800000000002</v>
      </c>
      <c r="BJ250" s="420">
        <v>2.3326274881769297E-2</v>
      </c>
      <c r="BK250" s="333" t="s">
        <v>1126</v>
      </c>
      <c r="BL250" s="333" t="s">
        <v>1135</v>
      </c>
    </row>
    <row r="251" spans="1:64" ht="20.25" customHeight="1" thickBot="1" x14ac:dyDescent="0.35">
      <c r="A251" s="431" t="s">
        <v>1019</v>
      </c>
      <c r="B251" s="330" t="s">
        <v>952</v>
      </c>
      <c r="C251" s="6" t="s">
        <v>908</v>
      </c>
      <c r="D251" s="6" t="s">
        <v>1240</v>
      </c>
      <c r="G251" s="334">
        <v>32.015898</v>
      </c>
      <c r="H251" s="334">
        <v>-7.7926190000000002</v>
      </c>
      <c r="J251" s="330" t="s">
        <v>992</v>
      </c>
      <c r="K251" s="7">
        <v>44896</v>
      </c>
      <c r="L251" s="341">
        <v>45282</v>
      </c>
      <c r="M251" s="342">
        <v>45315</v>
      </c>
      <c r="N251" s="340">
        <v>8.4</v>
      </c>
      <c r="O251" s="343">
        <v>0.11</v>
      </c>
      <c r="P251" s="344">
        <v>0.22</v>
      </c>
      <c r="Q251" s="345">
        <v>0.39</v>
      </c>
      <c r="R251" s="343">
        <v>1.02</v>
      </c>
      <c r="S251" s="29">
        <f t="shared" si="78"/>
        <v>-0.95860731484177497</v>
      </c>
      <c r="T251" s="29">
        <f t="shared" si="79"/>
        <v>8.6001717619175692E-3</v>
      </c>
      <c r="U251" s="356">
        <f t="shared" ref="U251:U252" si="91">O251*9.63</f>
        <v>1.0593000000000001</v>
      </c>
      <c r="V251" s="354">
        <f t="shared" ref="V251:V252" si="92">9.0013*O251+4.2416</f>
        <v>5.2317429999999998</v>
      </c>
      <c r="W251" s="354">
        <f t="shared" ref="W251:W252" si="93">9.347*O251</f>
        <v>1.02817</v>
      </c>
      <c r="X251" s="346">
        <v>34</v>
      </c>
      <c r="Y251" s="346">
        <v>44</v>
      </c>
      <c r="Z251" s="346">
        <v>22</v>
      </c>
      <c r="AA251" s="351" t="s">
        <v>882</v>
      </c>
      <c r="AB251" s="351" t="s">
        <v>878</v>
      </c>
      <c r="AC251" s="347">
        <v>1.27</v>
      </c>
      <c r="AE251" s="346">
        <v>40</v>
      </c>
      <c r="AF251" s="348">
        <v>873</v>
      </c>
      <c r="AG251" s="441">
        <v>242</v>
      </c>
      <c r="AH251" s="330">
        <v>179.53980000000001</v>
      </c>
      <c r="AI251" s="441">
        <v>3495</v>
      </c>
      <c r="AJ251" s="330">
        <v>2497.8764999999999</v>
      </c>
      <c r="AK251" s="441">
        <v>1119</v>
      </c>
      <c r="AL251" s="330">
        <v>674.75699999999995</v>
      </c>
      <c r="AM251" s="330">
        <f t="shared" si="83"/>
        <v>4.5078118622383405</v>
      </c>
      <c r="AN251" s="238" t="s">
        <v>1000</v>
      </c>
      <c r="AU251" s="346">
        <v>212.72</v>
      </c>
      <c r="AV251" s="348">
        <v>0.51</v>
      </c>
      <c r="AZ251" s="333">
        <v>1.8531713554987208</v>
      </c>
      <c r="BA251" s="333">
        <v>0.78060782608695656</v>
      </c>
      <c r="BB251" s="333">
        <v>12.482142857142858</v>
      </c>
      <c r="BC251" s="333">
        <v>5.5535555555555547</v>
      </c>
      <c r="BD251" s="333">
        <v>0.25994496907343301</v>
      </c>
      <c r="BE251" s="333" t="s">
        <v>1125</v>
      </c>
      <c r="BF251" s="333">
        <v>1.8533946291560102</v>
      </c>
      <c r="BG251" s="333">
        <v>0.7789473684210525</v>
      </c>
      <c r="BH251" s="333">
        <v>12.464453592814371</v>
      </c>
      <c r="BI251" s="333">
        <v>3.9612600000000002</v>
      </c>
      <c r="BJ251" s="420">
        <v>4.0872342129895829E-2</v>
      </c>
      <c r="BK251" s="333" t="s">
        <v>1126</v>
      </c>
      <c r="BL251" s="333" t="s">
        <v>1135</v>
      </c>
    </row>
    <row r="252" spans="1:64" ht="20.25" customHeight="1" thickBot="1" x14ac:dyDescent="0.35">
      <c r="A252" s="431" t="s">
        <v>1020</v>
      </c>
      <c r="B252" s="330" t="s">
        <v>952</v>
      </c>
      <c r="C252" s="6" t="s">
        <v>909</v>
      </c>
      <c r="D252" s="6" t="s">
        <v>1240</v>
      </c>
      <c r="G252" s="334">
        <v>32.066674999999996</v>
      </c>
      <c r="H252" s="334">
        <v>-7.6997530000000003</v>
      </c>
      <c r="J252" s="330" t="s">
        <v>992</v>
      </c>
      <c r="K252" s="7">
        <v>44896</v>
      </c>
      <c r="L252" s="341">
        <v>45282</v>
      </c>
      <c r="M252" s="342">
        <v>45315</v>
      </c>
      <c r="N252" s="340">
        <v>8.4499999999999993</v>
      </c>
      <c r="O252" s="343">
        <v>0.22</v>
      </c>
      <c r="P252" s="344">
        <v>0.53</v>
      </c>
      <c r="Q252" s="345">
        <v>0.75</v>
      </c>
      <c r="R252" s="343">
        <v>1.96</v>
      </c>
      <c r="S252" s="29">
        <f t="shared" si="78"/>
        <v>-0.65757731917779372</v>
      </c>
      <c r="T252" s="29">
        <f t="shared" si="79"/>
        <v>0.29225607135647602</v>
      </c>
      <c r="U252" s="356">
        <f t="shared" si="91"/>
        <v>2.1186000000000003</v>
      </c>
      <c r="V252" s="354">
        <f t="shared" si="92"/>
        <v>6.2218860000000005</v>
      </c>
      <c r="W252" s="354">
        <f t="shared" si="93"/>
        <v>2.0563400000000001</v>
      </c>
      <c r="X252" s="346">
        <v>40</v>
      </c>
      <c r="Y252" s="346">
        <v>36</v>
      </c>
      <c r="Z252" s="346">
        <v>24</v>
      </c>
      <c r="AA252" s="351" t="s">
        <v>882</v>
      </c>
      <c r="AB252" s="351" t="s">
        <v>878</v>
      </c>
      <c r="AC252" s="347">
        <v>1.52</v>
      </c>
      <c r="AE252" s="346">
        <v>43</v>
      </c>
      <c r="AF252" s="348">
        <v>416</v>
      </c>
      <c r="AG252" s="441">
        <v>385</v>
      </c>
      <c r="AH252" s="330">
        <v>285.63150000000002</v>
      </c>
      <c r="AI252" s="441">
        <v>3939</v>
      </c>
      <c r="AJ252" s="330">
        <v>2815.2033000000001</v>
      </c>
      <c r="AK252" s="441">
        <v>749</v>
      </c>
      <c r="AL252" s="330">
        <v>451.64699999999999</v>
      </c>
      <c r="AM252" s="330">
        <f t="shared" si="83"/>
        <v>7.0673480775739526</v>
      </c>
      <c r="AN252" s="238" t="s">
        <v>1000</v>
      </c>
      <c r="AU252" s="346">
        <v>319.08</v>
      </c>
      <c r="AV252" s="348">
        <v>0.75</v>
      </c>
      <c r="AZ252" s="333">
        <v>0.8830690537084398</v>
      </c>
      <c r="BA252" s="333">
        <v>1.2418760869565217</v>
      </c>
      <c r="BB252" s="333">
        <v>14.067857142857141</v>
      </c>
      <c r="BC252" s="333">
        <v>3.7172592592592588</v>
      </c>
      <c r="BD252" s="333">
        <v>0.41645195619064562</v>
      </c>
      <c r="BE252" s="333" t="s">
        <v>1125</v>
      </c>
      <c r="BF252" s="333">
        <v>0.88317544757033251</v>
      </c>
      <c r="BG252" s="333">
        <v>1.2392344497607655</v>
      </c>
      <c r="BH252" s="333">
        <v>14.047920658682635</v>
      </c>
      <c r="BI252" s="333">
        <v>2.6514600000000002</v>
      </c>
      <c r="BJ252" s="420">
        <v>6.5840412264327242E-2</v>
      </c>
      <c r="BK252" s="333" t="s">
        <v>1126</v>
      </c>
      <c r="BL252" s="333" t="s">
        <v>1135</v>
      </c>
    </row>
    <row r="253" spans="1:64" ht="20.25" customHeight="1" thickBot="1" x14ac:dyDescent="0.35">
      <c r="A253" s="431" t="s">
        <v>1021</v>
      </c>
      <c r="B253" s="330" t="s">
        <v>952</v>
      </c>
      <c r="C253" s="8" t="s">
        <v>910</v>
      </c>
      <c r="D253" s="8" t="s">
        <v>1240</v>
      </c>
      <c r="G253" s="335">
        <v>32.167651999999997</v>
      </c>
      <c r="H253" s="335">
        <v>-7.5987650000000002</v>
      </c>
      <c r="J253" s="330" t="s">
        <v>992</v>
      </c>
      <c r="K253" s="9">
        <v>44898</v>
      </c>
      <c r="L253" s="341">
        <v>45282</v>
      </c>
      <c r="M253" s="342">
        <v>45315</v>
      </c>
      <c r="N253" s="340">
        <v>8.08</v>
      </c>
      <c r="O253" s="343">
        <v>0.47</v>
      </c>
      <c r="P253" s="344">
        <v>1.24</v>
      </c>
      <c r="Q253" s="345">
        <v>2.02</v>
      </c>
      <c r="R253" s="343">
        <v>5.36</v>
      </c>
      <c r="S253" s="29">
        <f t="shared" si="78"/>
        <v>-0.32790214206428259</v>
      </c>
      <c r="T253" s="29">
        <f t="shared" si="79"/>
        <v>0.7291647896927701</v>
      </c>
      <c r="U253" s="356">
        <f>10.92*O253</f>
        <v>5.1323999999999996</v>
      </c>
      <c r="V253" s="356">
        <f>9.5459*O253+2.1572</f>
        <v>6.6437729999999995</v>
      </c>
      <c r="W253" s="356">
        <f>9.7271*O253</f>
        <v>4.5717369999999997</v>
      </c>
      <c r="X253" s="346">
        <v>24</v>
      </c>
      <c r="Y253" s="346">
        <v>40</v>
      </c>
      <c r="Z253" s="346">
        <v>36</v>
      </c>
      <c r="AA253" s="351" t="s">
        <v>883</v>
      </c>
      <c r="AB253" s="351" t="s">
        <v>888</v>
      </c>
      <c r="AC253" s="347">
        <v>1.04</v>
      </c>
      <c r="AE253" s="346">
        <v>70</v>
      </c>
      <c r="AF253" s="348">
        <v>510</v>
      </c>
      <c r="AG253" s="441">
        <v>43</v>
      </c>
      <c r="AH253" s="330">
        <v>31.901700000000002</v>
      </c>
      <c r="AI253" s="441">
        <v>10050</v>
      </c>
      <c r="AJ253" s="330">
        <v>7182.7349999999997</v>
      </c>
      <c r="AK253" s="441">
        <v>812</v>
      </c>
      <c r="AL253" s="330">
        <v>489.63599999999997</v>
      </c>
      <c r="AM253" s="330">
        <f t="shared" si="83"/>
        <v>0.5150673571221559</v>
      </c>
      <c r="AN253" s="238" t="s">
        <v>1000</v>
      </c>
      <c r="AU253" s="346">
        <v>141.81</v>
      </c>
      <c r="AV253" s="348">
        <v>0.36</v>
      </c>
      <c r="AZ253" s="333">
        <v>1.0826086956521739</v>
      </c>
      <c r="BA253" s="333">
        <v>0.13870304347826087</v>
      </c>
      <c r="BB253" s="333">
        <v>35.892857142857146</v>
      </c>
      <c r="BC253" s="333">
        <v>4.0299259259259257</v>
      </c>
      <c r="BD253" s="333">
        <v>3.1044922786413159E-2</v>
      </c>
      <c r="BE253" s="333" t="s">
        <v>1125</v>
      </c>
      <c r="BF253" s="333">
        <v>1.0827391304347826</v>
      </c>
      <c r="BG253" s="333">
        <v>0.13840800347977381</v>
      </c>
      <c r="BH253" s="333">
        <v>35.841991017964069</v>
      </c>
      <c r="BI253" s="333">
        <v>2.8744800000000001</v>
      </c>
      <c r="BJ253" s="420">
        <v>3.4656048578916875E-3</v>
      </c>
      <c r="BK253" s="333" t="s">
        <v>1126</v>
      </c>
      <c r="BL253" s="333" t="s">
        <v>1135</v>
      </c>
    </row>
    <row r="254" spans="1:64" ht="20.25" customHeight="1" thickBot="1" x14ac:dyDescent="0.35">
      <c r="A254" s="431" t="s">
        <v>1022</v>
      </c>
      <c r="B254" s="330" t="s">
        <v>952</v>
      </c>
      <c r="C254" s="8" t="s">
        <v>911</v>
      </c>
      <c r="D254" s="8" t="s">
        <v>1240</v>
      </c>
      <c r="G254" s="335">
        <v>32.176766000000001</v>
      </c>
      <c r="H254" s="335">
        <v>-7.6228009999999999</v>
      </c>
      <c r="J254" s="330" t="s">
        <v>992</v>
      </c>
      <c r="K254" s="9">
        <v>44898</v>
      </c>
      <c r="L254" s="341">
        <v>45282</v>
      </c>
      <c r="M254" s="342">
        <v>45315</v>
      </c>
      <c r="N254" s="340">
        <v>8.26</v>
      </c>
      <c r="O254" s="343">
        <v>1.19</v>
      </c>
      <c r="P254" s="344">
        <v>2.82</v>
      </c>
      <c r="Q254" s="345">
        <v>3.05</v>
      </c>
      <c r="R254" s="343">
        <v>10.27</v>
      </c>
      <c r="S254" s="29">
        <f t="shared" si="78"/>
        <v>7.554696139253074E-2</v>
      </c>
      <c r="T254" s="29">
        <f t="shared" si="79"/>
        <v>1.0115704435972781</v>
      </c>
      <c r="U254" s="356">
        <f t="shared" ref="U254:U255" si="94">O254*9.63</f>
        <v>11.4597</v>
      </c>
      <c r="V254" s="354">
        <f t="shared" ref="V254:V255" si="95">9.0013*O254+4.2416</f>
        <v>14.953147</v>
      </c>
      <c r="W254" s="354">
        <f t="shared" ref="W254:W255" si="96">9.347*O254</f>
        <v>11.122929999999998</v>
      </c>
      <c r="X254" s="346">
        <v>34</v>
      </c>
      <c r="Y254" s="346">
        <v>38</v>
      </c>
      <c r="Z254" s="346">
        <v>28</v>
      </c>
      <c r="AA254" s="351" t="s">
        <v>882</v>
      </c>
      <c r="AB254" s="351" t="s">
        <v>878</v>
      </c>
      <c r="AC254" s="347">
        <v>2.2799999999999998</v>
      </c>
      <c r="AE254" s="346">
        <v>54</v>
      </c>
      <c r="AF254" s="348">
        <v>474</v>
      </c>
      <c r="AG254" s="441">
        <v>1834</v>
      </c>
      <c r="AH254" s="330">
        <v>1360.6446000000001</v>
      </c>
      <c r="AI254" s="441">
        <v>10125</v>
      </c>
      <c r="AJ254" s="330">
        <v>7236.3374999999996</v>
      </c>
      <c r="AK254" s="441">
        <v>1699</v>
      </c>
      <c r="AL254" s="330">
        <v>1024.4970000000001</v>
      </c>
      <c r="AM254" s="330">
        <f t="shared" si="83"/>
        <v>21.171310398544321</v>
      </c>
      <c r="AN254" s="339" t="s">
        <v>999</v>
      </c>
      <c r="AU254" s="346">
        <v>1843.56</v>
      </c>
      <c r="AV254" s="348" t="s">
        <v>318</v>
      </c>
      <c r="AZ254" s="333">
        <v>1.0061892583120204</v>
      </c>
      <c r="BA254" s="333">
        <v>5.9158460869565213</v>
      </c>
      <c r="BB254" s="333">
        <v>36.160714285714285</v>
      </c>
      <c r="BC254" s="333">
        <v>8.4320740740740749</v>
      </c>
      <c r="BD254" s="333">
        <v>1.2528513622706603</v>
      </c>
      <c r="BE254" s="333" t="s">
        <v>1125</v>
      </c>
      <c r="BF254" s="333">
        <v>1.0063104859335039</v>
      </c>
      <c r="BG254" s="333">
        <v>5.903262287951283</v>
      </c>
      <c r="BH254" s="333">
        <v>36.109468562874248</v>
      </c>
      <c r="BI254" s="333">
        <v>6.0144600000000006</v>
      </c>
      <c r="BJ254" s="420">
        <v>0.12039242817697322</v>
      </c>
      <c r="BK254" s="333" t="s">
        <v>1126</v>
      </c>
      <c r="BL254" s="333" t="s">
        <v>1136</v>
      </c>
    </row>
    <row r="255" spans="1:64" ht="20.25" customHeight="1" thickBot="1" x14ac:dyDescent="0.35">
      <c r="A255" s="431" t="s">
        <v>1023</v>
      </c>
      <c r="B255" s="330" t="s">
        <v>952</v>
      </c>
      <c r="C255" s="8" t="s">
        <v>912</v>
      </c>
      <c r="D255" s="8" t="s">
        <v>1240</v>
      </c>
      <c r="G255" s="335">
        <v>32.183675000000001</v>
      </c>
      <c r="H255" s="335">
        <v>-7.6467299999999998</v>
      </c>
      <c r="J255" s="330" t="s">
        <v>992</v>
      </c>
      <c r="K255" s="9">
        <v>44898</v>
      </c>
      <c r="L255" s="341">
        <v>45282</v>
      </c>
      <c r="M255" s="342">
        <v>45315</v>
      </c>
      <c r="N255" s="340">
        <v>8.42</v>
      </c>
      <c r="O255" s="343">
        <v>0.3</v>
      </c>
      <c r="P255" s="344">
        <v>0.71</v>
      </c>
      <c r="Q255" s="345">
        <v>1</v>
      </c>
      <c r="R255" s="343">
        <v>2.6</v>
      </c>
      <c r="S255" s="29">
        <f t="shared" si="78"/>
        <v>-0.52287874528033762</v>
      </c>
      <c r="T255" s="29">
        <f t="shared" si="79"/>
        <v>0.41497334797081797</v>
      </c>
      <c r="U255" s="356">
        <f t="shared" si="94"/>
        <v>2.8890000000000002</v>
      </c>
      <c r="V255" s="354">
        <f t="shared" si="95"/>
        <v>6.9419900000000005</v>
      </c>
      <c r="W255" s="354">
        <f t="shared" si="96"/>
        <v>2.8040999999999996</v>
      </c>
      <c r="X255" s="346">
        <v>30</v>
      </c>
      <c r="Y255" s="346">
        <v>44</v>
      </c>
      <c r="Z255" s="346">
        <v>26</v>
      </c>
      <c r="AA255" s="351" t="s">
        <v>882</v>
      </c>
      <c r="AB255" s="351" t="s">
        <v>878</v>
      </c>
      <c r="AC255" s="347">
        <v>1.51</v>
      </c>
      <c r="AE255" s="346">
        <v>70</v>
      </c>
      <c r="AF255" s="348">
        <v>261</v>
      </c>
      <c r="AG255" s="441">
        <v>373</v>
      </c>
      <c r="AH255" s="330">
        <v>276.7287</v>
      </c>
      <c r="AI255" s="441">
        <v>10848</v>
      </c>
      <c r="AJ255" s="330">
        <v>7753.0655999999999</v>
      </c>
      <c r="AK255" s="441">
        <v>1505</v>
      </c>
      <c r="AL255" s="330">
        <v>907.51499999999999</v>
      </c>
      <c r="AM255" s="330">
        <f t="shared" si="83"/>
        <v>4.2052875440208028</v>
      </c>
      <c r="AN255" s="238" t="s">
        <v>1000</v>
      </c>
      <c r="AU255" s="346">
        <v>212.72</v>
      </c>
      <c r="AV255" s="348">
        <v>0.63</v>
      </c>
      <c r="AZ255" s="333">
        <v>0.55404092071611255</v>
      </c>
      <c r="BA255" s="333">
        <v>1.2031682608695653</v>
      </c>
      <c r="BB255" s="333">
        <v>38.742857142857147</v>
      </c>
      <c r="BC255" s="333">
        <v>7.4692592592592586</v>
      </c>
      <c r="BD255" s="333">
        <v>0.25030149029401721</v>
      </c>
      <c r="BE255" s="333" t="s">
        <v>1125</v>
      </c>
      <c r="BF255" s="333">
        <v>0.55410767263427108</v>
      </c>
      <c r="BG255" s="333">
        <v>1.2006089604175727</v>
      </c>
      <c r="BH255" s="333">
        <v>38.687952095808384</v>
      </c>
      <c r="BI255" s="333">
        <v>5.3277000000000001</v>
      </c>
      <c r="BJ255" s="420">
        <v>2.6231140228078084E-2</v>
      </c>
      <c r="BK255" s="333" t="s">
        <v>1126</v>
      </c>
      <c r="BL255" s="333" t="s">
        <v>1135</v>
      </c>
    </row>
    <row r="256" spans="1:64" ht="20.25" customHeight="1" thickBot="1" x14ac:dyDescent="0.35">
      <c r="A256" s="431" t="s">
        <v>1024</v>
      </c>
      <c r="B256" s="330" t="s">
        <v>952</v>
      </c>
      <c r="C256" s="8" t="s">
        <v>913</v>
      </c>
      <c r="D256" s="8" t="s">
        <v>1240</v>
      </c>
      <c r="G256" s="335">
        <v>32.164704999999998</v>
      </c>
      <c r="H256" s="335">
        <v>-7.6384889999999999</v>
      </c>
      <c r="J256" s="330" t="s">
        <v>992</v>
      </c>
      <c r="K256" s="9">
        <v>44898</v>
      </c>
      <c r="L256" s="341">
        <v>45282</v>
      </c>
      <c r="M256" s="342">
        <v>45315</v>
      </c>
      <c r="N256" s="340">
        <v>8.4</v>
      </c>
      <c r="O256" s="343">
        <v>0.2</v>
      </c>
      <c r="P256" s="344">
        <v>0.45</v>
      </c>
      <c r="Q256" s="345">
        <v>0.59</v>
      </c>
      <c r="R256" s="343">
        <v>1.52</v>
      </c>
      <c r="S256" s="29">
        <f t="shared" si="78"/>
        <v>-0.69897000433601875</v>
      </c>
      <c r="T256" s="29">
        <f t="shared" si="79"/>
        <v>0.18184358794477254</v>
      </c>
      <c r="U256" s="356">
        <f t="shared" ref="U256:U257" si="97">10.92*O256</f>
        <v>2.1840000000000002</v>
      </c>
      <c r="V256" s="356">
        <f t="shared" ref="V256:V257" si="98">9.5459*O256+2.1572</f>
        <v>4.0663800000000005</v>
      </c>
      <c r="W256" s="356">
        <f t="shared" ref="W256:W257" si="99">9.7271*O256</f>
        <v>1.9454200000000001</v>
      </c>
      <c r="X256" s="346">
        <v>24</v>
      </c>
      <c r="Y256" s="346">
        <v>46</v>
      </c>
      <c r="Z256" s="346">
        <v>30</v>
      </c>
      <c r="AA256" s="351" t="s">
        <v>883</v>
      </c>
      <c r="AB256" s="351" t="s">
        <v>888</v>
      </c>
      <c r="AC256" s="347">
        <v>1.1399999999999999</v>
      </c>
      <c r="AE256" s="346">
        <v>52</v>
      </c>
      <c r="AF256" s="348">
        <v>863</v>
      </c>
      <c r="AG256" s="441">
        <v>48</v>
      </c>
      <c r="AH256" s="330">
        <v>35.611199999999997</v>
      </c>
      <c r="AI256" s="441">
        <v>11847</v>
      </c>
      <c r="AJ256" s="330">
        <v>8467.0509000000002</v>
      </c>
      <c r="AK256" s="441">
        <v>880</v>
      </c>
      <c r="AL256" s="330">
        <v>530.64</v>
      </c>
      <c r="AM256" s="330">
        <f t="shared" si="83"/>
        <v>0.53092854005435342</v>
      </c>
      <c r="AN256" s="238" t="s">
        <v>1000</v>
      </c>
      <c r="AU256" s="346">
        <v>106.36</v>
      </c>
      <c r="AV256" s="348">
        <v>0.91</v>
      </c>
      <c r="AZ256" s="333">
        <v>1.831943734015345</v>
      </c>
      <c r="BA256" s="333">
        <v>0.15483130434782608</v>
      </c>
      <c r="BB256" s="333">
        <v>42.310714285714283</v>
      </c>
      <c r="BC256" s="333">
        <v>4.3674074074074074</v>
      </c>
      <c r="BD256" s="333">
        <v>3.2049191957809461E-2</v>
      </c>
      <c r="BE256" s="333" t="s">
        <v>1125</v>
      </c>
      <c r="BF256" s="333">
        <v>1.8321644501278769</v>
      </c>
      <c r="BG256" s="333">
        <v>0.15450195737277075</v>
      </c>
      <c r="BH256" s="333">
        <v>42.250752994011975</v>
      </c>
      <c r="BI256" s="333">
        <v>3.1152000000000002</v>
      </c>
      <c r="BJ256" s="420">
        <v>3.2627964265866012E-3</v>
      </c>
      <c r="BK256" s="333" t="s">
        <v>1126</v>
      </c>
      <c r="BL256" s="333" t="s">
        <v>1135</v>
      </c>
    </row>
    <row r="257" spans="1:64" ht="20.25" customHeight="1" thickBot="1" x14ac:dyDescent="0.35">
      <c r="A257" s="431" t="s">
        <v>1025</v>
      </c>
      <c r="B257" s="330" t="s">
        <v>952</v>
      </c>
      <c r="C257" s="8" t="s">
        <v>914</v>
      </c>
      <c r="D257" s="8" t="s">
        <v>1240</v>
      </c>
      <c r="G257" s="335">
        <v>32.130667000000003</v>
      </c>
      <c r="H257" s="335">
        <v>-7.5353620000000001</v>
      </c>
      <c r="J257" s="330" t="s">
        <v>992</v>
      </c>
      <c r="K257" s="9">
        <v>44898</v>
      </c>
      <c r="L257" s="341">
        <v>45282</v>
      </c>
      <c r="M257" s="342">
        <v>45315</v>
      </c>
      <c r="N257" s="340">
        <v>8.4499999999999993</v>
      </c>
      <c r="O257" s="343">
        <v>0.56000000000000005</v>
      </c>
      <c r="P257" s="344">
        <v>1.55</v>
      </c>
      <c r="Q257" s="345">
        <v>2.57</v>
      </c>
      <c r="R257" s="343">
        <v>7.13</v>
      </c>
      <c r="S257" s="29">
        <f t="shared" si="78"/>
        <v>-0.25181197299379954</v>
      </c>
      <c r="T257" s="29">
        <f t="shared" si="79"/>
        <v>0.85308952985186559</v>
      </c>
      <c r="U257" s="356">
        <f t="shared" si="97"/>
        <v>6.1152000000000006</v>
      </c>
      <c r="V257" s="356">
        <f t="shared" si="98"/>
        <v>7.5029040000000009</v>
      </c>
      <c r="W257" s="356">
        <f t="shared" si="99"/>
        <v>5.4471760000000007</v>
      </c>
      <c r="X257" s="346">
        <v>20</v>
      </c>
      <c r="Y257" s="346">
        <v>32</v>
      </c>
      <c r="Z257" s="346">
        <v>48</v>
      </c>
      <c r="AA257" s="351" t="s">
        <v>883</v>
      </c>
      <c r="AB257" s="351" t="s">
        <v>888</v>
      </c>
      <c r="AC257" s="347">
        <v>1.37</v>
      </c>
      <c r="AE257" s="346">
        <v>92</v>
      </c>
      <c r="AF257" s="348">
        <v>1164</v>
      </c>
      <c r="AG257" s="441">
        <v>675</v>
      </c>
      <c r="AH257" s="330">
        <v>500.78250000000003</v>
      </c>
      <c r="AI257" s="441">
        <v>10512</v>
      </c>
      <c r="AJ257" s="330">
        <v>7512.9264000000003</v>
      </c>
      <c r="AK257" s="441">
        <v>943</v>
      </c>
      <c r="AL257" s="330">
        <v>568.62900000000002</v>
      </c>
      <c r="AM257" s="330">
        <f t="shared" si="83"/>
        <v>7.8780124813020285</v>
      </c>
      <c r="AN257" s="238" t="s">
        <v>1000</v>
      </c>
      <c r="AU257" s="346">
        <v>638.15</v>
      </c>
      <c r="AV257" s="348">
        <v>0.85</v>
      </c>
      <c r="AZ257" s="333">
        <v>2.4708951406649615</v>
      </c>
      <c r="BA257" s="333">
        <v>2.1773152173913046</v>
      </c>
      <c r="BB257" s="333">
        <v>37.542857142857144</v>
      </c>
      <c r="BC257" s="333">
        <v>4.6800740740740743</v>
      </c>
      <c r="BD257" s="333">
        <v>0.47387316514851074</v>
      </c>
      <c r="BE257" s="333" t="s">
        <v>1125</v>
      </c>
      <c r="BF257" s="333">
        <v>2.4711928388746802</v>
      </c>
      <c r="BG257" s="333">
        <v>2.1726837755545887</v>
      </c>
      <c r="BH257" s="333">
        <v>37.489652694610776</v>
      </c>
      <c r="BI257" s="333">
        <v>3.3382200000000002</v>
      </c>
      <c r="BJ257" s="420">
        <v>4.7780958695658689E-2</v>
      </c>
      <c r="BK257" s="333" t="s">
        <v>1126</v>
      </c>
      <c r="BL257" s="333" t="s">
        <v>1136</v>
      </c>
    </row>
    <row r="258" spans="1:64" ht="20.25" customHeight="1" thickBot="1" x14ac:dyDescent="0.35">
      <c r="A258" s="431" t="s">
        <v>1026</v>
      </c>
      <c r="B258" s="330" t="s">
        <v>952</v>
      </c>
      <c r="C258" s="8" t="s">
        <v>915</v>
      </c>
      <c r="D258" s="8" t="s">
        <v>1240</v>
      </c>
      <c r="G258" s="335">
        <v>32.143597999999997</v>
      </c>
      <c r="H258" s="335">
        <v>-7.5216950000000002</v>
      </c>
      <c r="J258" s="330" t="s">
        <v>992</v>
      </c>
      <c r="K258" s="9">
        <v>44898</v>
      </c>
      <c r="L258" s="341">
        <v>45282</v>
      </c>
      <c r="M258" s="342">
        <v>45315</v>
      </c>
      <c r="N258" s="340">
        <v>8.3000000000000007</v>
      </c>
      <c r="O258" s="343">
        <v>4.75</v>
      </c>
      <c r="P258" s="344">
        <v>10.83</v>
      </c>
      <c r="Q258" s="345">
        <v>13.38</v>
      </c>
      <c r="R258" s="343">
        <v>45.75</v>
      </c>
      <c r="S258" s="29">
        <f t="shared" si="78"/>
        <v>0.67669360962486658</v>
      </c>
      <c r="T258" s="29">
        <f t="shared" si="79"/>
        <v>1.660391098402467</v>
      </c>
      <c r="U258" s="356">
        <f t="shared" ref="U258" si="100">O258*9.63</f>
        <v>45.742500000000007</v>
      </c>
      <c r="V258" s="354">
        <f>9.0013*O258+4.2416</f>
        <v>46.997774999999997</v>
      </c>
      <c r="W258" s="354">
        <f>9.347*O258</f>
        <v>44.398249999999997</v>
      </c>
      <c r="X258" s="346">
        <v>34</v>
      </c>
      <c r="Y258" s="346">
        <v>40</v>
      </c>
      <c r="Z258" s="346">
        <v>26</v>
      </c>
      <c r="AA258" s="351" t="s">
        <v>882</v>
      </c>
      <c r="AB258" s="351" t="s">
        <v>878</v>
      </c>
      <c r="AC258" s="347">
        <v>1.1000000000000001</v>
      </c>
      <c r="AE258" s="346">
        <v>43</v>
      </c>
      <c r="AF258" s="348">
        <v>555</v>
      </c>
      <c r="AG258" s="441">
        <v>8103</v>
      </c>
      <c r="AH258" s="330">
        <v>6011.6157000000003</v>
      </c>
      <c r="AI258" s="441">
        <v>10873</v>
      </c>
      <c r="AJ258" s="330">
        <v>7770.9331000000002</v>
      </c>
      <c r="AK258" s="441">
        <v>1652</v>
      </c>
      <c r="AL258" s="330">
        <v>996.15599999999995</v>
      </c>
      <c r="AM258" s="330">
        <f t="shared" si="83"/>
        <v>90.798463134248465</v>
      </c>
      <c r="AN258" s="339" t="s">
        <v>997</v>
      </c>
      <c r="AU258" s="346">
        <v>9075.9699999999993</v>
      </c>
      <c r="AV258" s="348">
        <v>1.51</v>
      </c>
      <c r="AZ258" s="333">
        <v>1.1781329923273656</v>
      </c>
      <c r="BA258" s="333">
        <v>26.137459565217391</v>
      </c>
      <c r="BB258" s="333">
        <v>38.832142857142856</v>
      </c>
      <c r="BC258" s="333">
        <v>8.1988148148148152</v>
      </c>
      <c r="BD258" s="333">
        <v>5.3899713993043177</v>
      </c>
      <c r="BE258" s="333" t="s">
        <v>1125</v>
      </c>
      <c r="BF258" s="333">
        <v>1.1782749360613809</v>
      </c>
      <c r="BG258" s="333">
        <v>26.081861678990865</v>
      </c>
      <c r="BH258" s="333">
        <v>38.777111277445108</v>
      </c>
      <c r="BI258" s="333">
        <v>5.8480800000000004</v>
      </c>
      <c r="BJ258" s="420">
        <v>0.36282594019736003</v>
      </c>
      <c r="BK258" s="333" t="s">
        <v>1130</v>
      </c>
      <c r="BL258" s="333" t="s">
        <v>1136</v>
      </c>
    </row>
    <row r="259" spans="1:64" ht="20.25" customHeight="1" thickBot="1" x14ac:dyDescent="0.35">
      <c r="A259" s="431" t="s">
        <v>1027</v>
      </c>
      <c r="B259" s="330" t="s">
        <v>952</v>
      </c>
      <c r="C259" s="8" t="s">
        <v>916</v>
      </c>
      <c r="D259" s="8" t="s">
        <v>1240</v>
      </c>
      <c r="G259" s="335">
        <v>32.124783000000001</v>
      </c>
      <c r="H259" s="335">
        <v>-7.5535079999999999</v>
      </c>
      <c r="J259" s="330" t="s">
        <v>992</v>
      </c>
      <c r="K259" s="9">
        <v>44898</v>
      </c>
      <c r="L259" s="341">
        <v>45282</v>
      </c>
      <c r="M259" s="342">
        <v>45315</v>
      </c>
      <c r="N259" s="340">
        <v>8.5399999999999991</v>
      </c>
      <c r="O259" s="343">
        <v>4.16</v>
      </c>
      <c r="P259" s="344">
        <v>10.82</v>
      </c>
      <c r="Q259" s="345">
        <v>16.53</v>
      </c>
      <c r="R259" s="343">
        <v>59.84</v>
      </c>
      <c r="S259" s="29">
        <f t="shared" si="78"/>
        <v>0.61909333062674277</v>
      </c>
      <c r="T259" s="29">
        <f t="shared" si="79"/>
        <v>1.7769915848564051</v>
      </c>
      <c r="U259" s="356">
        <f>10.92*O259</f>
        <v>45.427199999999999</v>
      </c>
      <c r="V259" s="356">
        <f>9.5459*O259+2.1572</f>
        <v>41.868144000000001</v>
      </c>
      <c r="W259" s="356">
        <f>9.7271*O259</f>
        <v>40.464736000000002</v>
      </c>
      <c r="X259" s="346">
        <v>22</v>
      </c>
      <c r="Y259" s="346">
        <v>32</v>
      </c>
      <c r="Z259" s="346">
        <v>46</v>
      </c>
      <c r="AA259" s="351" t="s">
        <v>883</v>
      </c>
      <c r="AB259" s="351" t="s">
        <v>888</v>
      </c>
      <c r="AC259" s="347">
        <v>0.88</v>
      </c>
      <c r="AE259" s="346">
        <v>38</v>
      </c>
      <c r="AF259" s="348">
        <v>456</v>
      </c>
      <c r="AG259" s="441">
        <v>7723</v>
      </c>
      <c r="AH259" s="330">
        <v>5729.6936999999998</v>
      </c>
      <c r="AI259" s="441">
        <v>9705</v>
      </c>
      <c r="AJ259" s="330">
        <v>6936.1634999999997</v>
      </c>
      <c r="AK259" s="441">
        <v>1119</v>
      </c>
      <c r="AL259" s="330">
        <v>674.75699999999995</v>
      </c>
      <c r="AM259" s="330">
        <f t="shared" si="83"/>
        <v>92.881198556377811</v>
      </c>
      <c r="AN259" s="339" t="s">
        <v>997</v>
      </c>
      <c r="AU259" s="346">
        <v>7516.04</v>
      </c>
      <c r="AV259" s="348">
        <v>1.1200000000000001</v>
      </c>
      <c r="AZ259" s="333">
        <v>0.96797953964194372</v>
      </c>
      <c r="BA259" s="333">
        <v>24.911711739130435</v>
      </c>
      <c r="BB259" s="333">
        <v>34.660714285714285</v>
      </c>
      <c r="BC259" s="333">
        <v>5.5535555555555547</v>
      </c>
      <c r="BD259" s="333">
        <v>5.5555680785736579</v>
      </c>
      <c r="BE259" s="333" t="s">
        <v>1125</v>
      </c>
      <c r="BF259" s="333">
        <v>0.96809616368286444</v>
      </c>
      <c r="BG259" s="333">
        <v>24.858721183123095</v>
      </c>
      <c r="BH259" s="333">
        <v>34.611594311377246</v>
      </c>
      <c r="BI259" s="333">
        <v>3.9612600000000002</v>
      </c>
      <c r="BJ259" s="420">
        <v>0.38600695536254831</v>
      </c>
      <c r="BK259" s="333" t="s">
        <v>1130</v>
      </c>
      <c r="BL259" s="333" t="s">
        <v>1136</v>
      </c>
    </row>
    <row r="260" spans="1:64" ht="20.25" customHeight="1" thickBot="1" x14ac:dyDescent="0.35">
      <c r="A260" s="431" t="s">
        <v>1028</v>
      </c>
      <c r="B260" s="330" t="s">
        <v>952</v>
      </c>
      <c r="C260" s="8" t="s">
        <v>917</v>
      </c>
      <c r="D260" s="8" t="s">
        <v>1240</v>
      </c>
      <c r="G260" s="335">
        <v>32.120189000000003</v>
      </c>
      <c r="H260" s="335">
        <v>-7.640949</v>
      </c>
      <c r="J260" s="330" t="s">
        <v>992</v>
      </c>
      <c r="K260" s="9">
        <v>44898</v>
      </c>
      <c r="L260" s="341">
        <v>45282</v>
      </c>
      <c r="M260" s="342">
        <v>45315</v>
      </c>
      <c r="N260" s="340">
        <v>8.7100000000000009</v>
      </c>
      <c r="O260" s="343">
        <v>12.09</v>
      </c>
      <c r="P260" s="344">
        <v>25.46</v>
      </c>
      <c r="Q260" s="345">
        <v>27.11</v>
      </c>
      <c r="R260" s="343">
        <v>135.6</v>
      </c>
      <c r="S260" s="29">
        <f t="shared" si="78"/>
        <v>1.082426300860772</v>
      </c>
      <c r="T260" s="29">
        <f t="shared" si="79"/>
        <v>2.1322596895310446</v>
      </c>
      <c r="U260" s="356">
        <f t="shared" ref="U260:U261" si="101">O260*9.63</f>
        <v>116.42670000000001</v>
      </c>
      <c r="V260" s="354">
        <f t="shared" ref="V260:V261" si="102">9.0013*O260+4.2416</f>
        <v>113.06731700000002</v>
      </c>
      <c r="W260" s="354">
        <f t="shared" ref="W260:W261" si="103">9.347*O260</f>
        <v>113.00523</v>
      </c>
      <c r="X260" s="346">
        <v>30</v>
      </c>
      <c r="Y260" s="346">
        <v>38</v>
      </c>
      <c r="Z260" s="346">
        <v>32</v>
      </c>
      <c r="AA260" s="351" t="s">
        <v>882</v>
      </c>
      <c r="AB260" s="351" t="s">
        <v>878</v>
      </c>
      <c r="AC260" s="347">
        <v>1.1399999999999999</v>
      </c>
      <c r="AE260" s="346">
        <v>42</v>
      </c>
      <c r="AF260" s="348">
        <v>361</v>
      </c>
      <c r="AG260" s="441">
        <v>36584</v>
      </c>
      <c r="AH260" s="330">
        <v>27141.669600000001</v>
      </c>
      <c r="AI260" s="441">
        <v>10263</v>
      </c>
      <c r="AJ260" s="330">
        <v>7334.9660999999996</v>
      </c>
      <c r="AK260" s="441">
        <v>743</v>
      </c>
      <c r="AL260" s="330">
        <v>448.029</v>
      </c>
      <c r="AM260" s="330">
        <f t="shared" si="83"/>
        <v>435.08907539121714</v>
      </c>
      <c r="AN260" s="339" t="s">
        <v>997</v>
      </c>
      <c r="AU260" s="346">
        <v>22689.919999999998</v>
      </c>
      <c r="AV260" s="348">
        <v>1.35</v>
      </c>
      <c r="AZ260" s="333">
        <v>0.76631713554987213</v>
      </c>
      <c r="BA260" s="333">
        <v>118.00725913043479</v>
      </c>
      <c r="BB260" s="333">
        <v>36.653571428571425</v>
      </c>
      <c r="BC260" s="333">
        <v>3.6874814814814814</v>
      </c>
      <c r="BD260" s="333">
        <v>26.275446615877893</v>
      </c>
      <c r="BE260" s="333" t="s">
        <v>1131</v>
      </c>
      <c r="BF260" s="333">
        <v>0.76640946291560097</v>
      </c>
      <c r="BG260" s="333">
        <v>117.75624184428011</v>
      </c>
      <c r="BH260" s="333">
        <v>36.601627245508979</v>
      </c>
      <c r="BI260" s="333">
        <v>2.63022</v>
      </c>
      <c r="BJ260" s="420">
        <v>0.74645251276266167</v>
      </c>
      <c r="BK260" s="333" t="s">
        <v>1132</v>
      </c>
      <c r="BL260" s="333" t="s">
        <v>1136</v>
      </c>
    </row>
    <row r="261" spans="1:64" ht="20.25" customHeight="1" thickBot="1" x14ac:dyDescent="0.35">
      <c r="A261" s="431" t="s">
        <v>1029</v>
      </c>
      <c r="B261" s="330" t="s">
        <v>952</v>
      </c>
      <c r="C261" s="8" t="s">
        <v>918</v>
      </c>
      <c r="D261" s="8" t="s">
        <v>1240</v>
      </c>
      <c r="G261" s="335">
        <v>32.062567999999999</v>
      </c>
      <c r="H261" s="335">
        <v>-7.712002</v>
      </c>
      <c r="J261" s="330" t="s">
        <v>992</v>
      </c>
      <c r="K261" s="9">
        <v>44898</v>
      </c>
      <c r="L261" s="341">
        <v>45282</v>
      </c>
      <c r="M261" s="342">
        <v>45315</v>
      </c>
      <c r="N261" s="340">
        <v>8.4499999999999993</v>
      </c>
      <c r="O261" s="343">
        <v>0.2</v>
      </c>
      <c r="P261" s="344">
        <v>0.27</v>
      </c>
      <c r="Q261" s="345">
        <v>0.41</v>
      </c>
      <c r="R261" s="343">
        <v>0.79</v>
      </c>
      <c r="S261" s="29">
        <f t="shared" si="78"/>
        <v>-0.69897000433601875</v>
      </c>
      <c r="T261" s="29">
        <f t="shared" si="79"/>
        <v>-0.10237290870955855</v>
      </c>
      <c r="U261" s="356">
        <f t="shared" si="101"/>
        <v>1.9260000000000002</v>
      </c>
      <c r="V261" s="354">
        <f t="shared" si="102"/>
        <v>6.0418599999999998</v>
      </c>
      <c r="W261" s="354">
        <f t="shared" si="103"/>
        <v>1.8694</v>
      </c>
      <c r="X261" s="346">
        <v>30</v>
      </c>
      <c r="Y261" s="346">
        <v>30</v>
      </c>
      <c r="Z261" s="346">
        <v>40</v>
      </c>
      <c r="AA261" s="351" t="s">
        <v>882</v>
      </c>
      <c r="AB261" s="351" t="s">
        <v>878</v>
      </c>
      <c r="AC261" s="347">
        <v>2.0299999999999998</v>
      </c>
      <c r="AE261" s="346">
        <v>46</v>
      </c>
      <c r="AF261" s="348">
        <v>443</v>
      </c>
      <c r="AG261" s="441">
        <v>81</v>
      </c>
      <c r="AH261" s="330">
        <v>60.093899999999998</v>
      </c>
      <c r="AI261" s="441">
        <v>5695</v>
      </c>
      <c r="AJ261" s="330">
        <v>4070.2165</v>
      </c>
      <c r="AK261" s="441">
        <v>1087</v>
      </c>
      <c r="AL261" s="330">
        <v>655.46100000000001</v>
      </c>
      <c r="AM261" s="330">
        <f t="shared" si="83"/>
        <v>1.2362700487561364</v>
      </c>
      <c r="AN261" s="238" t="s">
        <v>1000</v>
      </c>
      <c r="AU261" s="346">
        <v>638.15</v>
      </c>
      <c r="AV261" s="348">
        <v>0.7</v>
      </c>
      <c r="AZ261" s="333">
        <v>0.94038363171355488</v>
      </c>
      <c r="BA261" s="333">
        <v>0.26127782608695649</v>
      </c>
      <c r="BB261" s="333">
        <v>20.339285714285715</v>
      </c>
      <c r="BC261" s="333">
        <v>5.3947407407407404</v>
      </c>
      <c r="BD261" s="333">
        <v>7.283895059985368E-2</v>
      </c>
      <c r="BE261" s="333" t="s">
        <v>1125</v>
      </c>
      <c r="BF261" s="333">
        <v>0.9404969309462915</v>
      </c>
      <c r="BG261" s="333">
        <v>0.26072205306655066</v>
      </c>
      <c r="BH261" s="333">
        <v>20.310461576846308</v>
      </c>
      <c r="BI261" s="333">
        <v>3.8479800000000002</v>
      </c>
      <c r="BJ261" s="420">
        <v>1.0280975663726225E-2</v>
      </c>
      <c r="BK261" s="333" t="s">
        <v>1126</v>
      </c>
      <c r="BL261" s="333" t="s">
        <v>1135</v>
      </c>
    </row>
    <row r="262" spans="1:64" ht="20.25" customHeight="1" thickBot="1" x14ac:dyDescent="0.35">
      <c r="A262" s="431" t="s">
        <v>1030</v>
      </c>
      <c r="B262" s="330" t="s">
        <v>952</v>
      </c>
      <c r="C262" s="8" t="s">
        <v>919</v>
      </c>
      <c r="D262" s="8" t="s">
        <v>1240</v>
      </c>
      <c r="G262" s="335">
        <v>31.986948000000002</v>
      </c>
      <c r="H262" s="335">
        <v>-7.8839600000000001</v>
      </c>
      <c r="J262" s="330" t="s">
        <v>992</v>
      </c>
      <c r="K262" s="9">
        <v>44898</v>
      </c>
      <c r="L262" s="341">
        <v>45282</v>
      </c>
      <c r="M262" s="342">
        <v>45315</v>
      </c>
      <c r="N262" s="340">
        <v>8.61</v>
      </c>
      <c r="O262" s="343">
        <v>0.08</v>
      </c>
      <c r="P262" s="344">
        <v>0.15</v>
      </c>
      <c r="Q262" s="345">
        <v>0.25</v>
      </c>
      <c r="R262" s="343">
        <v>0.54</v>
      </c>
      <c r="S262" s="29">
        <f t="shared" si="78"/>
        <v>-1.0969100130080565</v>
      </c>
      <c r="T262" s="29">
        <f t="shared" si="79"/>
        <v>-0.26760624017703144</v>
      </c>
      <c r="U262" s="356">
        <f>10.92*O262</f>
        <v>0.87360000000000004</v>
      </c>
      <c r="V262" s="356">
        <f>9.5459*O262+2.1572</f>
        <v>2.9208720000000001</v>
      </c>
      <c r="W262" s="356">
        <f>9.7271*O262</f>
        <v>0.77816799999999997</v>
      </c>
      <c r="X262" s="346">
        <v>22</v>
      </c>
      <c r="Y262" s="346">
        <v>42</v>
      </c>
      <c r="Z262" s="346">
        <v>36</v>
      </c>
      <c r="AA262" s="351" t="s">
        <v>883</v>
      </c>
      <c r="AB262" s="351" t="s">
        <v>888</v>
      </c>
      <c r="AC262" s="347">
        <v>1.23</v>
      </c>
      <c r="AE262" s="346">
        <v>27</v>
      </c>
      <c r="AF262" s="348">
        <v>683</v>
      </c>
      <c r="AG262" s="441">
        <v>23</v>
      </c>
      <c r="AH262" s="330">
        <v>17.063700000000001</v>
      </c>
      <c r="AI262" s="441">
        <v>7781</v>
      </c>
      <c r="AJ262" s="330">
        <v>5561.0807000000004</v>
      </c>
      <c r="AK262" s="441">
        <v>573</v>
      </c>
      <c r="AL262" s="330">
        <v>345.51900000000001</v>
      </c>
      <c r="AM262" s="330">
        <f t="shared" si="83"/>
        <v>0.3139926162257497</v>
      </c>
      <c r="AN262" s="238" t="s">
        <v>1000</v>
      </c>
      <c r="AU262" s="346">
        <v>177.27</v>
      </c>
      <c r="AV262" s="348">
        <v>0.55000000000000004</v>
      </c>
      <c r="AZ262" s="333">
        <v>1.4498465473145778</v>
      </c>
      <c r="BA262" s="333">
        <v>7.4190000000000006E-2</v>
      </c>
      <c r="BB262" s="333">
        <v>27.789285714285718</v>
      </c>
      <c r="BC262" s="333">
        <v>2.843777777777778</v>
      </c>
      <c r="BD262" s="333">
        <v>1.8956805465551251E-2</v>
      </c>
      <c r="BE262" s="333" t="s">
        <v>1125</v>
      </c>
      <c r="BF262" s="333">
        <v>1.4500212276214834</v>
      </c>
      <c r="BG262" s="333">
        <v>7.4032187907785985E-2</v>
      </c>
      <c r="BH262" s="333">
        <v>27.749903692614772</v>
      </c>
      <c r="BI262" s="333">
        <v>2.0284200000000001</v>
      </c>
      <c r="BJ262" s="420">
        <v>2.3650660028795316E-3</v>
      </c>
      <c r="BK262" s="333" t="s">
        <v>1126</v>
      </c>
      <c r="BL262" s="333" t="s">
        <v>1135</v>
      </c>
    </row>
    <row r="263" spans="1:64" ht="20.25" customHeight="1" thickBot="1" x14ac:dyDescent="0.35">
      <c r="A263" s="431" t="s">
        <v>1034</v>
      </c>
      <c r="B263" s="330" t="s">
        <v>952</v>
      </c>
      <c r="C263" s="10" t="s">
        <v>920</v>
      </c>
      <c r="D263" s="10" t="s">
        <v>1240</v>
      </c>
      <c r="G263" s="11">
        <v>32.127394416666668</v>
      </c>
      <c r="H263" s="11">
        <v>-7.6270333305555562</v>
      </c>
      <c r="J263" s="330" t="s">
        <v>992</v>
      </c>
      <c r="K263" s="336">
        <v>45182</v>
      </c>
      <c r="L263" s="341">
        <v>45282</v>
      </c>
      <c r="M263" s="342">
        <v>45315</v>
      </c>
      <c r="N263" s="340">
        <v>8.01</v>
      </c>
      <c r="O263" s="343">
        <v>12.07</v>
      </c>
      <c r="P263" s="344">
        <v>24.63</v>
      </c>
      <c r="Q263" s="345">
        <v>33.31</v>
      </c>
      <c r="R263" s="343">
        <v>113.3</v>
      </c>
      <c r="S263" s="29">
        <f t="shared" si="78"/>
        <v>1.0817072700973491</v>
      </c>
      <c r="T263" s="29">
        <f t="shared" si="79"/>
        <v>2.0542299098633974</v>
      </c>
      <c r="U263" s="356">
        <f t="shared" ref="U263:U271" si="104">O263*9.63</f>
        <v>116.23410000000001</v>
      </c>
      <c r="V263" s="354">
        <f t="shared" ref="V263:V272" si="105">9.0013*O263+4.2416</f>
        <v>112.88729100000002</v>
      </c>
      <c r="W263" s="354">
        <f t="shared" ref="W263:W272" si="106">9.347*O263</f>
        <v>112.81828999999999</v>
      </c>
      <c r="X263" s="346">
        <v>28</v>
      </c>
      <c r="Y263" s="346">
        <v>40</v>
      </c>
      <c r="Z263" s="346">
        <v>32</v>
      </c>
      <c r="AA263" s="351" t="s">
        <v>882</v>
      </c>
      <c r="AB263" s="351" t="s">
        <v>878</v>
      </c>
      <c r="AC263" s="347">
        <v>0.65</v>
      </c>
      <c r="AE263" s="346">
        <v>27</v>
      </c>
      <c r="AF263" s="348">
        <v>278</v>
      </c>
      <c r="AG263" s="441">
        <v>11561</v>
      </c>
      <c r="AH263" s="330">
        <v>8577.1059000000005</v>
      </c>
      <c r="AI263" s="441">
        <v>14109</v>
      </c>
      <c r="AJ263" s="330">
        <v>10083.702300000001</v>
      </c>
      <c r="AK263" s="441">
        <v>4122</v>
      </c>
      <c r="AL263" s="330">
        <v>2485.5659999999998</v>
      </c>
      <c r="AM263" s="330">
        <f t="shared" si="83"/>
        <v>108.1934007395248</v>
      </c>
      <c r="AN263" s="339" t="s">
        <v>997</v>
      </c>
      <c r="AU263" s="346">
        <v>23044.45</v>
      </c>
      <c r="AV263" s="348">
        <v>1.06</v>
      </c>
      <c r="AZ263" s="333">
        <v>0.59012787723785154</v>
      </c>
      <c r="BA263" s="333">
        <v>37.291764782608695</v>
      </c>
      <c r="BB263" s="333">
        <v>50.38928571428572</v>
      </c>
      <c r="BC263" s="333">
        <v>20.457333333333331</v>
      </c>
      <c r="BD263" s="333">
        <v>6.2656822851897482</v>
      </c>
      <c r="BE263" s="333" t="s">
        <v>1125</v>
      </c>
      <c r="BF263" s="333">
        <v>0.59019897698209722</v>
      </c>
      <c r="BG263" s="333">
        <v>37.212440191387557</v>
      </c>
      <c r="BH263" s="333">
        <v>50.317875748502999</v>
      </c>
      <c r="BI263" s="333">
        <v>14.591880000000002</v>
      </c>
      <c r="BJ263" s="420">
        <v>0.36229746391858925</v>
      </c>
      <c r="BK263" s="333" t="s">
        <v>1130</v>
      </c>
      <c r="BL263" s="333" t="s">
        <v>1136</v>
      </c>
    </row>
    <row r="264" spans="1:64" ht="20.25" customHeight="1" thickBot="1" x14ac:dyDescent="0.35">
      <c r="A264" s="431" t="s">
        <v>1035</v>
      </c>
      <c r="B264" s="330" t="s">
        <v>952</v>
      </c>
      <c r="C264" s="10" t="s">
        <v>921</v>
      </c>
      <c r="D264" s="10" t="s">
        <v>1241</v>
      </c>
      <c r="G264" s="11">
        <v>32.127394416666668</v>
      </c>
      <c r="H264" s="11">
        <v>-7.6270333305555562</v>
      </c>
      <c r="J264" s="330" t="s">
        <v>992</v>
      </c>
      <c r="K264" s="336">
        <v>45182</v>
      </c>
      <c r="L264" s="341">
        <v>45282</v>
      </c>
      <c r="M264" s="342">
        <v>45315</v>
      </c>
      <c r="N264" s="340">
        <v>8.66</v>
      </c>
      <c r="O264" s="343">
        <v>11.37</v>
      </c>
      <c r="P264" s="344">
        <v>25.89</v>
      </c>
      <c r="Q264" s="345">
        <v>37.35</v>
      </c>
      <c r="R264" s="343">
        <v>107.4</v>
      </c>
      <c r="S264" s="29">
        <f t="shared" si="78"/>
        <v>1.0557604646877348</v>
      </c>
      <c r="T264" s="29">
        <f t="shared" si="79"/>
        <v>2.0310042813635367</v>
      </c>
      <c r="U264" s="356">
        <f t="shared" si="104"/>
        <v>109.4931</v>
      </c>
      <c r="V264" s="354">
        <f t="shared" si="105"/>
        <v>106.586381</v>
      </c>
      <c r="W264" s="354">
        <f t="shared" si="106"/>
        <v>106.27538999999999</v>
      </c>
      <c r="X264" s="346">
        <v>30</v>
      </c>
      <c r="Y264" s="346">
        <v>44</v>
      </c>
      <c r="Z264" s="346">
        <v>26</v>
      </c>
      <c r="AA264" s="351" t="s">
        <v>882</v>
      </c>
      <c r="AB264" s="351" t="s">
        <v>878</v>
      </c>
      <c r="AC264" s="347">
        <v>0.57999999999999996</v>
      </c>
      <c r="AE264" s="346">
        <v>12</v>
      </c>
      <c r="AF264" s="348">
        <v>200</v>
      </c>
      <c r="AG264" s="441">
        <v>10329</v>
      </c>
      <c r="AH264" s="330">
        <v>7663.0851000000002</v>
      </c>
      <c r="AI264" s="441">
        <v>16327</v>
      </c>
      <c r="AJ264" s="330">
        <v>11668.9069</v>
      </c>
      <c r="AK264" s="441">
        <v>4230</v>
      </c>
      <c r="AL264" s="330">
        <v>2550.69</v>
      </c>
      <c r="AM264" s="330">
        <f t="shared" si="83"/>
        <v>90.881398994622913</v>
      </c>
      <c r="AN264" s="339" t="s">
        <v>997</v>
      </c>
      <c r="AU264" s="346">
        <v>22335.39</v>
      </c>
      <c r="AV264" s="348">
        <v>0.85</v>
      </c>
      <c r="AZ264" s="333">
        <v>0.42455242966751922</v>
      </c>
      <c r="BA264" s="333">
        <v>33.317761304347826</v>
      </c>
      <c r="BB264" s="333">
        <v>58.31071428571429</v>
      </c>
      <c r="BC264" s="333">
        <v>20.993333333333336</v>
      </c>
      <c r="BD264" s="333">
        <v>5.2910654450932348</v>
      </c>
      <c r="BE264" s="333" t="s">
        <v>1125</v>
      </c>
      <c r="BF264" s="333">
        <v>0.42460358056265979</v>
      </c>
      <c r="BG264" s="333">
        <v>33.246889952153111</v>
      </c>
      <c r="BH264" s="333">
        <v>58.228078343313371</v>
      </c>
      <c r="BI264" s="333">
        <v>14.974200000000002</v>
      </c>
      <c r="BJ264" s="420">
        <v>0.31108558600063879</v>
      </c>
      <c r="BK264" s="333" t="s">
        <v>1130</v>
      </c>
      <c r="BL264" s="333" t="s">
        <v>1136</v>
      </c>
    </row>
    <row r="265" spans="1:64" ht="20.25" customHeight="1" thickBot="1" x14ac:dyDescent="0.35">
      <c r="A265" s="431" t="s">
        <v>1036</v>
      </c>
      <c r="B265" s="330" t="s">
        <v>952</v>
      </c>
      <c r="C265" s="10" t="s">
        <v>922</v>
      </c>
      <c r="D265" s="10" t="s">
        <v>1240</v>
      </c>
      <c r="G265" s="11">
        <v>32.127480552777776</v>
      </c>
      <c r="H265" s="11">
        <v>-7.6270138888888894</v>
      </c>
      <c r="J265" s="330" t="s">
        <v>992</v>
      </c>
      <c r="K265" s="336">
        <v>45182</v>
      </c>
      <c r="L265" s="341">
        <v>45282</v>
      </c>
      <c r="M265" s="342">
        <v>45315</v>
      </c>
      <c r="N265" s="340">
        <v>8.18</v>
      </c>
      <c r="O265" s="343">
        <v>17.11</v>
      </c>
      <c r="P265" s="344">
        <v>34.44</v>
      </c>
      <c r="Q265" s="345">
        <v>39.46</v>
      </c>
      <c r="R265" s="343">
        <v>165.3</v>
      </c>
      <c r="S265" s="29">
        <f t="shared" si="78"/>
        <v>1.2332500095411003</v>
      </c>
      <c r="T265" s="29">
        <f t="shared" si="79"/>
        <v>2.2182728535714475</v>
      </c>
      <c r="U265" s="356">
        <f t="shared" si="104"/>
        <v>164.76930000000002</v>
      </c>
      <c r="V265" s="354">
        <f t="shared" si="105"/>
        <v>158.25384300000002</v>
      </c>
      <c r="W265" s="354">
        <f t="shared" si="106"/>
        <v>159.92716999999999</v>
      </c>
      <c r="X265" s="346">
        <v>32</v>
      </c>
      <c r="Y265" s="346">
        <v>36</v>
      </c>
      <c r="Z265" s="346">
        <v>32</v>
      </c>
      <c r="AA265" s="351" t="s">
        <v>882</v>
      </c>
      <c r="AB265" s="351" t="s">
        <v>878</v>
      </c>
      <c r="AC265" s="347">
        <v>0.76</v>
      </c>
      <c r="AE265" s="346">
        <v>28</v>
      </c>
      <c r="AF265" s="348">
        <v>338</v>
      </c>
      <c r="AG265" s="441">
        <v>22643</v>
      </c>
      <c r="AH265" s="330">
        <v>16798.841700000001</v>
      </c>
      <c r="AI265" s="441">
        <v>12330</v>
      </c>
      <c r="AJ265" s="330">
        <v>8812.2510000000002</v>
      </c>
      <c r="AK265" s="441">
        <v>2753</v>
      </c>
      <c r="AL265" s="330">
        <v>1660.059</v>
      </c>
      <c r="AM265" s="330">
        <f t="shared" si="83"/>
        <v>232.1523534207187</v>
      </c>
      <c r="AN265" s="339" t="s">
        <v>997</v>
      </c>
      <c r="AU265" s="346">
        <v>31907.7</v>
      </c>
      <c r="AV265" s="348">
        <v>0.95</v>
      </c>
      <c r="AZ265" s="333">
        <v>0.71749360613810731</v>
      </c>
      <c r="BA265" s="333">
        <v>73.03844217391304</v>
      </c>
      <c r="BB265" s="333">
        <v>44.035714285714285</v>
      </c>
      <c r="BC265" s="333">
        <v>13.663037037037036</v>
      </c>
      <c r="BD265" s="333">
        <v>13.598258481742091</v>
      </c>
      <c r="BE265" s="333" t="s">
        <v>1133</v>
      </c>
      <c r="BF265" s="333">
        <v>0.71758005115089518</v>
      </c>
      <c r="BG265" s="333">
        <v>72.883079599826004</v>
      </c>
      <c r="BH265" s="333">
        <v>43.97330838323353</v>
      </c>
      <c r="BI265" s="333">
        <v>9.7456200000000006</v>
      </c>
      <c r="BJ265" s="420">
        <v>0.57244199989276212</v>
      </c>
      <c r="BK265" s="333" t="s">
        <v>1129</v>
      </c>
      <c r="BL265" s="333" t="s">
        <v>1136</v>
      </c>
    </row>
    <row r="266" spans="1:64" ht="20.25" customHeight="1" thickBot="1" x14ac:dyDescent="0.35">
      <c r="A266" s="431" t="s">
        <v>1037</v>
      </c>
      <c r="B266" s="330" t="s">
        <v>952</v>
      </c>
      <c r="C266" s="10" t="s">
        <v>923</v>
      </c>
      <c r="D266" s="10" t="s">
        <v>1241</v>
      </c>
      <c r="G266" s="11">
        <v>32.127480552777776</v>
      </c>
      <c r="H266" s="11">
        <v>-7.6270138888888894</v>
      </c>
      <c r="J266" s="330" t="s">
        <v>992</v>
      </c>
      <c r="K266" s="336">
        <v>45182</v>
      </c>
      <c r="L266" s="341">
        <v>45282</v>
      </c>
      <c r="M266" s="342">
        <v>45315</v>
      </c>
      <c r="N266" s="340">
        <v>8.1300000000000008</v>
      </c>
      <c r="O266" s="343">
        <v>13.34</v>
      </c>
      <c r="P266" s="344">
        <v>30.15</v>
      </c>
      <c r="Q266" s="345">
        <v>35.619999999999997</v>
      </c>
      <c r="R266" s="343">
        <v>118.7</v>
      </c>
      <c r="S266" s="29">
        <f t="shared" si="78"/>
        <v>1.1251558295805302</v>
      </c>
      <c r="T266" s="29">
        <f t="shared" si="79"/>
        <v>2.0744507189545911</v>
      </c>
      <c r="U266" s="356">
        <f t="shared" si="104"/>
        <v>128.46420000000001</v>
      </c>
      <c r="V266" s="354">
        <f t="shared" si="105"/>
        <v>124.31894200000001</v>
      </c>
      <c r="W266" s="354">
        <f t="shared" si="106"/>
        <v>124.68897999999999</v>
      </c>
      <c r="X266" s="346">
        <v>32</v>
      </c>
      <c r="Y266" s="346">
        <v>28</v>
      </c>
      <c r="Z266" s="346">
        <v>40</v>
      </c>
      <c r="AA266" s="351" t="s">
        <v>882</v>
      </c>
      <c r="AB266" s="351" t="s">
        <v>878</v>
      </c>
      <c r="AC266" s="347">
        <v>0.65</v>
      </c>
      <c r="AE266" s="346">
        <v>13</v>
      </c>
      <c r="AF266" s="348">
        <v>249</v>
      </c>
      <c r="AG266" s="441">
        <v>17698</v>
      </c>
      <c r="AH266" s="330">
        <v>13130.146199999999</v>
      </c>
      <c r="AI266" s="441">
        <v>13180</v>
      </c>
      <c r="AJ266" s="330">
        <v>9419.7459999999992</v>
      </c>
      <c r="AK266" s="441">
        <v>3188</v>
      </c>
      <c r="AL266" s="330">
        <v>1922.364</v>
      </c>
      <c r="AM266" s="330">
        <f t="shared" si="83"/>
        <v>174.35629514288243</v>
      </c>
      <c r="AN266" s="339" t="s">
        <v>997</v>
      </c>
      <c r="AU266" s="346">
        <v>23398.98</v>
      </c>
      <c r="AV266" s="348">
        <v>0.8</v>
      </c>
      <c r="AZ266" s="333">
        <v>0.52856777493606133</v>
      </c>
      <c r="BA266" s="333">
        <v>57.087592173913038</v>
      </c>
      <c r="BB266" s="333">
        <v>47.071428571428569</v>
      </c>
      <c r="BC266" s="333">
        <v>15.821925925925926</v>
      </c>
      <c r="BD266" s="333">
        <v>10.180153914088091</v>
      </c>
      <c r="BE266" s="333" t="s">
        <v>1133</v>
      </c>
      <c r="BF266" s="333">
        <v>0.52863145780051146</v>
      </c>
      <c r="BG266" s="333">
        <v>56.966159199652026</v>
      </c>
      <c r="BH266" s="333">
        <v>47.004720558882234</v>
      </c>
      <c r="BI266" s="333">
        <v>11.28552</v>
      </c>
      <c r="BJ266" s="420">
        <v>0.49199934223980518</v>
      </c>
      <c r="BK266" s="333" t="s">
        <v>1130</v>
      </c>
      <c r="BL266" s="333" t="s">
        <v>1136</v>
      </c>
    </row>
    <row r="267" spans="1:64" ht="20.25" customHeight="1" thickBot="1" x14ac:dyDescent="0.35">
      <c r="A267" s="431" t="s">
        <v>1038</v>
      </c>
      <c r="B267" s="330" t="s">
        <v>952</v>
      </c>
      <c r="C267" s="10" t="s">
        <v>924</v>
      </c>
      <c r="D267" s="10" t="s">
        <v>1240</v>
      </c>
      <c r="G267" s="11">
        <v>32.127555552777778</v>
      </c>
      <c r="H267" s="11">
        <v>-7.627613888611112</v>
      </c>
      <c r="J267" s="330" t="s">
        <v>992</v>
      </c>
      <c r="K267" s="336">
        <v>45182</v>
      </c>
      <c r="L267" s="341">
        <v>45282</v>
      </c>
      <c r="M267" s="342">
        <v>45315</v>
      </c>
      <c r="N267" s="340">
        <v>8.11</v>
      </c>
      <c r="O267" s="343">
        <v>12.67</v>
      </c>
      <c r="P267" s="344">
        <v>29.43</v>
      </c>
      <c r="Q267" s="345">
        <v>45.3</v>
      </c>
      <c r="R267" s="343">
        <v>145.6</v>
      </c>
      <c r="S267" s="29">
        <f t="shared" si="78"/>
        <v>1.1027766148834413</v>
      </c>
      <c r="T267" s="29">
        <f t="shared" si="79"/>
        <v>2.1631613749770184</v>
      </c>
      <c r="U267" s="356">
        <f t="shared" si="104"/>
        <v>122.0121</v>
      </c>
      <c r="V267" s="354">
        <f t="shared" si="105"/>
        <v>118.28807100000002</v>
      </c>
      <c r="W267" s="354">
        <f t="shared" si="106"/>
        <v>118.42648999999999</v>
      </c>
      <c r="X267" s="346">
        <v>34</v>
      </c>
      <c r="Y267" s="346">
        <v>34</v>
      </c>
      <c r="Z267" s="346">
        <v>32</v>
      </c>
      <c r="AA267" s="351" t="s">
        <v>882</v>
      </c>
      <c r="AB267" s="351" t="s">
        <v>878</v>
      </c>
      <c r="AC267" s="347">
        <v>1.08</v>
      </c>
      <c r="AE267" s="346">
        <v>37</v>
      </c>
      <c r="AF267" s="348">
        <v>458</v>
      </c>
      <c r="AG267" s="441">
        <v>19061</v>
      </c>
      <c r="AH267" s="330">
        <v>14141.3559</v>
      </c>
      <c r="AI267" s="441">
        <v>13030</v>
      </c>
      <c r="AJ267" s="330">
        <v>9312.5409999999993</v>
      </c>
      <c r="AK267" s="441">
        <v>4047</v>
      </c>
      <c r="AL267" s="330">
        <v>2440.3409999999999</v>
      </c>
      <c r="AM267" s="330">
        <f t="shared" si="83"/>
        <v>184.47344676976826</v>
      </c>
      <c r="AN267" s="339" t="s">
        <v>997</v>
      </c>
      <c r="AU267" s="346">
        <v>28362.400000000001</v>
      </c>
      <c r="AV267" s="348">
        <v>1.21</v>
      </c>
      <c r="AZ267" s="333">
        <v>0.97222506393861874</v>
      </c>
      <c r="BA267" s="333">
        <v>61.484156086956524</v>
      </c>
      <c r="BB267" s="333">
        <v>46.535714285714285</v>
      </c>
      <c r="BC267" s="333">
        <v>20.085111111111111</v>
      </c>
      <c r="BD267" s="333">
        <v>10.653031463822394</v>
      </c>
      <c r="BE267" s="333" t="s">
        <v>1133</v>
      </c>
      <c r="BF267" s="333">
        <v>0.97234219948849099</v>
      </c>
      <c r="BG267" s="333">
        <v>61.35337103088299</v>
      </c>
      <c r="BH267" s="333">
        <v>46.469765469061869</v>
      </c>
      <c r="BI267" s="333">
        <v>14.32638</v>
      </c>
      <c r="BJ267" s="420">
        <v>0.49831420414680078</v>
      </c>
      <c r="BK267" s="333" t="s">
        <v>1130</v>
      </c>
      <c r="BL267" s="333" t="s">
        <v>1136</v>
      </c>
    </row>
    <row r="268" spans="1:64" ht="20.25" customHeight="1" thickBot="1" x14ac:dyDescent="0.35">
      <c r="A268" s="431" t="s">
        <v>1039</v>
      </c>
      <c r="B268" s="330" t="s">
        <v>952</v>
      </c>
      <c r="C268" s="10" t="s">
        <v>925</v>
      </c>
      <c r="D268" s="10" t="s">
        <v>1241</v>
      </c>
      <c r="G268" s="11">
        <v>32.127555552777778</v>
      </c>
      <c r="H268" s="11">
        <v>-7.627613888611112</v>
      </c>
      <c r="J268" s="330" t="s">
        <v>992</v>
      </c>
      <c r="K268" s="336">
        <v>45182</v>
      </c>
      <c r="L268" s="341">
        <v>45282</v>
      </c>
      <c r="M268" s="342">
        <v>45315</v>
      </c>
      <c r="N268" s="340">
        <v>8.0299999999999994</v>
      </c>
      <c r="O268" s="343">
        <v>18.29</v>
      </c>
      <c r="P268" s="344">
        <v>25.86</v>
      </c>
      <c r="Q268" s="345">
        <v>27.31</v>
      </c>
      <c r="R268" s="343">
        <v>154.5</v>
      </c>
      <c r="S268" s="29">
        <f t="shared" si="78"/>
        <v>1.2622137054764169</v>
      </c>
      <c r="T268" s="29">
        <f t="shared" si="79"/>
        <v>2.1889284837608534</v>
      </c>
      <c r="U268" s="356">
        <f t="shared" si="104"/>
        <v>176.1327</v>
      </c>
      <c r="V268" s="354">
        <f t="shared" si="105"/>
        <v>168.87537700000001</v>
      </c>
      <c r="W268" s="354">
        <f t="shared" si="106"/>
        <v>170.95662999999999</v>
      </c>
      <c r="X268" s="346">
        <v>30</v>
      </c>
      <c r="Y268" s="346">
        <v>32</v>
      </c>
      <c r="Z268" s="346">
        <v>38</v>
      </c>
      <c r="AA268" s="351" t="s">
        <v>882</v>
      </c>
      <c r="AB268" s="351" t="s">
        <v>878</v>
      </c>
      <c r="AC268" s="347">
        <v>1.06</v>
      </c>
      <c r="AE268" s="346">
        <v>13</v>
      </c>
      <c r="AF268" s="348">
        <v>387</v>
      </c>
      <c r="AG268" s="441">
        <v>21728</v>
      </c>
      <c r="AH268" s="330">
        <v>16120.003199999999</v>
      </c>
      <c r="AI268" s="441">
        <v>15198</v>
      </c>
      <c r="AJ268" s="330">
        <v>10862.0106</v>
      </c>
      <c r="AK268" s="441">
        <v>4838</v>
      </c>
      <c r="AL268" s="330">
        <v>2917.3139999999999</v>
      </c>
      <c r="AM268" s="330">
        <f t="shared" si="83"/>
        <v>194.20757080977896</v>
      </c>
      <c r="AN268" s="339" t="s">
        <v>997</v>
      </c>
      <c r="AU268" s="346">
        <v>30844.11</v>
      </c>
      <c r="AV268" s="348">
        <v>1.08</v>
      </c>
      <c r="AZ268" s="333">
        <v>0.82150895140664948</v>
      </c>
      <c r="BA268" s="333">
        <v>70.0869704347826</v>
      </c>
      <c r="BB268" s="333">
        <v>54.278571428571432</v>
      </c>
      <c r="BC268" s="333">
        <v>24.010814814814815</v>
      </c>
      <c r="BD268" s="333">
        <v>11.202136009462192</v>
      </c>
      <c r="BE268" s="333" t="s">
        <v>1133</v>
      </c>
      <c r="BF268" s="333">
        <v>0.82160792838874674</v>
      </c>
      <c r="BG268" s="333">
        <v>69.937886037407566</v>
      </c>
      <c r="BH268" s="333">
        <v>54.2016497005988</v>
      </c>
      <c r="BI268" s="333">
        <v>17.126519999999999</v>
      </c>
      <c r="BJ268" s="420">
        <v>0.49221645449539786</v>
      </c>
      <c r="BK268" s="333" t="s">
        <v>1130</v>
      </c>
      <c r="BL268" s="333" t="s">
        <v>1136</v>
      </c>
    </row>
    <row r="269" spans="1:64" ht="20.25" customHeight="1" thickBot="1" x14ac:dyDescent="0.35">
      <c r="A269" s="431" t="s">
        <v>1040</v>
      </c>
      <c r="B269" s="330" t="s">
        <v>952</v>
      </c>
      <c r="C269" s="10" t="s">
        <v>926</v>
      </c>
      <c r="D269" s="10" t="s">
        <v>1240</v>
      </c>
      <c r="G269" s="11">
        <v>32.127499999999998</v>
      </c>
      <c r="H269" s="11">
        <v>-7.627969441666667</v>
      </c>
      <c r="J269" s="330" t="s">
        <v>992</v>
      </c>
      <c r="K269" s="336">
        <v>45182</v>
      </c>
      <c r="L269" s="341">
        <v>45282</v>
      </c>
      <c r="M269" s="342">
        <v>45315</v>
      </c>
      <c r="N269" s="340">
        <v>8.25</v>
      </c>
      <c r="O269" s="343">
        <v>11.48</v>
      </c>
      <c r="P269" s="344">
        <v>20.88</v>
      </c>
      <c r="Q269" s="345">
        <v>21.33</v>
      </c>
      <c r="R269" s="343">
        <v>110.3</v>
      </c>
      <c r="S269" s="29">
        <f t="shared" si="78"/>
        <v>1.0599418880619547</v>
      </c>
      <c r="T269" s="29">
        <f t="shared" si="79"/>
        <v>2.0425755124401905</v>
      </c>
      <c r="U269" s="356">
        <f t="shared" si="104"/>
        <v>110.55240000000002</v>
      </c>
      <c r="V269" s="354">
        <f t="shared" si="105"/>
        <v>107.57652400000002</v>
      </c>
      <c r="W269" s="354">
        <f t="shared" si="106"/>
        <v>107.30356</v>
      </c>
      <c r="X269" s="346">
        <v>40</v>
      </c>
      <c r="Y269" s="346">
        <v>36</v>
      </c>
      <c r="Z269" s="346">
        <v>24</v>
      </c>
      <c r="AA269" s="351" t="s">
        <v>882</v>
      </c>
      <c r="AB269" s="351" t="s">
        <v>878</v>
      </c>
      <c r="AC269" s="347">
        <v>1.1299999999999999</v>
      </c>
      <c r="AE269" s="346">
        <v>41</v>
      </c>
      <c r="AF269" s="348">
        <v>504</v>
      </c>
      <c r="AG269" s="441">
        <v>15010</v>
      </c>
      <c r="AH269" s="330">
        <v>11135.919</v>
      </c>
      <c r="AI269" s="441">
        <v>11694</v>
      </c>
      <c r="AJ269" s="330">
        <v>8357.7018000000007</v>
      </c>
      <c r="AK269" s="441">
        <v>2125</v>
      </c>
      <c r="AL269" s="330">
        <v>1281.375</v>
      </c>
      <c r="AM269" s="330">
        <f t="shared" si="83"/>
        <v>160.40700899097752</v>
      </c>
      <c r="AN269" s="339" t="s">
        <v>997</v>
      </c>
      <c r="AU269" s="346">
        <v>21271.8</v>
      </c>
      <c r="AV269" s="348">
        <v>1.38</v>
      </c>
      <c r="AZ269" s="333">
        <v>1.0698721227621484</v>
      </c>
      <c r="BA269" s="333">
        <v>48.41703913043478</v>
      </c>
      <c r="BB269" s="333">
        <v>41.76428571428572</v>
      </c>
      <c r="BC269" s="333">
        <v>10.546296296296296</v>
      </c>
      <c r="BD269" s="333">
        <v>9.4671323618880994</v>
      </c>
      <c r="BE269" s="333" t="s">
        <v>1125</v>
      </c>
      <c r="BF269" s="333">
        <v>1.0700010230179027</v>
      </c>
      <c r="BG269" s="333">
        <v>48.314049586776854</v>
      </c>
      <c r="BH269" s="333">
        <v>41.705098802395213</v>
      </c>
      <c r="BI269" s="333">
        <v>7.5225</v>
      </c>
      <c r="BJ269" s="420">
        <v>0.48994261707181697</v>
      </c>
      <c r="BK269" s="333" t="s">
        <v>1130</v>
      </c>
      <c r="BL269" s="333" t="s">
        <v>1136</v>
      </c>
    </row>
    <row r="270" spans="1:64" ht="20.25" customHeight="1" thickBot="1" x14ac:dyDescent="0.35">
      <c r="A270" s="431" t="s">
        <v>1041</v>
      </c>
      <c r="B270" s="330" t="s">
        <v>952</v>
      </c>
      <c r="C270" s="10" t="s">
        <v>927</v>
      </c>
      <c r="D270" s="10" t="s">
        <v>1241</v>
      </c>
      <c r="G270" s="11">
        <v>32.127499999999998</v>
      </c>
      <c r="H270" s="11">
        <v>-7.627969441666667</v>
      </c>
      <c r="J270" s="330" t="s">
        <v>992</v>
      </c>
      <c r="K270" s="336">
        <v>45182</v>
      </c>
      <c r="L270" s="341">
        <v>45282</v>
      </c>
      <c r="M270" s="342">
        <v>45315</v>
      </c>
      <c r="N270" s="340">
        <v>8.0399999999999991</v>
      </c>
      <c r="O270" s="343">
        <v>12.48</v>
      </c>
      <c r="P270" s="344">
        <v>28.77</v>
      </c>
      <c r="Q270" s="345">
        <v>33.61</v>
      </c>
      <c r="R270" s="343">
        <v>101.4</v>
      </c>
      <c r="S270" s="29">
        <f t="shared" si="78"/>
        <v>1.0962145853464051</v>
      </c>
      <c r="T270" s="29">
        <f t="shared" si="79"/>
        <v>2.0060379549973173</v>
      </c>
      <c r="U270" s="356">
        <f t="shared" si="104"/>
        <v>120.18240000000002</v>
      </c>
      <c r="V270" s="354">
        <f t="shared" si="105"/>
        <v>116.57782400000002</v>
      </c>
      <c r="W270" s="354">
        <f t="shared" si="106"/>
        <v>116.65056</v>
      </c>
      <c r="X270" s="346">
        <v>38</v>
      </c>
      <c r="Y270" s="346">
        <v>32</v>
      </c>
      <c r="Z270" s="346">
        <v>30</v>
      </c>
      <c r="AA270" s="351" t="s">
        <v>882</v>
      </c>
      <c r="AB270" s="351" t="s">
        <v>878</v>
      </c>
      <c r="AC270" s="347">
        <v>1.17</v>
      </c>
      <c r="AE270" s="346">
        <v>19</v>
      </c>
      <c r="AF270" s="348">
        <v>444</v>
      </c>
      <c r="AG270" s="441">
        <v>12097</v>
      </c>
      <c r="AH270" s="330">
        <v>8974.7643000000007</v>
      </c>
      <c r="AI270" s="441">
        <v>17109</v>
      </c>
      <c r="AJ270" s="330">
        <v>12227.802299999999</v>
      </c>
      <c r="AK270" s="441">
        <v>3287</v>
      </c>
      <c r="AL270" s="330">
        <v>1982.0609999999999</v>
      </c>
      <c r="AM270" s="330">
        <f t="shared" si="83"/>
        <v>106.47388469239847</v>
      </c>
      <c r="AN270" s="339" t="s">
        <v>997</v>
      </c>
      <c r="AU270" s="346">
        <v>21271.8</v>
      </c>
      <c r="AV270" s="348">
        <v>1.32</v>
      </c>
      <c r="AZ270" s="333">
        <v>0.9425063938618925</v>
      </c>
      <c r="BA270" s="333">
        <v>39.020714347826086</v>
      </c>
      <c r="BB270" s="333">
        <v>61.103571428571435</v>
      </c>
      <c r="BC270" s="333">
        <v>16.313259259259258</v>
      </c>
      <c r="BD270" s="333">
        <v>6.271804602834683</v>
      </c>
      <c r="BE270" s="333" t="s">
        <v>1125</v>
      </c>
      <c r="BF270" s="333">
        <v>0.94261994884910483</v>
      </c>
      <c r="BG270" s="333">
        <v>38.937712048716833</v>
      </c>
      <c r="BH270" s="333">
        <v>61.016977544910176</v>
      </c>
      <c r="BI270" s="333">
        <v>11.63598</v>
      </c>
      <c r="BJ270" s="420">
        <v>0.34601060901200836</v>
      </c>
      <c r="BK270" s="333" t="s">
        <v>1130</v>
      </c>
      <c r="BL270" s="333" t="s">
        <v>1136</v>
      </c>
    </row>
    <row r="271" spans="1:64" ht="20.25" customHeight="1" thickBot="1" x14ac:dyDescent="0.35">
      <c r="A271" s="431" t="s">
        <v>1042</v>
      </c>
      <c r="B271" s="330" t="s">
        <v>952</v>
      </c>
      <c r="C271" s="10" t="s">
        <v>928</v>
      </c>
      <c r="D271" s="10" t="s">
        <v>1240</v>
      </c>
      <c r="G271" s="11">
        <v>32.127155552777779</v>
      </c>
      <c r="H271" s="11">
        <v>-7.6279138888888891</v>
      </c>
      <c r="J271" s="330" t="s">
        <v>992</v>
      </c>
      <c r="K271" s="336">
        <v>45182</v>
      </c>
      <c r="L271" s="341">
        <v>45282</v>
      </c>
      <c r="M271" s="342">
        <v>45315</v>
      </c>
      <c r="N271" s="340">
        <v>8.18</v>
      </c>
      <c r="O271" s="343">
        <v>14.97</v>
      </c>
      <c r="P271" s="344">
        <v>40.03</v>
      </c>
      <c r="Q271" s="345">
        <v>51.29</v>
      </c>
      <c r="R271" s="343">
        <v>143.4</v>
      </c>
      <c r="S271" s="29">
        <f t="shared" si="78"/>
        <v>1.1752218003430523</v>
      </c>
      <c r="T271" s="29">
        <f t="shared" si="79"/>
        <v>2.1565491513317814</v>
      </c>
      <c r="U271" s="356">
        <f t="shared" si="104"/>
        <v>144.1611</v>
      </c>
      <c r="V271" s="354">
        <f t="shared" si="105"/>
        <v>138.99106100000003</v>
      </c>
      <c r="W271" s="354">
        <f t="shared" si="106"/>
        <v>139.92458999999999</v>
      </c>
      <c r="X271" s="346">
        <v>40</v>
      </c>
      <c r="Y271" s="346">
        <v>34</v>
      </c>
      <c r="Z271" s="346">
        <v>26</v>
      </c>
      <c r="AA271" s="351" t="s">
        <v>882</v>
      </c>
      <c r="AB271" s="351" t="s">
        <v>878</v>
      </c>
      <c r="AC271" s="347">
        <v>1.29</v>
      </c>
      <c r="AE271" s="346">
        <v>43</v>
      </c>
      <c r="AF271" s="348">
        <v>537</v>
      </c>
      <c r="AG271" s="441">
        <v>23019</v>
      </c>
      <c r="AH271" s="330">
        <v>17077.7961</v>
      </c>
      <c r="AI271" s="441">
        <v>12644</v>
      </c>
      <c r="AJ271" s="330">
        <v>9036.6668000000009</v>
      </c>
      <c r="AK271" s="441">
        <v>2140</v>
      </c>
      <c r="AL271" s="330">
        <v>1290.4199999999998</v>
      </c>
      <c r="AM271" s="330">
        <f t="shared" si="83"/>
        <v>237.66099344069664</v>
      </c>
      <c r="AN271" s="339" t="s">
        <v>997</v>
      </c>
      <c r="AU271" s="346">
        <v>28716.93</v>
      </c>
      <c r="AV271" s="348">
        <v>2</v>
      </c>
      <c r="AZ271" s="333">
        <v>1.1399232736572888</v>
      </c>
      <c r="BA271" s="333">
        <v>74.251287391304345</v>
      </c>
      <c r="BB271" s="333">
        <v>45.157142857142858</v>
      </c>
      <c r="BC271" s="333">
        <v>10.620740740740738</v>
      </c>
      <c r="BD271" s="333">
        <v>14.060085770056622</v>
      </c>
      <c r="BE271" s="333" t="s">
        <v>1133</v>
      </c>
      <c r="BF271" s="333">
        <v>1.1400606138107416</v>
      </c>
      <c r="BG271" s="333">
        <v>74.093344932579384</v>
      </c>
      <c r="BH271" s="333">
        <v>45.09314770459082</v>
      </c>
      <c r="BI271" s="333">
        <v>7.5756000000000006</v>
      </c>
      <c r="BJ271" s="420">
        <v>0.57929708804187885</v>
      </c>
      <c r="BK271" s="333" t="s">
        <v>1129</v>
      </c>
      <c r="BL271" s="333" t="s">
        <v>1136</v>
      </c>
    </row>
    <row r="272" spans="1:64" ht="20.25" customHeight="1" thickBot="1" x14ac:dyDescent="0.35">
      <c r="A272" s="431" t="s">
        <v>1043</v>
      </c>
      <c r="B272" s="330" t="s">
        <v>952</v>
      </c>
      <c r="C272" s="10" t="s">
        <v>929</v>
      </c>
      <c r="D272" s="10" t="s">
        <v>1241</v>
      </c>
      <c r="G272" s="11">
        <v>32.127155552777779</v>
      </c>
      <c r="H272" s="11">
        <v>-7.6279138888888891</v>
      </c>
      <c r="J272" s="330" t="s">
        <v>992</v>
      </c>
      <c r="K272" s="336">
        <v>45182</v>
      </c>
      <c r="L272" s="341">
        <v>45282</v>
      </c>
      <c r="M272" s="342">
        <v>45315</v>
      </c>
      <c r="N272" s="340">
        <v>8.02</v>
      </c>
      <c r="O272" s="343">
        <v>15.24</v>
      </c>
      <c r="P272" s="344">
        <v>40.01</v>
      </c>
      <c r="Q272" s="345">
        <v>53.23</v>
      </c>
      <c r="R272" s="343">
        <v>127</v>
      </c>
      <c r="S272" s="29">
        <f t="shared" si="78"/>
        <v>1.1829849670035817</v>
      </c>
      <c r="T272" s="29">
        <f t="shared" si="79"/>
        <v>2.1038037209559568</v>
      </c>
      <c r="U272" s="356">
        <f>O272*9.63</f>
        <v>146.7612</v>
      </c>
      <c r="V272" s="354">
        <f t="shared" si="105"/>
        <v>141.421412</v>
      </c>
      <c r="W272" s="354">
        <f t="shared" si="106"/>
        <v>142.44827999999998</v>
      </c>
      <c r="X272" s="346">
        <v>36</v>
      </c>
      <c r="Y272" s="346">
        <v>34</v>
      </c>
      <c r="Z272" s="346">
        <v>30</v>
      </c>
      <c r="AA272" s="351" t="s">
        <v>882</v>
      </c>
      <c r="AB272" s="351" t="s">
        <v>878</v>
      </c>
      <c r="AC272" s="347">
        <v>1.34</v>
      </c>
      <c r="AE272" s="346">
        <v>18</v>
      </c>
      <c r="AF272" s="348">
        <v>457</v>
      </c>
      <c r="AG272" s="441">
        <v>22303</v>
      </c>
      <c r="AH272" s="330">
        <v>16546.595700000002</v>
      </c>
      <c r="AI272" s="441">
        <v>16260</v>
      </c>
      <c r="AJ272" s="330">
        <v>11621.022000000001</v>
      </c>
      <c r="AK272" s="441">
        <v>4010</v>
      </c>
      <c r="AL272" s="330">
        <v>2418.0299999999997</v>
      </c>
      <c r="AM272" s="330">
        <f t="shared" si="83"/>
        <v>197.49438924962291</v>
      </c>
      <c r="AN272" s="339" t="s">
        <v>997</v>
      </c>
      <c r="AU272" s="346">
        <v>30844.11</v>
      </c>
      <c r="AV272" s="348">
        <v>1.19</v>
      </c>
      <c r="AZ272" s="333">
        <v>0.97010230179028123</v>
      </c>
      <c r="BA272" s="333">
        <v>71.941720434782624</v>
      </c>
      <c r="BB272" s="333">
        <v>58.071428571428569</v>
      </c>
      <c r="BC272" s="333">
        <v>19.901481481481479</v>
      </c>
      <c r="BD272" s="333">
        <v>11.521895866162422</v>
      </c>
      <c r="BE272" s="333" t="s">
        <v>1133</v>
      </c>
      <c r="BF272" s="333">
        <v>0.97021918158567766</v>
      </c>
      <c r="BG272" s="333">
        <v>71.788690735102222</v>
      </c>
      <c r="BH272" s="333">
        <v>57.98913173652695</v>
      </c>
      <c r="BI272" s="333">
        <v>14.195400000000001</v>
      </c>
      <c r="BJ272" s="420">
        <v>0.49528760954124856</v>
      </c>
      <c r="BK272" s="333" t="s">
        <v>1130</v>
      </c>
      <c r="BL272" s="333" t="s">
        <v>1136</v>
      </c>
    </row>
    <row r="273" spans="1:64" ht="20.25" customHeight="1" thickBot="1" x14ac:dyDescent="0.35">
      <c r="A273" s="431" t="s">
        <v>1044</v>
      </c>
      <c r="B273" s="330" t="s">
        <v>952</v>
      </c>
      <c r="C273" s="10" t="s">
        <v>930</v>
      </c>
      <c r="D273" s="10" t="s">
        <v>1240</v>
      </c>
      <c r="G273" s="11">
        <v>32.127813888888888</v>
      </c>
      <c r="H273" s="11">
        <v>-7.6256277750000008</v>
      </c>
      <c r="J273" s="330" t="s">
        <v>992</v>
      </c>
      <c r="K273" s="336">
        <v>45182</v>
      </c>
      <c r="L273" s="341">
        <v>45282</v>
      </c>
      <c r="M273" s="342">
        <v>45315</v>
      </c>
      <c r="N273" s="340">
        <v>8.41</v>
      </c>
      <c r="O273" s="343">
        <v>5.43</v>
      </c>
      <c r="P273" s="344">
        <v>10.29</v>
      </c>
      <c r="Q273" s="345">
        <v>14.21</v>
      </c>
      <c r="R273" s="343">
        <v>73.06</v>
      </c>
      <c r="S273" s="29">
        <f t="shared" si="78"/>
        <v>0.73479982958884693</v>
      </c>
      <c r="T273" s="29">
        <f t="shared" si="79"/>
        <v>1.8636796678758978</v>
      </c>
      <c r="U273" s="356">
        <f>10.92*O273</f>
        <v>59.295599999999993</v>
      </c>
      <c r="V273" s="356">
        <f>9.5459*O273+2.1572</f>
        <v>53.991436999999998</v>
      </c>
      <c r="W273" s="356">
        <f>9.7271*O273</f>
        <v>52.818152999999995</v>
      </c>
      <c r="X273" s="346">
        <v>22</v>
      </c>
      <c r="Y273" s="346">
        <v>28</v>
      </c>
      <c r="Z273" s="346">
        <v>50</v>
      </c>
      <c r="AA273" s="351" t="s">
        <v>883</v>
      </c>
      <c r="AB273" s="351" t="s">
        <v>888</v>
      </c>
      <c r="AC273" s="347">
        <v>0.75</v>
      </c>
      <c r="AE273" s="346">
        <v>42</v>
      </c>
      <c r="AF273" s="348">
        <v>385</v>
      </c>
      <c r="AG273" s="441">
        <v>6310</v>
      </c>
      <c r="AH273" s="330">
        <v>4681.3890000000001</v>
      </c>
      <c r="AI273" s="441">
        <v>11917</v>
      </c>
      <c r="AJ273" s="330">
        <v>8517.0799000000006</v>
      </c>
      <c r="AK273" s="441">
        <v>595</v>
      </c>
      <c r="AL273" s="330">
        <v>358.78499999999997</v>
      </c>
      <c r="AM273" s="330">
        <f t="shared" si="83"/>
        <v>70.272335340423936</v>
      </c>
      <c r="AN273" s="339" t="s">
        <v>997</v>
      </c>
      <c r="AU273" s="346">
        <v>9217.7800000000007</v>
      </c>
      <c r="AV273" s="348">
        <v>1.29</v>
      </c>
      <c r="AZ273" s="333">
        <v>0.81726342710997446</v>
      </c>
      <c r="BA273" s="333">
        <v>20.353865217391306</v>
      </c>
      <c r="BB273" s="333">
        <v>42.560714285714283</v>
      </c>
      <c r="BC273" s="333">
        <v>2.9529629629629626</v>
      </c>
      <c r="BD273" s="333">
        <v>4.2666884225358759</v>
      </c>
      <c r="BE273" s="333" t="s">
        <v>1125</v>
      </c>
      <c r="BF273" s="333">
        <v>0.81736189258312009</v>
      </c>
      <c r="BG273" s="333">
        <v>20.310569812962154</v>
      </c>
      <c r="BH273" s="333">
        <v>42.500398702594815</v>
      </c>
      <c r="BI273" s="333">
        <v>2.1063000000000001</v>
      </c>
      <c r="BJ273" s="420">
        <v>0.30897823090897064</v>
      </c>
      <c r="BK273" s="333" t="s">
        <v>1130</v>
      </c>
      <c r="BL273" s="333" t="s">
        <v>1136</v>
      </c>
    </row>
    <row r="274" spans="1:64" ht="20.25" customHeight="1" thickBot="1" x14ac:dyDescent="0.35">
      <c r="A274" s="431" t="s">
        <v>1045</v>
      </c>
      <c r="B274" s="330" t="s">
        <v>952</v>
      </c>
      <c r="C274" s="10" t="s">
        <v>931</v>
      </c>
      <c r="D274" s="10" t="s">
        <v>1241</v>
      </c>
      <c r="G274" s="11">
        <v>32.127813888888888</v>
      </c>
      <c r="H274" s="11">
        <v>-7.6256277750000008</v>
      </c>
      <c r="J274" s="330" t="s">
        <v>992</v>
      </c>
      <c r="K274" s="336">
        <v>45182</v>
      </c>
      <c r="L274" s="341">
        <v>45282</v>
      </c>
      <c r="M274" s="342">
        <v>45315</v>
      </c>
      <c r="N274" s="340">
        <v>7.97</v>
      </c>
      <c r="O274" s="343">
        <v>6.01</v>
      </c>
      <c r="P274" s="344">
        <v>14.69</v>
      </c>
      <c r="Q274" s="345">
        <v>21.37</v>
      </c>
      <c r="R274" s="343">
        <v>77.34</v>
      </c>
      <c r="S274" s="29">
        <f t="shared" si="78"/>
        <v>0.77887447200273952</v>
      </c>
      <c r="T274" s="29">
        <f t="shared" si="79"/>
        <v>1.8884041677370467</v>
      </c>
      <c r="U274" s="356">
        <f>O274*12.43</f>
        <v>74.704299999999989</v>
      </c>
      <c r="V274" s="356">
        <f>13.223*O274-1.5217</f>
        <v>77.948530000000005</v>
      </c>
      <c r="W274" s="356">
        <f>-0.144*(O274*O274)+11.253*O274+3.5274</f>
        <v>65.956635599999998</v>
      </c>
      <c r="X274" s="346">
        <v>24</v>
      </c>
      <c r="Y274" s="346">
        <v>24</v>
      </c>
      <c r="Z274" s="346">
        <v>52</v>
      </c>
      <c r="AA274" s="352" t="s">
        <v>885</v>
      </c>
      <c r="AB274" s="351" t="s">
        <v>880</v>
      </c>
      <c r="AC274" s="347">
        <v>1.17</v>
      </c>
      <c r="AE274" s="346">
        <v>27</v>
      </c>
      <c r="AF274" s="348">
        <v>356</v>
      </c>
      <c r="AG274" s="441">
        <v>4028</v>
      </c>
      <c r="AH274" s="330">
        <v>2988.3732</v>
      </c>
      <c r="AI274" s="441">
        <v>16379</v>
      </c>
      <c r="AJ274" s="330">
        <v>11706.0713</v>
      </c>
      <c r="AK274" s="441">
        <v>1339</v>
      </c>
      <c r="AL274" s="330">
        <v>807.41700000000003</v>
      </c>
      <c r="AM274" s="330">
        <f t="shared" si="83"/>
        <v>37.779885281156972</v>
      </c>
      <c r="AN274" s="339" t="s">
        <v>997</v>
      </c>
      <c r="AU274" s="346">
        <v>9997.75</v>
      </c>
      <c r="AV274" s="348">
        <v>1.03</v>
      </c>
      <c r="AZ274" s="333">
        <v>0.75570332480818403</v>
      </c>
      <c r="BA274" s="333">
        <v>12.992926956521739</v>
      </c>
      <c r="BB274" s="333">
        <v>58.496428571428567</v>
      </c>
      <c r="BC274" s="333">
        <v>6.6454074074074079</v>
      </c>
      <c r="BD274" s="333">
        <v>2.2766276044277989</v>
      </c>
      <c r="BE274" s="333" t="s">
        <v>1125</v>
      </c>
      <c r="BF274" s="333">
        <v>0.75579437340153455</v>
      </c>
      <c r="BG274" s="333">
        <v>12.965289256198346</v>
      </c>
      <c r="BH274" s="333">
        <v>58.41352944111776</v>
      </c>
      <c r="BI274" s="333">
        <v>4.7400600000000006</v>
      </c>
      <c r="BJ274" s="420">
        <v>0.168654886431471</v>
      </c>
      <c r="BK274" s="333" t="s">
        <v>1127</v>
      </c>
      <c r="BL274" s="333" t="s">
        <v>1136</v>
      </c>
    </row>
    <row r="275" spans="1:64" ht="20.25" customHeight="1" thickBot="1" x14ac:dyDescent="0.35">
      <c r="A275" s="431" t="s">
        <v>1046</v>
      </c>
      <c r="B275" s="330" t="s">
        <v>952</v>
      </c>
      <c r="C275" s="10" t="s">
        <v>932</v>
      </c>
      <c r="D275" s="10" t="s">
        <v>1240</v>
      </c>
      <c r="G275" s="11">
        <v>32.083680527777801</v>
      </c>
      <c r="H275" s="11">
        <v>-7.7360805277777782</v>
      </c>
      <c r="J275" s="330" t="s">
        <v>992</v>
      </c>
      <c r="K275" s="336">
        <v>45182</v>
      </c>
      <c r="L275" s="341">
        <v>45282</v>
      </c>
      <c r="M275" s="342">
        <v>45315</v>
      </c>
      <c r="N275" s="340">
        <v>8.0299999999999994</v>
      </c>
      <c r="O275" s="343">
        <v>69.010000000000005</v>
      </c>
      <c r="P275" s="344">
        <v>123.4</v>
      </c>
      <c r="Q275" s="345">
        <v>155</v>
      </c>
      <c r="R275" s="343">
        <v>224.8</v>
      </c>
      <c r="S275" s="29">
        <f t="shared" si="78"/>
        <v>1.8389120274059987</v>
      </c>
      <c r="T275" s="29">
        <f t="shared" si="79"/>
        <v>2.3517963068970236</v>
      </c>
      <c r="U275" s="362">
        <f t="shared" ref="U275" si="107">O275*9.63</f>
        <v>664.56630000000007</v>
      </c>
      <c r="V275" s="354">
        <f>9.0013*O275+4.2416</f>
        <v>625.42131300000005</v>
      </c>
      <c r="W275" s="354">
        <f>9.347*O275</f>
        <v>645.03647000000001</v>
      </c>
      <c r="X275" s="346">
        <v>38</v>
      </c>
      <c r="Y275" s="346">
        <v>42</v>
      </c>
      <c r="Z275" s="346">
        <v>20</v>
      </c>
      <c r="AA275" s="351" t="s">
        <v>882</v>
      </c>
      <c r="AB275" s="351" t="s">
        <v>878</v>
      </c>
      <c r="AC275" s="347">
        <v>2.68</v>
      </c>
      <c r="AE275" s="346">
        <v>19</v>
      </c>
      <c r="AF275" s="348">
        <v>1354</v>
      </c>
      <c r="AG275" s="441">
        <v>121671</v>
      </c>
      <c r="AH275" s="330">
        <v>90267.714900000006</v>
      </c>
      <c r="AI275" s="441">
        <v>39900</v>
      </c>
      <c r="AJ275" s="330">
        <v>28516.53</v>
      </c>
      <c r="AK275" s="441">
        <v>9204</v>
      </c>
      <c r="AL275" s="330">
        <v>5550.0119999999997</v>
      </c>
      <c r="AM275" s="330">
        <f t="shared" si="83"/>
        <v>691.64528474769975</v>
      </c>
      <c r="AN275" s="339" t="s">
        <v>997</v>
      </c>
      <c r="AU275" s="346">
        <v>140039.35</v>
      </c>
      <c r="AV275" s="348">
        <v>6.13</v>
      </c>
      <c r="AZ275" s="333">
        <v>2.8742199488491047</v>
      </c>
      <c r="BA275" s="333">
        <v>392.46832565217397</v>
      </c>
      <c r="BB275" s="333">
        <v>142.5</v>
      </c>
      <c r="BC275" s="333">
        <v>45.679111111111105</v>
      </c>
      <c r="BD275" s="333">
        <v>40.460747689594747</v>
      </c>
      <c r="BE275" s="333" t="s">
        <v>1131</v>
      </c>
      <c r="BF275" s="333">
        <v>2.8745662404092065</v>
      </c>
      <c r="BG275" s="333">
        <v>391.63349282296645</v>
      </c>
      <c r="BH275" s="333">
        <v>142.29805389221556</v>
      </c>
      <c r="BI275" s="333">
        <v>32.582160000000002</v>
      </c>
      <c r="BJ275" s="420">
        <v>0.68781446936036816</v>
      </c>
      <c r="BK275" s="333" t="s">
        <v>1129</v>
      </c>
      <c r="BL275" s="333" t="s">
        <v>1136</v>
      </c>
    </row>
    <row r="276" spans="1:64" ht="20.25" customHeight="1" thickBot="1" x14ac:dyDescent="0.35">
      <c r="A276" s="431" t="s">
        <v>1047</v>
      </c>
      <c r="B276" s="330" t="s">
        <v>952</v>
      </c>
      <c r="C276" s="10" t="s">
        <v>933</v>
      </c>
      <c r="D276" s="10" t="s">
        <v>1241</v>
      </c>
      <c r="G276" s="11">
        <v>32.083680527777801</v>
      </c>
      <c r="H276" s="11">
        <v>-7.7360805277777782</v>
      </c>
      <c r="J276" s="330" t="s">
        <v>992</v>
      </c>
      <c r="K276" s="336">
        <v>45182</v>
      </c>
      <c r="L276" s="341">
        <v>45282</v>
      </c>
      <c r="M276" s="342">
        <v>45315</v>
      </c>
      <c r="N276" s="340">
        <v>8.18</v>
      </c>
      <c r="O276" s="343">
        <v>11.64</v>
      </c>
      <c r="P276" s="344">
        <v>18.77</v>
      </c>
      <c r="Q276" s="345">
        <v>32.479999999999997</v>
      </c>
      <c r="R276" s="343">
        <v>83.23</v>
      </c>
      <c r="S276" s="29">
        <f t="shared" si="78"/>
        <v>1.0659529803138696</v>
      </c>
      <c r="T276" s="29">
        <f t="shared" si="79"/>
        <v>1.9202798946329485</v>
      </c>
      <c r="U276" s="356">
        <f t="shared" ref="U276:U279" si="108">O276*12.43</f>
        <v>144.68520000000001</v>
      </c>
      <c r="V276" s="356">
        <f t="shared" ref="V276:V279" si="109">9.4944*O276-4.8391</f>
        <v>105.67571600000001</v>
      </c>
      <c r="W276" s="356">
        <f t="shared" ref="W276:W279" si="110">-0.144*(O276*O276)+11.253*O276+3.5274</f>
        <v>115.00181760000001</v>
      </c>
      <c r="X276" s="346">
        <v>14</v>
      </c>
      <c r="Y276" s="346">
        <v>62</v>
      </c>
      <c r="Z276" s="346">
        <v>24</v>
      </c>
      <c r="AA276" s="351" t="s">
        <v>884</v>
      </c>
      <c r="AB276" s="351" t="s">
        <v>881</v>
      </c>
      <c r="AC276" s="347">
        <v>1.31</v>
      </c>
      <c r="AE276" s="346">
        <v>26</v>
      </c>
      <c r="AF276" s="348">
        <v>626</v>
      </c>
      <c r="AG276" s="441">
        <v>13550</v>
      </c>
      <c r="AH276" s="330">
        <v>10052.745000000001</v>
      </c>
      <c r="AI276" s="441">
        <v>35734</v>
      </c>
      <c r="AJ276" s="330">
        <v>25539.089800000002</v>
      </c>
      <c r="AK276" s="441">
        <v>1779</v>
      </c>
      <c r="AL276" s="330">
        <v>1072.7369999999999</v>
      </c>
      <c r="AM276" s="330">
        <f t="shared" si="83"/>
        <v>87.148982319301751</v>
      </c>
      <c r="AN276" s="339" t="s">
        <v>997</v>
      </c>
      <c r="AU276" s="346">
        <v>17726.5</v>
      </c>
      <c r="AV276" s="348">
        <v>4.12</v>
      </c>
      <c r="AZ276" s="333">
        <v>1.3288491048593347</v>
      </c>
      <c r="BA276" s="333">
        <v>43.707586956521745</v>
      </c>
      <c r="BB276" s="333">
        <v>127.62142857142858</v>
      </c>
      <c r="BC276" s="333">
        <v>8.8291111111111107</v>
      </c>
      <c r="BD276" s="333">
        <v>5.2915657799425508</v>
      </c>
      <c r="BE276" s="333" t="s">
        <v>1125</v>
      </c>
      <c r="BF276" s="333">
        <v>1.3290092071611252</v>
      </c>
      <c r="BG276" s="333">
        <v>43.614615050021747</v>
      </c>
      <c r="BH276" s="333">
        <v>127.44056786427146</v>
      </c>
      <c r="BI276" s="333">
        <v>6.2976600000000005</v>
      </c>
      <c r="BJ276" s="420">
        <v>0.24409090532806793</v>
      </c>
      <c r="BK276" s="333" t="s">
        <v>1127</v>
      </c>
      <c r="BL276" s="333" t="s">
        <v>1136</v>
      </c>
    </row>
    <row r="277" spans="1:64" ht="20.25" customHeight="1" thickBot="1" x14ac:dyDescent="0.35">
      <c r="A277" s="431" t="s">
        <v>1048</v>
      </c>
      <c r="B277" s="330" t="s">
        <v>952</v>
      </c>
      <c r="C277" s="10" t="s">
        <v>934</v>
      </c>
      <c r="D277" s="10" t="s">
        <v>1240</v>
      </c>
      <c r="G277" s="11">
        <v>32.083708333333334</v>
      </c>
      <c r="H277" s="11">
        <v>-7.7358777749999996</v>
      </c>
      <c r="J277" s="330" t="s">
        <v>992</v>
      </c>
      <c r="K277" s="336">
        <v>45182</v>
      </c>
      <c r="L277" s="341">
        <v>45282</v>
      </c>
      <c r="M277" s="342">
        <v>45315</v>
      </c>
      <c r="N277" s="340">
        <v>8.33</v>
      </c>
      <c r="O277" s="343">
        <v>46.82</v>
      </c>
      <c r="P277" s="344">
        <v>99.98</v>
      </c>
      <c r="Q277" s="345">
        <v>131.01</v>
      </c>
      <c r="R277" s="343">
        <v>229.4</v>
      </c>
      <c r="S277" s="29">
        <f t="shared" si="78"/>
        <v>1.6704314093606056</v>
      </c>
      <c r="T277" s="29">
        <f t="shared" si="79"/>
        <v>2.3605934135652489</v>
      </c>
      <c r="U277" s="356">
        <f t="shared" si="108"/>
        <v>581.97259999999994</v>
      </c>
      <c r="V277" s="356">
        <f t="shared" si="109"/>
        <v>439.68870800000008</v>
      </c>
      <c r="W277" s="356">
        <f t="shared" si="110"/>
        <v>214.72867439999999</v>
      </c>
      <c r="X277" s="346">
        <v>26</v>
      </c>
      <c r="Y277" s="346">
        <v>54</v>
      </c>
      <c r="Z277" s="346">
        <v>20</v>
      </c>
      <c r="AA277" s="351" t="s">
        <v>884</v>
      </c>
      <c r="AB277" s="351" t="s">
        <v>881</v>
      </c>
      <c r="AC277" s="347">
        <v>2.17</v>
      </c>
      <c r="AE277" s="346">
        <v>31</v>
      </c>
      <c r="AF277" s="348">
        <v>760</v>
      </c>
      <c r="AG277" s="441">
        <v>68570</v>
      </c>
      <c r="AH277" s="330">
        <v>50872.082999999999</v>
      </c>
      <c r="AI277" s="441">
        <v>43809</v>
      </c>
      <c r="AJ277" s="330">
        <v>31310.292300000001</v>
      </c>
      <c r="AK277" s="441">
        <v>8159</v>
      </c>
      <c r="AL277" s="330">
        <v>4919.8769999999995</v>
      </c>
      <c r="AM277" s="330">
        <f t="shared" si="83"/>
        <v>377.97174584008383</v>
      </c>
      <c r="AN277" s="339" t="s">
        <v>997</v>
      </c>
      <c r="AU277" s="346">
        <v>92177.8</v>
      </c>
      <c r="AV277" s="348">
        <v>7.64</v>
      </c>
      <c r="AZ277" s="333">
        <v>1.6132992327365727</v>
      </c>
      <c r="BA277" s="333">
        <v>221.18296956521741</v>
      </c>
      <c r="BB277" s="333">
        <v>156.46071428571429</v>
      </c>
      <c r="BC277" s="333">
        <v>40.492814814814814</v>
      </c>
      <c r="BD277" s="333">
        <v>22.288703081613829</v>
      </c>
      <c r="BE277" s="333" t="s">
        <v>1128</v>
      </c>
      <c r="BF277" s="333">
        <v>1.6134936061381073</v>
      </c>
      <c r="BG277" s="333">
        <v>220.71248368856024</v>
      </c>
      <c r="BH277" s="333">
        <v>156.23898353293413</v>
      </c>
      <c r="BI277" s="333">
        <v>28.882860000000001</v>
      </c>
      <c r="BJ277" s="420">
        <v>0.54169508930060239</v>
      </c>
      <c r="BK277" s="333" t="s">
        <v>1129</v>
      </c>
      <c r="BL277" s="333" t="s">
        <v>1136</v>
      </c>
    </row>
    <row r="278" spans="1:64" ht="20.25" customHeight="1" thickBot="1" x14ac:dyDescent="0.35">
      <c r="A278" s="431" t="s">
        <v>1049</v>
      </c>
      <c r="B278" s="330" t="s">
        <v>952</v>
      </c>
      <c r="C278" s="10" t="s">
        <v>935</v>
      </c>
      <c r="D278" s="10" t="s">
        <v>1241</v>
      </c>
      <c r="G278" s="11">
        <v>32.083708333333334</v>
      </c>
      <c r="H278" s="11">
        <v>-7.7358777749999996</v>
      </c>
      <c r="J278" s="330" t="s">
        <v>992</v>
      </c>
      <c r="K278" s="336">
        <v>45182</v>
      </c>
      <c r="L278" s="341">
        <v>45282</v>
      </c>
      <c r="M278" s="342">
        <v>45315</v>
      </c>
      <c r="N278" s="340">
        <v>8.2100000000000009</v>
      </c>
      <c r="O278" s="343">
        <v>11.34</v>
      </c>
      <c r="P278" s="344">
        <v>17.309999999999999</v>
      </c>
      <c r="Q278" s="345">
        <v>37.43</v>
      </c>
      <c r="R278" s="343">
        <v>84.42</v>
      </c>
      <c r="S278" s="29">
        <f t="shared" si="78"/>
        <v>1.0546130545568877</v>
      </c>
      <c r="T278" s="29">
        <f t="shared" si="79"/>
        <v>1.9264453478183894</v>
      </c>
      <c r="U278" s="356">
        <f t="shared" si="108"/>
        <v>140.9562</v>
      </c>
      <c r="V278" s="356">
        <f t="shared" si="109"/>
        <v>102.82739600000001</v>
      </c>
      <c r="W278" s="356">
        <f t="shared" si="110"/>
        <v>112.6186536</v>
      </c>
      <c r="X278" s="346">
        <v>14</v>
      </c>
      <c r="Y278" s="346">
        <v>62</v>
      </c>
      <c r="Z278" s="346">
        <v>24</v>
      </c>
      <c r="AA278" s="351" t="s">
        <v>884</v>
      </c>
      <c r="AB278" s="351" t="s">
        <v>881</v>
      </c>
      <c r="AC278" s="347">
        <v>1.22</v>
      </c>
      <c r="AE278" s="346">
        <v>31</v>
      </c>
      <c r="AF278" s="348">
        <v>440</v>
      </c>
      <c r="AG278" s="441">
        <v>12031</v>
      </c>
      <c r="AH278" s="330">
        <v>8925.7988999999998</v>
      </c>
      <c r="AI278" s="441">
        <v>38913</v>
      </c>
      <c r="AJ278" s="330">
        <v>27811.1211</v>
      </c>
      <c r="AK278" s="441">
        <v>2136</v>
      </c>
      <c r="AL278" s="330">
        <v>1288.008</v>
      </c>
      <c r="AM278" s="330">
        <f t="shared" si="83"/>
        <v>73.99836090959333</v>
      </c>
      <c r="AN278" s="339" t="s">
        <v>997</v>
      </c>
      <c r="AU278" s="346">
        <v>19499.150000000001</v>
      </c>
      <c r="AV278" s="348">
        <v>3.11</v>
      </c>
      <c r="AZ278" s="333">
        <v>0.93401534526854202</v>
      </c>
      <c r="BA278" s="333">
        <v>38.807821304347826</v>
      </c>
      <c r="BB278" s="333">
        <v>138.97499999999999</v>
      </c>
      <c r="BC278" s="333">
        <v>10.600888888888889</v>
      </c>
      <c r="BD278" s="333">
        <v>4.487489686741303</v>
      </c>
      <c r="BE278" s="333" t="s">
        <v>1125</v>
      </c>
      <c r="BF278" s="333">
        <v>0.93412787723785162</v>
      </c>
      <c r="BG278" s="333">
        <v>38.725271857329275</v>
      </c>
      <c r="BH278" s="333">
        <v>138.77804940119759</v>
      </c>
      <c r="BI278" s="333">
        <v>7.5614400000000002</v>
      </c>
      <c r="BJ278" s="420">
        <v>0.20820162979071793</v>
      </c>
      <c r="BK278" s="333" t="s">
        <v>1127</v>
      </c>
      <c r="BL278" s="333" t="s">
        <v>1136</v>
      </c>
    </row>
    <row r="279" spans="1:64" ht="20.25" customHeight="1" thickBot="1" x14ac:dyDescent="0.35">
      <c r="A279" s="431" t="s">
        <v>1050</v>
      </c>
      <c r="B279" s="330" t="s">
        <v>952</v>
      </c>
      <c r="C279" s="10" t="s">
        <v>936</v>
      </c>
      <c r="D279" s="10" t="s">
        <v>1240</v>
      </c>
      <c r="G279" s="11">
        <v>32.083725000000001</v>
      </c>
      <c r="H279" s="11">
        <v>-7.7353999972222223</v>
      </c>
      <c r="J279" s="330" t="s">
        <v>992</v>
      </c>
      <c r="K279" s="336">
        <v>45182</v>
      </c>
      <c r="L279" s="341">
        <v>45282</v>
      </c>
      <c r="M279" s="342">
        <v>45315</v>
      </c>
      <c r="N279" s="340">
        <v>8.36</v>
      </c>
      <c r="O279" s="343">
        <v>43.14</v>
      </c>
      <c r="P279" s="344">
        <v>84.39</v>
      </c>
      <c r="Q279" s="345">
        <v>86.92</v>
      </c>
      <c r="R279" s="343">
        <v>225</v>
      </c>
      <c r="S279" s="29">
        <f t="shared" si="78"/>
        <v>1.6348801407665263</v>
      </c>
      <c r="T279" s="29">
        <f t="shared" si="79"/>
        <v>2.3521825181113627</v>
      </c>
      <c r="U279" s="356">
        <f t="shared" si="108"/>
        <v>536.23019999999997</v>
      </c>
      <c r="V279" s="356">
        <f t="shared" si="109"/>
        <v>404.74931600000008</v>
      </c>
      <c r="W279" s="356">
        <f t="shared" si="110"/>
        <v>220.98923760000002</v>
      </c>
      <c r="X279" s="346">
        <v>24</v>
      </c>
      <c r="Y279" s="346">
        <v>56</v>
      </c>
      <c r="Z279" s="346">
        <v>20</v>
      </c>
      <c r="AA279" s="351" t="s">
        <v>884</v>
      </c>
      <c r="AB279" s="351" t="s">
        <v>881</v>
      </c>
      <c r="AC279" s="347">
        <v>3.23</v>
      </c>
      <c r="AE279" s="346">
        <v>24</v>
      </c>
      <c r="AF279" s="348">
        <v>973</v>
      </c>
      <c r="AG279" s="441">
        <v>66276</v>
      </c>
      <c r="AH279" s="330">
        <v>49170.164400000001</v>
      </c>
      <c r="AI279" s="441">
        <v>20707</v>
      </c>
      <c r="AJ279" s="330">
        <v>14799.2929</v>
      </c>
      <c r="AK279" s="441">
        <v>11530</v>
      </c>
      <c r="AL279" s="330">
        <v>6952.59</v>
      </c>
      <c r="AM279" s="330">
        <f t="shared" si="83"/>
        <v>471.48537932598856</v>
      </c>
      <c r="AN279" s="339" t="s">
        <v>997</v>
      </c>
      <c r="AU279" s="346">
        <v>90405.15</v>
      </c>
      <c r="AV279" s="348">
        <v>3.62</v>
      </c>
      <c r="AZ279" s="333">
        <v>2.0654475703324806</v>
      </c>
      <c r="BA279" s="333">
        <v>213.78332347826088</v>
      </c>
      <c r="BB279" s="333">
        <v>73.953571428571436</v>
      </c>
      <c r="BC279" s="333">
        <v>57.22296296296296</v>
      </c>
      <c r="BD279" s="333">
        <v>26.397375223679322</v>
      </c>
      <c r="BE279" s="333" t="s">
        <v>1131</v>
      </c>
      <c r="BF279" s="333">
        <v>2.0656964194373399</v>
      </c>
      <c r="BG279" s="333">
        <v>213.32857764245324</v>
      </c>
      <c r="BH279" s="333">
        <v>73.84876696606787</v>
      </c>
      <c r="BI279" s="333">
        <v>40.816200000000002</v>
      </c>
      <c r="BJ279" s="420">
        <v>0.64633420648380746</v>
      </c>
      <c r="BK279" s="333" t="s">
        <v>1129</v>
      </c>
      <c r="BL279" s="333" t="s">
        <v>1136</v>
      </c>
    </row>
    <row r="280" spans="1:64" ht="20.25" customHeight="1" thickBot="1" x14ac:dyDescent="0.35">
      <c r="A280" s="431" t="s">
        <v>1051</v>
      </c>
      <c r="B280" s="330" t="s">
        <v>952</v>
      </c>
      <c r="C280" s="10" t="s">
        <v>937</v>
      </c>
      <c r="D280" s="10" t="s">
        <v>1241</v>
      </c>
      <c r="G280" s="11">
        <v>32.083725000000001</v>
      </c>
      <c r="H280" s="11">
        <v>-7.7353999972222223</v>
      </c>
      <c r="J280" s="330" t="s">
        <v>992</v>
      </c>
      <c r="K280" s="336">
        <v>45182</v>
      </c>
      <c r="L280" s="341">
        <v>45282</v>
      </c>
      <c r="M280" s="342">
        <v>45315</v>
      </c>
      <c r="N280" s="340">
        <v>8.2799999999999994</v>
      </c>
      <c r="O280" s="343">
        <v>9.2899999999999991</v>
      </c>
      <c r="P280" s="344">
        <v>18.32</v>
      </c>
      <c r="Q280" s="345">
        <v>33.450000000000003</v>
      </c>
      <c r="R280" s="343">
        <v>71.2</v>
      </c>
      <c r="S280" s="29">
        <f t="shared" si="78"/>
        <v>0.96801571399364172</v>
      </c>
      <c r="T280" s="29">
        <f t="shared" si="79"/>
        <v>1.8524799936368563</v>
      </c>
      <c r="U280" s="356">
        <f t="shared" ref="U280" si="111">O280*9.63</f>
        <v>89.462699999999998</v>
      </c>
      <c r="V280" s="354">
        <f>9.0013*O280+4.2416</f>
        <v>87.863676999999996</v>
      </c>
      <c r="W280" s="354">
        <f>9.347*O280</f>
        <v>86.833629999999985</v>
      </c>
      <c r="X280" s="346">
        <v>36</v>
      </c>
      <c r="Y280" s="346">
        <v>40</v>
      </c>
      <c r="Z280" s="346">
        <v>24</v>
      </c>
      <c r="AA280" s="351" t="s">
        <v>882</v>
      </c>
      <c r="AB280" s="351" t="s">
        <v>878</v>
      </c>
      <c r="AC280" s="347">
        <v>2.11</v>
      </c>
      <c r="AE280" s="346">
        <v>30</v>
      </c>
      <c r="AF280" s="348">
        <v>592</v>
      </c>
      <c r="AG280" s="441">
        <v>11668</v>
      </c>
      <c r="AH280" s="330">
        <v>8656.4892</v>
      </c>
      <c r="AI280" s="441">
        <v>10749</v>
      </c>
      <c r="AJ280" s="330">
        <v>7682.3103000000001</v>
      </c>
      <c r="AK280" s="441">
        <v>2412</v>
      </c>
      <c r="AL280" s="330">
        <v>1454.4359999999999</v>
      </c>
      <c r="AM280" s="330">
        <f t="shared" si="83"/>
        <v>128.07400965898807</v>
      </c>
      <c r="AN280" s="339" t="s">
        <v>997</v>
      </c>
      <c r="AU280" s="346">
        <v>15953.85</v>
      </c>
      <c r="AV280" s="348">
        <v>1.71</v>
      </c>
      <c r="AZ280" s="333">
        <v>1.2566751918158565</v>
      </c>
      <c r="BA280" s="333">
        <v>37.636909565217387</v>
      </c>
      <c r="BB280" s="333">
        <v>38.38928571428572</v>
      </c>
      <c r="BC280" s="333">
        <v>11.970666666666666</v>
      </c>
      <c r="BD280" s="333">
        <v>7.5004323440661862</v>
      </c>
      <c r="BE280" s="333" t="s">
        <v>1125</v>
      </c>
      <c r="BF280" s="333">
        <v>1.2568265984654732</v>
      </c>
      <c r="BG280" s="333">
        <v>37.556850804697696</v>
      </c>
      <c r="BH280" s="333">
        <v>38.334881736526945</v>
      </c>
      <c r="BI280" s="333">
        <v>8.5384799999999998</v>
      </c>
      <c r="BJ280" s="420">
        <v>0.43830258556922663</v>
      </c>
      <c r="BK280" s="333" t="s">
        <v>1130</v>
      </c>
      <c r="BL280" s="333" t="s">
        <v>1136</v>
      </c>
    </row>
    <row r="281" spans="1:64" ht="20.25" customHeight="1" thickBot="1" x14ac:dyDescent="0.35">
      <c r="A281" s="431" t="s">
        <v>1052</v>
      </c>
      <c r="B281" s="330" t="s">
        <v>952</v>
      </c>
      <c r="C281" s="10" t="s">
        <v>938</v>
      </c>
      <c r="D281" s="10" t="s">
        <v>1240</v>
      </c>
      <c r="G281" s="11">
        <v>32.083866638888892</v>
      </c>
      <c r="H281" s="11">
        <v>-7.7345944444444443</v>
      </c>
      <c r="J281" s="330" t="s">
        <v>992</v>
      </c>
      <c r="K281" s="336">
        <v>45182</v>
      </c>
      <c r="L281" s="341">
        <v>45282</v>
      </c>
      <c r="M281" s="342">
        <v>45315</v>
      </c>
      <c r="N281" s="340">
        <v>8.18</v>
      </c>
      <c r="O281" s="343">
        <v>3.88</v>
      </c>
      <c r="P281" s="344">
        <v>6.74</v>
      </c>
      <c r="Q281" s="345">
        <v>8.4499999999999993</v>
      </c>
      <c r="R281" s="343">
        <v>19.170000000000002</v>
      </c>
      <c r="S281" s="29">
        <f t="shared" si="78"/>
        <v>0.58883172559420727</v>
      </c>
      <c r="T281" s="29">
        <f t="shared" si="79"/>
        <v>1.2826221128780626</v>
      </c>
      <c r="U281" s="356">
        <f t="shared" ref="U281:U282" si="112">O281*12.43</f>
        <v>48.228400000000001</v>
      </c>
      <c r="V281" s="356">
        <f t="shared" ref="V281:V282" si="113">9.4944*O281-4.8391</f>
        <v>31.999172000000002</v>
      </c>
      <c r="W281" s="356">
        <f t="shared" ref="W281:W282" si="114">-0.144*(O281*O281)+11.253*O281+3.5274</f>
        <v>45.021206399999997</v>
      </c>
      <c r="X281" s="346">
        <v>12</v>
      </c>
      <c r="Y281" s="346">
        <v>68</v>
      </c>
      <c r="Z281" s="346">
        <v>20</v>
      </c>
      <c r="AA281" s="351" t="s">
        <v>884</v>
      </c>
      <c r="AB281" s="351" t="s">
        <v>881</v>
      </c>
      <c r="AC281" s="347">
        <v>1.47</v>
      </c>
      <c r="AE281" s="346">
        <v>22</v>
      </c>
      <c r="AF281" s="348">
        <v>233</v>
      </c>
      <c r="AG281" s="441">
        <v>1845</v>
      </c>
      <c r="AH281" s="330">
        <v>1368.8054999999999</v>
      </c>
      <c r="AI281" s="441">
        <v>42612</v>
      </c>
      <c r="AJ281" s="330">
        <v>30454.796399999999</v>
      </c>
      <c r="AK281" s="441">
        <v>579</v>
      </c>
      <c r="AL281" s="330">
        <v>349.137</v>
      </c>
      <c r="AM281" s="330">
        <f t="shared" si="83"/>
        <v>11.029444801303853</v>
      </c>
      <c r="AN281" s="238" t="s">
        <v>1000</v>
      </c>
      <c r="AU281" s="346">
        <v>2907.15</v>
      </c>
      <c r="AV281" s="348">
        <v>1.39</v>
      </c>
      <c r="AZ281" s="333">
        <v>0.49460358056265979</v>
      </c>
      <c r="BA281" s="333">
        <v>5.9513282608695652</v>
      </c>
      <c r="BB281" s="333">
        <v>152.18571428571428</v>
      </c>
      <c r="BC281" s="333">
        <v>2.8735555555555554</v>
      </c>
      <c r="BD281" s="333">
        <v>0.6758962487451734</v>
      </c>
      <c r="BE281" s="333" t="s">
        <v>1125</v>
      </c>
      <c r="BF281" s="333">
        <v>0.4946631713554987</v>
      </c>
      <c r="BG281" s="333">
        <v>5.9386689865158759</v>
      </c>
      <c r="BH281" s="333">
        <v>151.97004191616765</v>
      </c>
      <c r="BI281" s="333">
        <v>2.0496600000000003</v>
      </c>
      <c r="BJ281" s="420">
        <v>3.701188338872765E-2</v>
      </c>
      <c r="BK281" s="333" t="s">
        <v>1126</v>
      </c>
      <c r="BL281" s="333" t="s">
        <v>1136</v>
      </c>
    </row>
    <row r="282" spans="1:64" ht="20.25" customHeight="1" thickBot="1" x14ac:dyDescent="0.35">
      <c r="A282" s="431" t="s">
        <v>1053</v>
      </c>
      <c r="B282" s="330" t="s">
        <v>952</v>
      </c>
      <c r="C282" s="10" t="s">
        <v>939</v>
      </c>
      <c r="D282" s="10" t="s">
        <v>1241</v>
      </c>
      <c r="G282" s="11">
        <v>32.083866638888892</v>
      </c>
      <c r="H282" s="11">
        <v>-7.7345944444444443</v>
      </c>
      <c r="J282" s="330" t="s">
        <v>992</v>
      </c>
      <c r="K282" s="336">
        <v>45182</v>
      </c>
      <c r="L282" s="341">
        <v>45282</v>
      </c>
      <c r="M282" s="342">
        <v>45315</v>
      </c>
      <c r="N282" s="340">
        <v>8.18</v>
      </c>
      <c r="O282" s="343">
        <v>4.34</v>
      </c>
      <c r="P282" s="344">
        <v>7.75</v>
      </c>
      <c r="Q282" s="345">
        <v>10.199999999999999</v>
      </c>
      <c r="R282" s="343">
        <v>23</v>
      </c>
      <c r="S282" s="29">
        <f t="shared" si="78"/>
        <v>0.63748972951251071</v>
      </c>
      <c r="T282" s="29">
        <f t="shared" si="79"/>
        <v>1.3617278360175928</v>
      </c>
      <c r="U282" s="356">
        <f t="shared" si="112"/>
        <v>53.946199999999997</v>
      </c>
      <c r="V282" s="356">
        <f t="shared" si="113"/>
        <v>36.366596000000001</v>
      </c>
      <c r="W282" s="356">
        <f t="shared" si="114"/>
        <v>49.653093599999998</v>
      </c>
      <c r="X282" s="346">
        <v>14</v>
      </c>
      <c r="Y282" s="346">
        <v>62</v>
      </c>
      <c r="Z282" s="346">
        <v>24</v>
      </c>
      <c r="AA282" s="351" t="s">
        <v>884</v>
      </c>
      <c r="AB282" s="351" t="s">
        <v>881</v>
      </c>
      <c r="AC282" s="347">
        <v>1.78</v>
      </c>
      <c r="AE282" s="346">
        <v>17</v>
      </c>
      <c r="AF282" s="348">
        <v>248</v>
      </c>
      <c r="AG282" s="441">
        <v>2502</v>
      </c>
      <c r="AH282" s="330">
        <v>1856.2338</v>
      </c>
      <c r="AI282" s="441">
        <v>40356</v>
      </c>
      <c r="AJ282" s="330">
        <v>28842.433199999999</v>
      </c>
      <c r="AK282" s="441">
        <v>710</v>
      </c>
      <c r="AL282" s="330">
        <v>428.13</v>
      </c>
      <c r="AM282" s="330">
        <f t="shared" si="83"/>
        <v>15.343771941621901</v>
      </c>
      <c r="AN282" s="339" t="s">
        <v>997</v>
      </c>
      <c r="AU282" s="346">
        <v>3545.3</v>
      </c>
      <c r="AV282" s="348">
        <v>1.35</v>
      </c>
      <c r="AZ282" s="333">
        <v>0.52644501278772371</v>
      </c>
      <c r="BA282" s="333">
        <v>8.070581739130434</v>
      </c>
      <c r="BB282" s="333">
        <v>144.12857142857143</v>
      </c>
      <c r="BC282" s="333">
        <v>3.523703703703704</v>
      </c>
      <c r="BD282" s="333">
        <v>0.93929014685601731</v>
      </c>
      <c r="BE282" s="333" t="s">
        <v>1125</v>
      </c>
      <c r="BF282" s="333">
        <v>0.52650843989769813</v>
      </c>
      <c r="BG282" s="333">
        <v>8.0534145280556757</v>
      </c>
      <c r="BH282" s="333">
        <v>143.92431736526945</v>
      </c>
      <c r="BI282" s="333">
        <v>2.5134000000000003</v>
      </c>
      <c r="BJ282" s="420">
        <v>5.1951600545229674E-2</v>
      </c>
      <c r="BK282" s="333" t="s">
        <v>1126</v>
      </c>
      <c r="BL282" s="333" t="s">
        <v>1136</v>
      </c>
    </row>
    <row r="283" spans="1:64" ht="20.25" customHeight="1" thickBot="1" x14ac:dyDescent="0.35">
      <c r="A283" s="431" t="s">
        <v>1054</v>
      </c>
      <c r="B283" s="330" t="s">
        <v>952</v>
      </c>
      <c r="C283" s="10" t="s">
        <v>940</v>
      </c>
      <c r="D283" s="10" t="s">
        <v>1240</v>
      </c>
      <c r="G283" s="11">
        <v>32.083446638488901</v>
      </c>
      <c r="H283" s="11">
        <v>-7.7370444444444004</v>
      </c>
      <c r="J283" s="330" t="s">
        <v>992</v>
      </c>
      <c r="K283" s="336">
        <v>45182</v>
      </c>
      <c r="L283" s="341">
        <v>45282</v>
      </c>
      <c r="M283" s="342">
        <v>45315</v>
      </c>
      <c r="N283" s="340">
        <v>8.24</v>
      </c>
      <c r="O283" s="343">
        <v>7.04</v>
      </c>
      <c r="P283" s="344">
        <v>14.71</v>
      </c>
      <c r="Q283" s="345">
        <v>22.21</v>
      </c>
      <c r="R283" s="343">
        <v>53.32</v>
      </c>
      <c r="S283" s="29">
        <f t="shared" si="78"/>
        <v>0.84757265914211222</v>
      </c>
      <c r="T283" s="29">
        <f t="shared" si="79"/>
        <v>1.7268901407418216</v>
      </c>
      <c r="U283" s="356">
        <f t="shared" ref="U283:U284" si="115">O283*9.63</f>
        <v>67.795200000000008</v>
      </c>
      <c r="V283" s="354">
        <f t="shared" ref="V283:V284" si="116">9.0013*O283+4.2416</f>
        <v>67.610752000000005</v>
      </c>
      <c r="W283" s="354">
        <f t="shared" ref="W283:W284" si="117">9.347*O283</f>
        <v>65.802880000000002</v>
      </c>
      <c r="X283" s="346">
        <v>36</v>
      </c>
      <c r="Y283" s="346">
        <v>44</v>
      </c>
      <c r="Z283" s="346">
        <v>20</v>
      </c>
      <c r="AA283" s="351" t="s">
        <v>882</v>
      </c>
      <c r="AB283" s="351" t="s">
        <v>878</v>
      </c>
      <c r="AC283" s="347">
        <v>1.5</v>
      </c>
      <c r="AE283" s="346">
        <v>63</v>
      </c>
      <c r="AF283" s="348">
        <v>441</v>
      </c>
      <c r="AG283" s="441">
        <v>5272</v>
      </c>
      <c r="AH283" s="330">
        <v>3911.2968000000001</v>
      </c>
      <c r="AI283" s="441">
        <v>12550</v>
      </c>
      <c r="AJ283" s="330">
        <v>8969.4850000000006</v>
      </c>
      <c r="AK283" s="441">
        <v>2430</v>
      </c>
      <c r="AL283" s="330">
        <v>1465.29</v>
      </c>
      <c r="AM283" s="330">
        <f t="shared" si="83"/>
        <v>54.149471965057089</v>
      </c>
      <c r="AN283" s="339" t="s">
        <v>997</v>
      </c>
      <c r="AU283" s="346">
        <v>10494.09</v>
      </c>
      <c r="AV283" s="348">
        <v>1.94</v>
      </c>
      <c r="AZ283" s="333">
        <v>0.93613810741687964</v>
      </c>
      <c r="BA283" s="333">
        <v>17.005638260869567</v>
      </c>
      <c r="BB283" s="333">
        <v>44.821428571428569</v>
      </c>
      <c r="BC283" s="333">
        <v>12.059999999999999</v>
      </c>
      <c r="BD283" s="333">
        <v>3.1887662656098903</v>
      </c>
      <c r="BE283" s="333" t="s">
        <v>1125</v>
      </c>
      <c r="BF283" s="333">
        <v>0.93625089514066495</v>
      </c>
      <c r="BG283" s="333">
        <v>16.969464984775989</v>
      </c>
      <c r="BH283" s="333">
        <v>44.757909181636727</v>
      </c>
      <c r="BI283" s="333">
        <v>8.6021999999999998</v>
      </c>
      <c r="BJ283" s="420">
        <v>0.23811504280093862</v>
      </c>
      <c r="BK283" s="333" t="s">
        <v>1127</v>
      </c>
      <c r="BL283" s="333" t="s">
        <v>1136</v>
      </c>
    </row>
    <row r="284" spans="1:64" ht="20.25" customHeight="1" thickBot="1" x14ac:dyDescent="0.35">
      <c r="A284" s="431" t="s">
        <v>1055</v>
      </c>
      <c r="B284" s="330" t="s">
        <v>952</v>
      </c>
      <c r="C284" s="10" t="s">
        <v>941</v>
      </c>
      <c r="D284" s="10" t="s">
        <v>1241</v>
      </c>
      <c r="G284" s="11">
        <v>32.083446638488901</v>
      </c>
      <c r="H284" s="11">
        <v>-7.7370444444444004</v>
      </c>
      <c r="J284" s="330" t="s">
        <v>992</v>
      </c>
      <c r="K284" s="336">
        <v>45182</v>
      </c>
      <c r="L284" s="341">
        <v>45282</v>
      </c>
      <c r="M284" s="342">
        <v>45315</v>
      </c>
      <c r="N284" s="340">
        <v>8.26</v>
      </c>
      <c r="O284" s="343">
        <v>2.21</v>
      </c>
      <c r="P284" s="344">
        <v>3.69</v>
      </c>
      <c r="Q284" s="345">
        <v>4.9800000000000004</v>
      </c>
      <c r="R284" s="343">
        <v>11.26</v>
      </c>
      <c r="S284" s="29">
        <f t="shared" si="78"/>
        <v>0.34439227368511072</v>
      </c>
      <c r="T284" s="29">
        <f t="shared" si="79"/>
        <v>1.0515383905153275</v>
      </c>
      <c r="U284" s="356">
        <f t="shared" si="115"/>
        <v>21.282300000000003</v>
      </c>
      <c r="V284" s="354">
        <f t="shared" si="116"/>
        <v>24.134473</v>
      </c>
      <c r="W284" s="354">
        <f t="shared" si="117"/>
        <v>20.656869999999998</v>
      </c>
      <c r="X284" s="346">
        <v>34</v>
      </c>
      <c r="Y284" s="346">
        <v>42</v>
      </c>
      <c r="Z284" s="346">
        <v>24</v>
      </c>
      <c r="AA284" s="351" t="s">
        <v>882</v>
      </c>
      <c r="AB284" s="351" t="s">
        <v>878</v>
      </c>
      <c r="AC284" s="347">
        <v>1.49</v>
      </c>
      <c r="AE284" s="346">
        <v>49</v>
      </c>
      <c r="AF284" s="348">
        <v>385</v>
      </c>
      <c r="AG284" s="441">
        <v>1468</v>
      </c>
      <c r="AH284" s="330">
        <v>1089.1092000000001</v>
      </c>
      <c r="AI284" s="441">
        <v>11147</v>
      </c>
      <c r="AJ284" s="330">
        <v>7966.7609000000002</v>
      </c>
      <c r="AK284" s="441">
        <v>995</v>
      </c>
      <c r="AL284" s="330">
        <v>599.98500000000001</v>
      </c>
      <c r="AM284" s="330">
        <f t="shared" si="83"/>
        <v>16.640964027634098</v>
      </c>
      <c r="AN284" s="339" t="s">
        <v>999</v>
      </c>
      <c r="AU284" s="346">
        <v>1559.93</v>
      </c>
      <c r="AV284" s="348">
        <v>1.9</v>
      </c>
      <c r="AZ284" s="333">
        <v>0.81726342710997446</v>
      </c>
      <c r="BA284" s="333">
        <v>4.7352573913043479</v>
      </c>
      <c r="BB284" s="333">
        <v>39.810714285714283</v>
      </c>
      <c r="BC284" s="333">
        <v>4.938148148148148</v>
      </c>
      <c r="BD284" s="333">
        <v>1.0010772425913166</v>
      </c>
      <c r="BE284" s="333" t="s">
        <v>1125</v>
      </c>
      <c r="BF284" s="333">
        <v>0.81736189258312009</v>
      </c>
      <c r="BG284" s="333">
        <v>4.7251848629839053</v>
      </c>
      <c r="BH284" s="333">
        <v>39.754295908183636</v>
      </c>
      <c r="BI284" s="333">
        <v>3.5223</v>
      </c>
      <c r="BJ284" s="420">
        <v>9.6789591237382872E-2</v>
      </c>
      <c r="BK284" s="333" t="s">
        <v>1126</v>
      </c>
      <c r="BL284" s="333" t="s">
        <v>1136</v>
      </c>
    </row>
    <row r="285" spans="1:64" ht="20.25" customHeight="1" thickBot="1" x14ac:dyDescent="0.35">
      <c r="A285" s="431" t="s">
        <v>1056</v>
      </c>
      <c r="B285" s="330" t="s">
        <v>952</v>
      </c>
      <c r="C285" s="10" t="s">
        <v>942</v>
      </c>
      <c r="D285" s="10" t="s">
        <v>1240</v>
      </c>
      <c r="G285" s="11">
        <v>32.084088663848803</v>
      </c>
      <c r="H285" s="11">
        <v>-7.7370444444444004</v>
      </c>
      <c r="J285" s="330" t="s">
        <v>992</v>
      </c>
      <c r="K285" s="336">
        <v>45182</v>
      </c>
      <c r="L285" s="341">
        <v>45282</v>
      </c>
      <c r="M285" s="342">
        <v>45315</v>
      </c>
      <c r="N285" s="340">
        <v>8.33</v>
      </c>
      <c r="O285" s="343">
        <v>20.02</v>
      </c>
      <c r="P285" s="344">
        <v>55.11</v>
      </c>
      <c r="Q285" s="345">
        <v>73.930000000000007</v>
      </c>
      <c r="R285" s="343">
        <v>178</v>
      </c>
      <c r="S285" s="29">
        <f t="shared" si="78"/>
        <v>1.3014640731432998</v>
      </c>
      <c r="T285" s="29">
        <f t="shared" si="79"/>
        <v>2.2504200023088941</v>
      </c>
      <c r="U285" s="356">
        <f t="shared" ref="U285:U286" si="118">10.92*O285</f>
        <v>218.61839999999998</v>
      </c>
      <c r="V285" s="356">
        <f t="shared" ref="V285:V286" si="119">9.5459*O285+2.1572</f>
        <v>193.26611799999998</v>
      </c>
      <c r="W285" s="356">
        <f t="shared" ref="W285:W286" si="120">9.7271*O285</f>
        <v>194.73654199999999</v>
      </c>
      <c r="X285" s="346">
        <v>18</v>
      </c>
      <c r="Y285" s="346">
        <v>46</v>
      </c>
      <c r="Z285" s="346">
        <v>36</v>
      </c>
      <c r="AA285" s="351" t="s">
        <v>883</v>
      </c>
      <c r="AB285" s="351" t="s">
        <v>888</v>
      </c>
      <c r="AC285" s="347">
        <v>1.33</v>
      </c>
      <c r="AE285" s="346">
        <v>23</v>
      </c>
      <c r="AF285" s="348">
        <v>185</v>
      </c>
      <c r="AG285" s="441">
        <v>33086</v>
      </c>
      <c r="AH285" s="330">
        <v>24546.503400000001</v>
      </c>
      <c r="AI285" s="441">
        <v>43724</v>
      </c>
      <c r="AJ285" s="330">
        <v>31249.542799999999</v>
      </c>
      <c r="AK285" s="441">
        <v>961</v>
      </c>
      <c r="AL285" s="330">
        <v>579.48299999999995</v>
      </c>
      <c r="AM285" s="330">
        <f t="shared" si="83"/>
        <v>194.57765325914499</v>
      </c>
      <c r="AN285" s="339" t="s">
        <v>997</v>
      </c>
      <c r="AU285" s="346">
        <v>35453</v>
      </c>
      <c r="AV285" s="348">
        <v>3.12</v>
      </c>
      <c r="AZ285" s="333">
        <v>0.39271099744245519</v>
      </c>
      <c r="BA285" s="333">
        <v>106.72392782608696</v>
      </c>
      <c r="BB285" s="333">
        <v>156.15714285714287</v>
      </c>
      <c r="BC285" s="333">
        <v>4.7694074074074067</v>
      </c>
      <c r="BD285" s="333">
        <v>11.897698178876912</v>
      </c>
      <c r="BE285" s="333" t="s">
        <v>1133</v>
      </c>
      <c r="BF285" s="333">
        <v>0.39275831202046035</v>
      </c>
      <c r="BG285" s="333">
        <v>106.49691170073945</v>
      </c>
      <c r="BH285" s="333">
        <v>155.93584231536926</v>
      </c>
      <c r="BI285" s="333">
        <v>3.4019400000000002</v>
      </c>
      <c r="BJ285" s="420">
        <v>0.40002227707712301</v>
      </c>
      <c r="BK285" s="333" t="s">
        <v>1130</v>
      </c>
      <c r="BL285" s="333" t="s">
        <v>1136</v>
      </c>
    </row>
    <row r="286" spans="1:64" ht="20.25" customHeight="1" thickBot="1" x14ac:dyDescent="0.35">
      <c r="A286" s="431" t="s">
        <v>1057</v>
      </c>
      <c r="B286" s="330" t="s">
        <v>952</v>
      </c>
      <c r="C286" s="10" t="s">
        <v>943</v>
      </c>
      <c r="D286" s="10" t="s">
        <v>1241</v>
      </c>
      <c r="G286" s="11">
        <v>32.084088663848803</v>
      </c>
      <c r="H286" s="11">
        <v>-7.7370444444444004</v>
      </c>
      <c r="J286" s="330" t="s">
        <v>992</v>
      </c>
      <c r="K286" s="336">
        <v>45182</v>
      </c>
      <c r="L286" s="341">
        <v>45282</v>
      </c>
      <c r="M286" s="342">
        <v>45315</v>
      </c>
      <c r="N286" s="340">
        <v>8.35</v>
      </c>
      <c r="O286" s="343">
        <v>16.38</v>
      </c>
      <c r="P286" s="344">
        <v>30.56</v>
      </c>
      <c r="Q286" s="345">
        <v>37.56</v>
      </c>
      <c r="R286" s="343">
        <v>114.4</v>
      </c>
      <c r="S286" s="29">
        <f t="shared" si="78"/>
        <v>1.2143138974243997</v>
      </c>
      <c r="T286" s="29">
        <f t="shared" si="79"/>
        <v>2.0584260244570056</v>
      </c>
      <c r="U286" s="356">
        <f t="shared" si="118"/>
        <v>178.86959999999999</v>
      </c>
      <c r="V286" s="356">
        <f t="shared" si="119"/>
        <v>158.51904199999998</v>
      </c>
      <c r="W286" s="356">
        <f t="shared" si="120"/>
        <v>159.32989799999999</v>
      </c>
      <c r="X286" s="346">
        <v>14</v>
      </c>
      <c r="Y286" s="346">
        <v>50</v>
      </c>
      <c r="Z286" s="346">
        <v>36</v>
      </c>
      <c r="AA286" s="351" t="s">
        <v>883</v>
      </c>
      <c r="AB286" s="351" t="s">
        <v>888</v>
      </c>
      <c r="AC286" s="347">
        <v>1.1399999999999999</v>
      </c>
      <c r="AE286" s="346">
        <v>13</v>
      </c>
      <c r="AF286" s="348">
        <v>290</v>
      </c>
      <c r="AG286" s="441">
        <v>20347</v>
      </c>
      <c r="AH286" s="330">
        <v>15095.4393</v>
      </c>
      <c r="AI286" s="441">
        <v>42875</v>
      </c>
      <c r="AJ286" s="330">
        <v>30642.762500000001</v>
      </c>
      <c r="AK286" s="441">
        <v>2817</v>
      </c>
      <c r="AL286" s="330">
        <v>1698.6509999999998</v>
      </c>
      <c r="AM286" s="330">
        <f t="shared" si="83"/>
        <v>118.70834643514699</v>
      </c>
      <c r="AN286" s="339" t="s">
        <v>997</v>
      </c>
      <c r="AU286" s="346">
        <v>26589.75</v>
      </c>
      <c r="AV286" s="348">
        <v>2</v>
      </c>
      <c r="AZ286" s="333">
        <v>0.61560102301790276</v>
      </c>
      <c r="BA286" s="333">
        <v>65.632344782608698</v>
      </c>
      <c r="BB286" s="333">
        <v>153.125</v>
      </c>
      <c r="BC286" s="333">
        <v>13.980666666666664</v>
      </c>
      <c r="BD286" s="333">
        <v>7.1802130261356085</v>
      </c>
      <c r="BE286" s="333" t="s">
        <v>1125</v>
      </c>
      <c r="BF286" s="333">
        <v>0.61567519181585673</v>
      </c>
      <c r="BG286" s="333">
        <v>65.49273597216181</v>
      </c>
      <c r="BH286" s="333">
        <v>152.90799650698602</v>
      </c>
      <c r="BI286" s="333">
        <v>9.9721799999999998</v>
      </c>
      <c r="BJ286" s="420">
        <v>0.28600873361544576</v>
      </c>
      <c r="BK286" s="333" t="s">
        <v>1127</v>
      </c>
      <c r="BL286" s="333" t="s">
        <v>1136</v>
      </c>
    </row>
    <row r="287" spans="1:64" ht="20.25" customHeight="1" thickBot="1" x14ac:dyDescent="0.35">
      <c r="A287" s="431" t="s">
        <v>1058</v>
      </c>
      <c r="B287" s="330" t="s">
        <v>952</v>
      </c>
      <c r="C287" s="12" t="s">
        <v>920</v>
      </c>
      <c r="D287" s="12" t="s">
        <v>1240</v>
      </c>
      <c r="G287" s="337">
        <v>32.127317499999997</v>
      </c>
      <c r="H287" s="337">
        <v>-7.6266992800000004</v>
      </c>
      <c r="J287" s="330" t="s">
        <v>992</v>
      </c>
      <c r="K287" s="13">
        <v>45220</v>
      </c>
      <c r="L287" s="341">
        <v>45282</v>
      </c>
      <c r="M287" s="342">
        <v>45315</v>
      </c>
      <c r="N287" s="340">
        <v>8.6300000000000008</v>
      </c>
      <c r="O287" s="343">
        <v>5.57</v>
      </c>
      <c r="P287" s="344">
        <v>16.079999999999998</v>
      </c>
      <c r="Q287" s="345">
        <v>25.29</v>
      </c>
      <c r="R287" s="343">
        <v>87.62</v>
      </c>
      <c r="S287" s="29">
        <f t="shared" si="78"/>
        <v>0.74585519517372889</v>
      </c>
      <c r="T287" s="29">
        <f t="shared" si="79"/>
        <v>1.9426032488421565</v>
      </c>
      <c r="U287" s="356">
        <f>O287*12.43</f>
        <v>69.235100000000003</v>
      </c>
      <c r="V287" s="356">
        <f>13.223*O287-1.5217</f>
        <v>72.130410000000012</v>
      </c>
      <c r="W287" s="356">
        <f>-0.144*(O287*O287)+11.253*O287+3.5274</f>
        <v>61.739024400000005</v>
      </c>
      <c r="X287" s="346">
        <v>22</v>
      </c>
      <c r="Y287" s="346">
        <v>22</v>
      </c>
      <c r="Z287" s="346">
        <v>56</v>
      </c>
      <c r="AA287" s="352" t="s">
        <v>885</v>
      </c>
      <c r="AB287" s="351" t="s">
        <v>880</v>
      </c>
      <c r="AC287" s="347">
        <v>0.77</v>
      </c>
      <c r="AE287" s="346">
        <v>30</v>
      </c>
      <c r="AF287" s="348">
        <v>178</v>
      </c>
      <c r="AG287" s="441">
        <v>8560</v>
      </c>
      <c r="AH287" s="330">
        <v>6350.6639999999998</v>
      </c>
      <c r="AI287" s="441">
        <v>8809</v>
      </c>
      <c r="AJ287" s="330">
        <v>6295.7923000000001</v>
      </c>
      <c r="AK287" s="441">
        <v>471</v>
      </c>
      <c r="AL287" s="330">
        <v>284.01299999999998</v>
      </c>
      <c r="AM287" s="330">
        <f t="shared" si="83"/>
        <v>110.72039135733684</v>
      </c>
      <c r="AN287" s="339" t="s">
        <v>997</v>
      </c>
      <c r="AU287" s="346">
        <v>10635.9</v>
      </c>
      <c r="AV287" s="348">
        <v>1.51</v>
      </c>
      <c r="AZ287" s="333">
        <v>0.37785166240409201</v>
      </c>
      <c r="BA287" s="333">
        <v>27.611582608695649</v>
      </c>
      <c r="BB287" s="333">
        <v>31.460714285714282</v>
      </c>
      <c r="BC287" s="333">
        <v>2.3375555555555554</v>
      </c>
      <c r="BD287" s="333">
        <v>6.7167481299566321</v>
      </c>
      <c r="BE287" s="333" t="s">
        <v>1125</v>
      </c>
      <c r="BF287" s="333">
        <v>0.37789718670076727</v>
      </c>
      <c r="BG287" s="333">
        <v>27.552849064810786</v>
      </c>
      <c r="BH287" s="333">
        <v>31.416129241516966</v>
      </c>
      <c r="BI287" s="333">
        <v>1.66734</v>
      </c>
      <c r="BJ287" s="420">
        <v>0.45158081345746337</v>
      </c>
      <c r="BK287" s="333" t="s">
        <v>1130</v>
      </c>
      <c r="BL287" s="333" t="s">
        <v>1136</v>
      </c>
    </row>
    <row r="288" spans="1:64" ht="20.25" customHeight="1" thickBot="1" x14ac:dyDescent="0.35">
      <c r="A288" s="431" t="s">
        <v>1059</v>
      </c>
      <c r="B288" s="330" t="s">
        <v>952</v>
      </c>
      <c r="C288" s="12" t="s">
        <v>921</v>
      </c>
      <c r="D288" s="12" t="s">
        <v>1241</v>
      </c>
      <c r="G288" s="337">
        <v>32.127317499999997</v>
      </c>
      <c r="H288" s="337">
        <v>-7.6266992800000004</v>
      </c>
      <c r="J288" s="330" t="s">
        <v>992</v>
      </c>
      <c r="K288" s="13">
        <v>45220</v>
      </c>
      <c r="L288" s="341">
        <v>45282</v>
      </c>
      <c r="M288" s="342">
        <v>45315</v>
      </c>
      <c r="N288" s="340">
        <v>8.02</v>
      </c>
      <c r="O288" s="349">
        <v>14.18</v>
      </c>
      <c r="P288" s="350">
        <v>33.75</v>
      </c>
      <c r="Q288" s="343">
        <v>42.26</v>
      </c>
      <c r="R288" s="343">
        <v>159.1</v>
      </c>
      <c r="S288" s="29">
        <f t="shared" si="78"/>
        <v>1.1516762308470476</v>
      </c>
      <c r="T288" s="29">
        <f t="shared" si="79"/>
        <v>2.2016701796465816</v>
      </c>
      <c r="U288" s="356">
        <f>10.92*O288</f>
        <v>154.84559999999999</v>
      </c>
      <c r="V288" s="356">
        <f>9.5459*O288+2.1572</f>
        <v>137.51806199999999</v>
      </c>
      <c r="W288" s="356">
        <f>9.7271*O288</f>
        <v>137.93027799999999</v>
      </c>
      <c r="X288" s="346">
        <v>26</v>
      </c>
      <c r="Y288" s="346">
        <v>32</v>
      </c>
      <c r="Z288" s="346">
        <v>42</v>
      </c>
      <c r="AA288" s="351" t="s">
        <v>883</v>
      </c>
      <c r="AB288" s="351" t="s">
        <v>888</v>
      </c>
      <c r="AC288" s="347">
        <v>0.89</v>
      </c>
      <c r="AE288" s="346">
        <v>19</v>
      </c>
      <c r="AF288" s="346">
        <v>417</v>
      </c>
      <c r="AG288" s="442">
        <v>20841</v>
      </c>
      <c r="AH288" s="330">
        <v>15461.937900000001</v>
      </c>
      <c r="AI288" s="442">
        <v>12879</v>
      </c>
      <c r="AJ288" s="330">
        <v>9204.6213000000007</v>
      </c>
      <c r="AK288" s="442">
        <v>2183</v>
      </c>
      <c r="AL288" s="330">
        <v>1316.3489999999999</v>
      </c>
      <c r="AM288" s="330">
        <f t="shared" si="83"/>
        <v>213.18224195207856</v>
      </c>
      <c r="AN288" s="339" t="s">
        <v>997</v>
      </c>
      <c r="AU288" s="346">
        <v>28362.400000000001</v>
      </c>
      <c r="AV288" s="348">
        <v>0.85</v>
      </c>
      <c r="AZ288" s="333">
        <v>0.88519181585677742</v>
      </c>
      <c r="BA288" s="333">
        <v>67.22581695652174</v>
      </c>
      <c r="BB288" s="333">
        <v>45.996428571428567</v>
      </c>
      <c r="BC288" s="333">
        <v>10.834148148148147</v>
      </c>
      <c r="BD288" s="333">
        <v>12.611305747964963</v>
      </c>
      <c r="BE288" s="333" t="s">
        <v>1133</v>
      </c>
      <c r="BF288" s="333">
        <v>0.88529846547314583</v>
      </c>
      <c r="BG288" s="333">
        <v>67.082818616789908</v>
      </c>
      <c r="BH288" s="333">
        <v>45.931244011976048</v>
      </c>
      <c r="BI288" s="333">
        <v>7.7278200000000004</v>
      </c>
      <c r="BJ288" s="420">
        <v>0.55154463018272903</v>
      </c>
      <c r="BK288" s="333" t="s">
        <v>1129</v>
      </c>
      <c r="BL288" s="333" t="s">
        <v>1136</v>
      </c>
    </row>
    <row r="289" spans="1:64" ht="20.25" customHeight="1" thickBot="1" x14ac:dyDescent="0.35">
      <c r="A289" s="431" t="s">
        <v>1060</v>
      </c>
      <c r="B289" s="330" t="s">
        <v>952</v>
      </c>
      <c r="C289" s="12" t="s">
        <v>922</v>
      </c>
      <c r="D289" s="12" t="s">
        <v>1240</v>
      </c>
      <c r="G289" s="337">
        <v>32.127375379999997</v>
      </c>
      <c r="H289" s="337">
        <v>-7.6269305699999999</v>
      </c>
      <c r="J289" s="330" t="s">
        <v>992</v>
      </c>
      <c r="K289" s="13">
        <v>45220</v>
      </c>
      <c r="L289" s="341">
        <v>45282</v>
      </c>
      <c r="M289" s="342">
        <v>45315</v>
      </c>
      <c r="N289" s="340">
        <v>8.4</v>
      </c>
      <c r="O289" s="349">
        <v>6.78</v>
      </c>
      <c r="P289" s="350">
        <v>15.81</v>
      </c>
      <c r="Q289" s="343">
        <v>18.420000000000002</v>
      </c>
      <c r="R289" s="343">
        <v>75</v>
      </c>
      <c r="S289" s="29">
        <f t="shared" si="78"/>
        <v>0.83122969386706336</v>
      </c>
      <c r="T289" s="29">
        <f t="shared" si="79"/>
        <v>1.8750612633917001</v>
      </c>
      <c r="U289" s="356">
        <f t="shared" ref="U289" si="121">O289*9.63</f>
        <v>65.29140000000001</v>
      </c>
      <c r="V289" s="354">
        <f>9.0013*O289+4.2416</f>
        <v>65.270414000000002</v>
      </c>
      <c r="W289" s="354">
        <f>9.347*O289</f>
        <v>63.372659999999996</v>
      </c>
      <c r="X289" s="346">
        <v>32</v>
      </c>
      <c r="Y289" s="346">
        <v>38</v>
      </c>
      <c r="Z289" s="346">
        <v>30</v>
      </c>
      <c r="AA289" s="351" t="s">
        <v>882</v>
      </c>
      <c r="AB289" s="351" t="s">
        <v>878</v>
      </c>
      <c r="AC289" s="347">
        <v>0.52</v>
      </c>
      <c r="AE289" s="346">
        <v>30</v>
      </c>
      <c r="AF289" s="346">
        <v>177</v>
      </c>
      <c r="AG289" s="442">
        <v>11453</v>
      </c>
      <c r="AH289" s="330">
        <v>8496.9807000000001</v>
      </c>
      <c r="AI289" s="442">
        <v>9997</v>
      </c>
      <c r="AJ289" s="330">
        <v>7144.8559000000005</v>
      </c>
      <c r="AK289" s="442">
        <v>988</v>
      </c>
      <c r="AL289" s="330">
        <v>595.76400000000001</v>
      </c>
      <c r="AM289" s="330">
        <f t="shared" si="83"/>
        <v>136.58146243136386</v>
      </c>
      <c r="AN289" s="339" t="s">
        <v>997</v>
      </c>
      <c r="AU289" s="346">
        <v>29213.27</v>
      </c>
      <c r="AV289" s="348">
        <v>1.25</v>
      </c>
      <c r="AZ289" s="333">
        <v>0.37572890025575445</v>
      </c>
      <c r="BA289" s="333">
        <v>36.943394347826086</v>
      </c>
      <c r="BB289" s="333">
        <v>35.703571428571429</v>
      </c>
      <c r="BC289" s="333">
        <v>4.903407407407407</v>
      </c>
      <c r="BD289" s="333">
        <v>8.1988219293283073</v>
      </c>
      <c r="BE289" s="333" t="s">
        <v>1125</v>
      </c>
      <c r="BF289" s="333">
        <v>0.37577416879795394</v>
      </c>
      <c r="BG289" s="333">
        <v>36.864810787298822</v>
      </c>
      <c r="BH289" s="333">
        <v>35.65297355289421</v>
      </c>
      <c r="BI289" s="333">
        <v>3.4975200000000002</v>
      </c>
      <c r="BJ289" s="420">
        <v>0.4825800539386278</v>
      </c>
      <c r="BK289" s="333" t="s">
        <v>1130</v>
      </c>
      <c r="BL289" s="333" t="s">
        <v>1136</v>
      </c>
    </row>
    <row r="290" spans="1:64" ht="20.25" customHeight="1" thickBot="1" x14ac:dyDescent="0.35">
      <c r="A290" s="431" t="s">
        <v>1061</v>
      </c>
      <c r="B290" s="330" t="s">
        <v>952</v>
      </c>
      <c r="C290" s="12" t="s">
        <v>923</v>
      </c>
      <c r="D290" s="12" t="s">
        <v>1241</v>
      </c>
      <c r="G290" s="337">
        <v>32.127375379999997</v>
      </c>
      <c r="H290" s="337">
        <v>-7.6269305699999999</v>
      </c>
      <c r="J290" s="330" t="s">
        <v>992</v>
      </c>
      <c r="K290" s="13">
        <v>45220</v>
      </c>
      <c r="L290" s="341">
        <v>45282</v>
      </c>
      <c r="M290" s="342">
        <v>45315</v>
      </c>
      <c r="N290" s="340">
        <v>7.92</v>
      </c>
      <c r="O290" s="349">
        <v>11.82</v>
      </c>
      <c r="P290" s="350">
        <v>31.36</v>
      </c>
      <c r="Q290" s="343">
        <v>36.35</v>
      </c>
      <c r="R290" s="343">
        <v>129.6</v>
      </c>
      <c r="S290" s="29">
        <f t="shared" si="78"/>
        <v>1.0726174765452365</v>
      </c>
      <c r="T290" s="29">
        <f t="shared" si="79"/>
        <v>2.1126050015345745</v>
      </c>
      <c r="U290" s="356">
        <f>O290*12.43</f>
        <v>146.92259999999999</v>
      </c>
      <c r="V290" s="356">
        <f>9.4944*O290-4.8391</f>
        <v>107.384708</v>
      </c>
      <c r="W290" s="356">
        <f>-0.144*(O290*O290)+11.253*O290+3.5274</f>
        <v>116.41927439999999</v>
      </c>
      <c r="X290" s="346">
        <v>10</v>
      </c>
      <c r="Y290" s="346">
        <v>60</v>
      </c>
      <c r="Z290" s="346">
        <v>30</v>
      </c>
      <c r="AA290" s="351" t="s">
        <v>884</v>
      </c>
      <c r="AB290" s="351" t="s">
        <v>881</v>
      </c>
      <c r="AC290" s="347">
        <v>0.75</v>
      </c>
      <c r="AE290" s="346">
        <v>15</v>
      </c>
      <c r="AF290" s="346">
        <v>145</v>
      </c>
      <c r="AG290" s="442">
        <v>17626</v>
      </c>
      <c r="AH290" s="330">
        <v>13076.7294</v>
      </c>
      <c r="AI290" s="442">
        <v>15560</v>
      </c>
      <c r="AJ290" s="330">
        <v>11120.732</v>
      </c>
      <c r="AK290" s="442">
        <v>4052</v>
      </c>
      <c r="AL290" s="330">
        <v>2443.3559999999998</v>
      </c>
      <c r="AM290" s="330">
        <f t="shared" si="83"/>
        <v>158.78842292489432</v>
      </c>
      <c r="AN290" s="339" t="s">
        <v>997</v>
      </c>
      <c r="AU290" s="346">
        <v>21271.8</v>
      </c>
      <c r="AV290" s="348">
        <v>0.8</v>
      </c>
      <c r="AZ290" s="333">
        <v>0.30780051150895138</v>
      </c>
      <c r="BA290" s="333">
        <v>56.855345217391303</v>
      </c>
      <c r="BB290" s="333">
        <v>55.571428571428569</v>
      </c>
      <c r="BC290" s="333">
        <v>20.109925925925921</v>
      </c>
      <c r="BD290" s="333">
        <v>9.2425508917776238</v>
      </c>
      <c r="BE290" s="333" t="s">
        <v>1125</v>
      </c>
      <c r="BF290" s="333">
        <v>0.30783759590792836</v>
      </c>
      <c r="BG290" s="333">
        <v>56.734406263592867</v>
      </c>
      <c r="BH290" s="333">
        <v>55.492674650698604</v>
      </c>
      <c r="BI290" s="333">
        <v>14.34408</v>
      </c>
      <c r="BJ290" s="420">
        <v>0.44715364189316303</v>
      </c>
      <c r="BK290" s="333" t="s">
        <v>1130</v>
      </c>
      <c r="BL290" s="333" t="s">
        <v>1136</v>
      </c>
    </row>
    <row r="291" spans="1:64" ht="20.25" customHeight="1" thickBot="1" x14ac:dyDescent="0.35">
      <c r="A291" s="431" t="s">
        <v>1062</v>
      </c>
      <c r="B291" s="330" t="s">
        <v>952</v>
      </c>
      <c r="C291" s="12" t="s">
        <v>924</v>
      </c>
      <c r="D291" s="12" t="s">
        <v>1240</v>
      </c>
      <c r="G291" s="337">
        <v>32.127528939999998</v>
      </c>
      <c r="H291" s="14" t="s">
        <v>953</v>
      </c>
      <c r="J291" s="330" t="s">
        <v>992</v>
      </c>
      <c r="K291" s="13">
        <v>45220</v>
      </c>
      <c r="L291" s="341">
        <v>45282</v>
      </c>
      <c r="M291" s="342">
        <v>45315</v>
      </c>
      <c r="N291" s="340">
        <v>8.4700000000000006</v>
      </c>
      <c r="O291" s="349">
        <v>11.38</v>
      </c>
      <c r="P291" s="350">
        <v>26.16</v>
      </c>
      <c r="Q291" s="343">
        <v>30.66</v>
      </c>
      <c r="R291" s="343">
        <v>109.1</v>
      </c>
      <c r="S291" s="29">
        <f t="shared" si="78"/>
        <v>1.0561422620590524</v>
      </c>
      <c r="T291" s="29">
        <f t="shared" si="79"/>
        <v>2.0378247505883418</v>
      </c>
      <c r="U291" s="356">
        <f t="shared" ref="U291:U295" si="122">O291*9.63</f>
        <v>109.58940000000001</v>
      </c>
      <c r="V291" s="354">
        <f t="shared" ref="V291:V295" si="123">9.0013*O291+4.2416</f>
        <v>106.67639400000002</v>
      </c>
      <c r="W291" s="354">
        <f t="shared" ref="W291:W295" si="124">9.347*O291</f>
        <v>106.36886</v>
      </c>
      <c r="X291" s="346">
        <v>36</v>
      </c>
      <c r="Y291" s="346">
        <v>34</v>
      </c>
      <c r="Z291" s="346">
        <v>30</v>
      </c>
      <c r="AA291" s="351" t="s">
        <v>882</v>
      </c>
      <c r="AB291" s="351" t="s">
        <v>878</v>
      </c>
      <c r="AC291" s="347">
        <v>0.74</v>
      </c>
      <c r="AE291" s="346">
        <v>33</v>
      </c>
      <c r="AF291" s="348">
        <v>232</v>
      </c>
      <c r="AG291" s="441">
        <v>21301</v>
      </c>
      <c r="AH291" s="330">
        <v>15803.2119</v>
      </c>
      <c r="AI291" s="441">
        <v>10269</v>
      </c>
      <c r="AJ291" s="330">
        <v>7339.2542999999996</v>
      </c>
      <c r="AK291" s="441">
        <v>1104</v>
      </c>
      <c r="AL291" s="330">
        <v>665.71199999999999</v>
      </c>
      <c r="AM291" s="330">
        <f t="shared" si="83"/>
        <v>249.7931975334179</v>
      </c>
      <c r="AN291" s="339" t="s">
        <v>997</v>
      </c>
      <c r="AU291" s="346">
        <v>31907.7</v>
      </c>
      <c r="AV291" s="348">
        <v>0.9</v>
      </c>
      <c r="AZ291" s="333">
        <v>0.49248081841432223</v>
      </c>
      <c r="BA291" s="333">
        <v>68.709616956521742</v>
      </c>
      <c r="BB291" s="333">
        <v>36.674999999999997</v>
      </c>
      <c r="BC291" s="333">
        <v>5.479111111111111</v>
      </c>
      <c r="BD291" s="333">
        <v>14.966234899044075</v>
      </c>
      <c r="BE291" s="333" t="s">
        <v>1133</v>
      </c>
      <c r="BF291" s="333">
        <v>0.49254015345268537</v>
      </c>
      <c r="BG291" s="333">
        <v>68.56346237494563</v>
      </c>
      <c r="BH291" s="333">
        <v>36.623025449101796</v>
      </c>
      <c r="BI291" s="333">
        <v>3.9081600000000001</v>
      </c>
      <c r="BJ291" s="420">
        <v>0.62565217376526472</v>
      </c>
      <c r="BK291" s="333" t="s">
        <v>1129</v>
      </c>
      <c r="BL291" s="333" t="s">
        <v>1136</v>
      </c>
    </row>
    <row r="292" spans="1:64" ht="20.25" customHeight="1" thickBot="1" x14ac:dyDescent="0.35">
      <c r="A292" s="431" t="s">
        <v>1063</v>
      </c>
      <c r="B292" s="330" t="s">
        <v>952</v>
      </c>
      <c r="C292" s="12" t="s">
        <v>925</v>
      </c>
      <c r="D292" s="12" t="s">
        <v>1241</v>
      </c>
      <c r="G292" s="337">
        <v>32.127528939999998</v>
      </c>
      <c r="H292" s="14" t="s">
        <v>953</v>
      </c>
      <c r="J292" s="330" t="s">
        <v>992</v>
      </c>
      <c r="K292" s="13">
        <v>45220</v>
      </c>
      <c r="L292" s="341">
        <v>45282</v>
      </c>
      <c r="M292" s="342">
        <v>45315</v>
      </c>
      <c r="N292" s="340">
        <v>8.16</v>
      </c>
      <c r="O292" s="349">
        <v>15.03</v>
      </c>
      <c r="P292" s="350">
        <v>33.950000000000003</v>
      </c>
      <c r="Q292" s="343">
        <v>41.47</v>
      </c>
      <c r="R292" s="343">
        <v>147</v>
      </c>
      <c r="S292" s="29">
        <f t="shared" si="78"/>
        <v>1.1769589805869081</v>
      </c>
      <c r="T292" s="29">
        <f t="shared" si="79"/>
        <v>2.167317334748176</v>
      </c>
      <c r="U292" s="356">
        <f t="shared" si="122"/>
        <v>144.7389</v>
      </c>
      <c r="V292" s="354">
        <f t="shared" si="123"/>
        <v>139.531139</v>
      </c>
      <c r="W292" s="354">
        <f t="shared" si="124"/>
        <v>140.48540999999997</v>
      </c>
      <c r="X292" s="346">
        <v>34</v>
      </c>
      <c r="Y292" s="346">
        <v>32</v>
      </c>
      <c r="Z292" s="346">
        <v>34</v>
      </c>
      <c r="AA292" s="351" t="s">
        <v>882</v>
      </c>
      <c r="AB292" s="351" t="s">
        <v>878</v>
      </c>
      <c r="AC292" s="347">
        <v>0.91</v>
      </c>
      <c r="AE292" s="346">
        <v>18</v>
      </c>
      <c r="AF292" s="348">
        <v>168</v>
      </c>
      <c r="AG292" s="441">
        <v>21677</v>
      </c>
      <c r="AH292" s="330">
        <v>16082.166300000001</v>
      </c>
      <c r="AI292" s="441">
        <v>11629</v>
      </c>
      <c r="AJ292" s="330">
        <v>8311.2463000000007</v>
      </c>
      <c r="AK292" s="441">
        <v>3074</v>
      </c>
      <c r="AL292" s="330">
        <v>1853.6219999999998</v>
      </c>
      <c r="AM292" s="330">
        <f t="shared" si="83"/>
        <v>225.58419492431821</v>
      </c>
      <c r="AN292" s="339" t="s">
        <v>997</v>
      </c>
      <c r="AU292" s="346">
        <v>17017.439999999999</v>
      </c>
      <c r="AV292" s="348">
        <v>0.73</v>
      </c>
      <c r="AZ292" s="333">
        <v>0.35662404092071609</v>
      </c>
      <c r="BA292" s="333">
        <v>69.922462173913047</v>
      </c>
      <c r="BB292" s="333">
        <v>41.532142857142858</v>
      </c>
      <c r="BC292" s="333">
        <v>15.256148148148146</v>
      </c>
      <c r="BD292" s="333">
        <v>13.122068813794094</v>
      </c>
      <c r="BE292" s="333" t="s">
        <v>1133</v>
      </c>
      <c r="BF292" s="333">
        <v>0.35666700767263426</v>
      </c>
      <c r="BG292" s="333">
        <v>69.773727707698995</v>
      </c>
      <c r="BH292" s="333">
        <v>41.47328493013972</v>
      </c>
      <c r="BI292" s="333">
        <v>10.881960000000001</v>
      </c>
      <c r="BJ292" s="420">
        <v>0.56964822904654633</v>
      </c>
      <c r="BK292" s="333" t="s">
        <v>1129</v>
      </c>
      <c r="BL292" s="333" t="s">
        <v>1136</v>
      </c>
    </row>
    <row r="293" spans="1:64" ht="20.25" customHeight="1" thickBot="1" x14ac:dyDescent="0.35">
      <c r="A293" s="431" t="s">
        <v>1064</v>
      </c>
      <c r="B293" s="330" t="s">
        <v>952</v>
      </c>
      <c r="C293" s="12" t="s">
        <v>926</v>
      </c>
      <c r="D293" s="12" t="s">
        <v>1240</v>
      </c>
      <c r="G293" s="337">
        <v>32.127643659999997</v>
      </c>
      <c r="H293" s="14" t="s">
        <v>954</v>
      </c>
      <c r="J293" s="330" t="s">
        <v>992</v>
      </c>
      <c r="K293" s="13">
        <v>45220</v>
      </c>
      <c r="L293" s="341">
        <v>45282</v>
      </c>
      <c r="M293" s="342">
        <v>45315</v>
      </c>
      <c r="N293" s="340">
        <v>8.58</v>
      </c>
      <c r="O293" s="349">
        <v>8.66</v>
      </c>
      <c r="P293" s="350">
        <v>20.190000000000001</v>
      </c>
      <c r="Q293" s="343">
        <v>28.49</v>
      </c>
      <c r="R293" s="343">
        <v>93.46</v>
      </c>
      <c r="S293" s="29">
        <f t="shared" si="78"/>
        <v>0.9375178920173467</v>
      </c>
      <c r="T293" s="29">
        <f t="shared" si="79"/>
        <v>1.9706257766882944</v>
      </c>
      <c r="U293" s="356">
        <f t="shared" si="122"/>
        <v>83.395800000000008</v>
      </c>
      <c r="V293" s="354">
        <f t="shared" si="123"/>
        <v>82.192858000000015</v>
      </c>
      <c r="W293" s="354">
        <f t="shared" si="124"/>
        <v>80.94502</v>
      </c>
      <c r="X293" s="346">
        <v>36</v>
      </c>
      <c r="Y293" s="346">
        <v>34</v>
      </c>
      <c r="Z293" s="346">
        <v>30</v>
      </c>
      <c r="AA293" s="351" t="s">
        <v>882</v>
      </c>
      <c r="AB293" s="351" t="s">
        <v>878</v>
      </c>
      <c r="AC293" s="347">
        <v>0.88</v>
      </c>
      <c r="AE293" s="346">
        <v>36</v>
      </c>
      <c r="AF293" s="348">
        <v>169</v>
      </c>
      <c r="AG293" s="441">
        <v>15024</v>
      </c>
      <c r="AH293" s="330">
        <v>11146.3056</v>
      </c>
      <c r="AI293" s="441">
        <v>10392</v>
      </c>
      <c r="AJ293" s="330">
        <v>7427.1624000000002</v>
      </c>
      <c r="AK293" s="441">
        <v>982</v>
      </c>
      <c r="AL293" s="330">
        <v>592.14599999999996</v>
      </c>
      <c r="AM293" s="330">
        <f t="shared" si="83"/>
        <v>176.02626987921846</v>
      </c>
      <c r="AN293" s="339" t="s">
        <v>997</v>
      </c>
      <c r="AU293" s="346">
        <v>27936.959999999999</v>
      </c>
      <c r="AV293" s="348">
        <v>1.43</v>
      </c>
      <c r="AZ293" s="333">
        <v>0.35874680306905365</v>
      </c>
      <c r="BA293" s="333">
        <v>48.46219826086957</v>
      </c>
      <c r="BB293" s="333">
        <v>37.114285714285714</v>
      </c>
      <c r="BC293" s="333">
        <v>4.8736296296296295</v>
      </c>
      <c r="BD293" s="333">
        <v>10.576840406808305</v>
      </c>
      <c r="BE293" s="333" t="s">
        <v>1133</v>
      </c>
      <c r="BF293" s="333">
        <v>0.35879002557544759</v>
      </c>
      <c r="BG293" s="333">
        <v>48.359112657677251</v>
      </c>
      <c r="BH293" s="333">
        <v>37.061688622754488</v>
      </c>
      <c r="BI293" s="333">
        <v>3.47628</v>
      </c>
      <c r="BJ293" s="420">
        <v>0.54180315479618812</v>
      </c>
      <c r="BK293" s="333" t="s">
        <v>1129</v>
      </c>
      <c r="BL293" s="333" t="s">
        <v>1136</v>
      </c>
    </row>
    <row r="294" spans="1:64" ht="20.25" customHeight="1" thickBot="1" x14ac:dyDescent="0.35">
      <c r="A294" s="431" t="s">
        <v>1065</v>
      </c>
      <c r="B294" s="330" t="s">
        <v>952</v>
      </c>
      <c r="C294" s="12" t="s">
        <v>927</v>
      </c>
      <c r="D294" s="12" t="s">
        <v>1241</v>
      </c>
      <c r="G294" s="337">
        <v>32.127643659999997</v>
      </c>
      <c r="H294" s="14" t="s">
        <v>954</v>
      </c>
      <c r="J294" s="330" t="s">
        <v>992</v>
      </c>
      <c r="K294" s="13">
        <v>45220</v>
      </c>
      <c r="L294" s="341">
        <v>45282</v>
      </c>
      <c r="M294" s="342">
        <v>45315</v>
      </c>
      <c r="N294" s="340">
        <v>8.11</v>
      </c>
      <c r="O294" s="349">
        <v>14.7</v>
      </c>
      <c r="P294" s="350">
        <v>33.130000000000003</v>
      </c>
      <c r="Q294" s="343">
        <v>46.72</v>
      </c>
      <c r="R294" s="343">
        <v>140.4</v>
      </c>
      <c r="S294" s="29">
        <f t="shared" si="78"/>
        <v>1.167317334748176</v>
      </c>
      <c r="T294" s="29">
        <f t="shared" si="79"/>
        <v>2.1473671077937864</v>
      </c>
      <c r="U294" s="356">
        <f t="shared" si="122"/>
        <v>141.56100000000001</v>
      </c>
      <c r="V294" s="354">
        <f t="shared" si="123"/>
        <v>136.56071</v>
      </c>
      <c r="W294" s="354">
        <f t="shared" si="124"/>
        <v>137.40089999999998</v>
      </c>
      <c r="X294" s="346">
        <v>30</v>
      </c>
      <c r="Y294" s="346">
        <v>30</v>
      </c>
      <c r="Z294" s="346">
        <v>40</v>
      </c>
      <c r="AA294" s="351" t="s">
        <v>882</v>
      </c>
      <c r="AB294" s="351" t="s">
        <v>878</v>
      </c>
      <c r="AC294" s="347">
        <v>0.78</v>
      </c>
      <c r="AE294" s="346">
        <v>14</v>
      </c>
      <c r="AF294" s="348">
        <v>140</v>
      </c>
      <c r="AG294" s="441">
        <v>21765</v>
      </c>
      <c r="AH294" s="330">
        <v>16147.4535</v>
      </c>
      <c r="AI294" s="441">
        <v>14062</v>
      </c>
      <c r="AJ294" s="330">
        <v>10050.1114</v>
      </c>
      <c r="AK294" s="441">
        <v>2559</v>
      </c>
      <c r="AL294" s="330">
        <v>1543.077</v>
      </c>
      <c r="AM294" s="330">
        <f t="shared" si="83"/>
        <v>212.08873101211555</v>
      </c>
      <c r="AN294" s="339" t="s">
        <v>997</v>
      </c>
      <c r="AU294" s="346">
        <v>29425.99</v>
      </c>
      <c r="AV294" s="348">
        <v>0.92</v>
      </c>
      <c r="AZ294" s="333">
        <v>0.29718670076726339</v>
      </c>
      <c r="BA294" s="333">
        <v>70.206319565217385</v>
      </c>
      <c r="BB294" s="333">
        <v>50.221428571428568</v>
      </c>
      <c r="BC294" s="333">
        <v>12.700222222222223</v>
      </c>
      <c r="BD294" s="333">
        <v>12.516737672623766</v>
      </c>
      <c r="BE294" s="333" t="s">
        <v>1133</v>
      </c>
      <c r="BF294" s="333">
        <v>0.29722250639386188</v>
      </c>
      <c r="BG294" s="333">
        <v>70.056981296215753</v>
      </c>
      <c r="BH294" s="333">
        <v>50.150256487025949</v>
      </c>
      <c r="BI294" s="333">
        <v>9.058860000000001</v>
      </c>
      <c r="BJ294" s="420">
        <v>0.54071616210209117</v>
      </c>
      <c r="BK294" s="333" t="s">
        <v>1129</v>
      </c>
      <c r="BL294" s="333" t="s">
        <v>1136</v>
      </c>
    </row>
    <row r="295" spans="1:64" ht="20.25" customHeight="1" thickBot="1" x14ac:dyDescent="0.35">
      <c r="A295" s="431" t="s">
        <v>1066</v>
      </c>
      <c r="B295" s="330" t="s">
        <v>952</v>
      </c>
      <c r="C295" s="12" t="s">
        <v>928</v>
      </c>
      <c r="D295" s="12" t="s">
        <v>1240</v>
      </c>
      <c r="G295" s="337">
        <v>32.127018749999998</v>
      </c>
      <c r="H295" s="337">
        <v>-7.6278202300000002</v>
      </c>
      <c r="J295" s="330" t="s">
        <v>992</v>
      </c>
      <c r="K295" s="13">
        <v>45220</v>
      </c>
      <c r="L295" s="341">
        <v>45282</v>
      </c>
      <c r="M295" s="342">
        <v>45315</v>
      </c>
      <c r="N295" s="340">
        <v>8.35</v>
      </c>
      <c r="O295" s="349">
        <v>6.41</v>
      </c>
      <c r="P295" s="350">
        <v>16.77</v>
      </c>
      <c r="Q295" s="343">
        <v>25.53</v>
      </c>
      <c r="R295" s="343">
        <v>73.650000000000006</v>
      </c>
      <c r="S295" s="29">
        <f t="shared" si="78"/>
        <v>0.80685802951881747</v>
      </c>
      <c r="T295" s="29">
        <f t="shared" si="79"/>
        <v>1.8671727511786498</v>
      </c>
      <c r="U295" s="356">
        <f t="shared" si="122"/>
        <v>61.728300000000004</v>
      </c>
      <c r="V295" s="354">
        <f t="shared" si="123"/>
        <v>61.939933000000003</v>
      </c>
      <c r="W295" s="354">
        <f t="shared" si="124"/>
        <v>59.914269999999995</v>
      </c>
      <c r="X295" s="346">
        <v>40</v>
      </c>
      <c r="Y295" s="346">
        <v>30</v>
      </c>
      <c r="Z295" s="346">
        <v>30</v>
      </c>
      <c r="AA295" s="351" t="s">
        <v>882</v>
      </c>
      <c r="AB295" s="351" t="s">
        <v>878</v>
      </c>
      <c r="AC295" s="347">
        <v>1.05</v>
      </c>
      <c r="AE295" s="346">
        <v>40</v>
      </c>
      <c r="AF295" s="348">
        <v>270</v>
      </c>
      <c r="AG295" s="441">
        <v>10031</v>
      </c>
      <c r="AH295" s="330">
        <v>7441.9988999999996</v>
      </c>
      <c r="AI295" s="441">
        <v>11356</v>
      </c>
      <c r="AJ295" s="330">
        <v>8116.1332000000002</v>
      </c>
      <c r="AK295" s="441">
        <v>1352</v>
      </c>
      <c r="AL295" s="330">
        <v>815.25599999999997</v>
      </c>
      <c r="AM295" s="330">
        <f t="shared" si="83"/>
        <v>111.36406929683304</v>
      </c>
      <c r="AN295" s="339" t="s">
        <v>997</v>
      </c>
      <c r="AU295" s="346">
        <v>13046.7</v>
      </c>
      <c r="AV295" s="348">
        <v>1.62</v>
      </c>
      <c r="AZ295" s="333">
        <v>0.57314578005115091</v>
      </c>
      <c r="BA295" s="333">
        <v>32.356516956521737</v>
      </c>
      <c r="BB295" s="333">
        <v>40.557142857142857</v>
      </c>
      <c r="BC295" s="333">
        <v>6.7099259259259254</v>
      </c>
      <c r="BD295" s="333">
        <v>6.6557565448669989</v>
      </c>
      <c r="BE295" s="333" t="s">
        <v>1125</v>
      </c>
      <c r="BF295" s="333">
        <v>0.5732148337595907</v>
      </c>
      <c r="BG295" s="333">
        <v>32.287690300130492</v>
      </c>
      <c r="BH295" s="333">
        <v>40.49966666666667</v>
      </c>
      <c r="BI295" s="333">
        <v>4.7860800000000001</v>
      </c>
      <c r="BJ295" s="420">
        <v>0.41316792922279055</v>
      </c>
      <c r="BK295" s="333" t="s">
        <v>1130</v>
      </c>
      <c r="BL295" s="333" t="s">
        <v>1136</v>
      </c>
    </row>
    <row r="296" spans="1:64" ht="20.25" customHeight="1" thickBot="1" x14ac:dyDescent="0.35">
      <c r="A296" s="431" t="s">
        <v>1067</v>
      </c>
      <c r="B296" s="330" t="s">
        <v>952</v>
      </c>
      <c r="C296" s="12" t="s">
        <v>929</v>
      </c>
      <c r="D296" s="12" t="s">
        <v>1241</v>
      </c>
      <c r="G296" s="337">
        <v>32.127018749999998</v>
      </c>
      <c r="H296" s="337">
        <v>-7.6278202300000002</v>
      </c>
      <c r="J296" s="330" t="s">
        <v>992</v>
      </c>
      <c r="K296" s="13">
        <v>45220</v>
      </c>
      <c r="L296" s="341">
        <v>45282</v>
      </c>
      <c r="M296" s="342">
        <v>45315</v>
      </c>
      <c r="N296" s="340">
        <v>7.99</v>
      </c>
      <c r="O296" s="349">
        <v>15.66</v>
      </c>
      <c r="P296" s="350">
        <v>39.020000000000003</v>
      </c>
      <c r="Q296" s="343">
        <v>45.48</v>
      </c>
      <c r="R296" s="343">
        <v>140</v>
      </c>
      <c r="S296" s="29">
        <f t="shared" si="78"/>
        <v>1.1947917577219247</v>
      </c>
      <c r="T296" s="29">
        <f t="shared" si="79"/>
        <v>2.1461280356782382</v>
      </c>
      <c r="U296" s="356">
        <f>O296*12.43</f>
        <v>194.65379999999999</v>
      </c>
      <c r="V296" s="356">
        <f>9.4944*O296-4.8391</f>
        <v>143.84320400000001</v>
      </c>
      <c r="W296" s="356">
        <f>-0.144*(O296*O296)+11.253*O296+3.5274</f>
        <v>144.43545360000002</v>
      </c>
      <c r="X296" s="346">
        <v>10</v>
      </c>
      <c r="Y296" s="346">
        <v>64</v>
      </c>
      <c r="Z296" s="346">
        <v>26</v>
      </c>
      <c r="AA296" s="351" t="s">
        <v>884</v>
      </c>
      <c r="AB296" s="351" t="s">
        <v>881</v>
      </c>
      <c r="AC296" s="347">
        <v>1.34</v>
      </c>
      <c r="AE296" s="346">
        <v>19</v>
      </c>
      <c r="AF296" s="348">
        <v>246</v>
      </c>
      <c r="AG296" s="441">
        <v>19686</v>
      </c>
      <c r="AH296" s="330">
        <v>14605.0434</v>
      </c>
      <c r="AI296" s="441">
        <v>16350</v>
      </c>
      <c r="AJ296" s="330">
        <v>11685.344999999999</v>
      </c>
      <c r="AK296" s="441">
        <v>3855</v>
      </c>
      <c r="AL296" s="330">
        <v>2324.5650000000001</v>
      </c>
      <c r="AM296" s="330">
        <f t="shared" si="83"/>
        <v>174.50190683756801</v>
      </c>
      <c r="AN296" s="339" t="s">
        <v>997</v>
      </c>
      <c r="AU296" s="346">
        <v>34034.879999999997</v>
      </c>
      <c r="AV296" s="348" t="s">
        <v>318</v>
      </c>
      <c r="AZ296" s="333">
        <v>0.52219948849104858</v>
      </c>
      <c r="BA296" s="333">
        <v>63.50018869565217</v>
      </c>
      <c r="BB296" s="333">
        <v>58.392857142857146</v>
      </c>
      <c r="BC296" s="333">
        <v>19.132222222222222</v>
      </c>
      <c r="BD296" s="333">
        <v>10.199265658141222</v>
      </c>
      <c r="BE296" s="333" t="s">
        <v>1133</v>
      </c>
      <c r="BF296" s="333">
        <v>0.52226240409207159</v>
      </c>
      <c r="BG296" s="333">
        <v>63.365115267507605</v>
      </c>
      <c r="BH296" s="333">
        <v>58.31010479041916</v>
      </c>
      <c r="BI296" s="333">
        <v>13.646700000000001</v>
      </c>
      <c r="BJ296" s="420">
        <v>0.46645439001573796</v>
      </c>
      <c r="BK296" s="333" t="s">
        <v>1130</v>
      </c>
      <c r="BL296" s="333" t="s">
        <v>1136</v>
      </c>
    </row>
    <row r="297" spans="1:64" ht="20.25" customHeight="1" thickBot="1" x14ac:dyDescent="0.35">
      <c r="A297" s="431" t="s">
        <v>1068</v>
      </c>
      <c r="B297" s="330" t="s">
        <v>952</v>
      </c>
      <c r="C297" s="12" t="s">
        <v>930</v>
      </c>
      <c r="D297" s="12" t="s">
        <v>1240</v>
      </c>
      <c r="G297" s="337">
        <v>32.127245160000001</v>
      </c>
      <c r="H297" s="14" t="s">
        <v>955</v>
      </c>
      <c r="J297" s="330" t="s">
        <v>992</v>
      </c>
      <c r="K297" s="13">
        <v>45220</v>
      </c>
      <c r="L297" s="341">
        <v>45282</v>
      </c>
      <c r="M297" s="342">
        <v>45315</v>
      </c>
      <c r="N297" s="340">
        <v>8.64</v>
      </c>
      <c r="O297" s="349">
        <v>8</v>
      </c>
      <c r="P297" s="350">
        <v>22.4</v>
      </c>
      <c r="Q297" s="343">
        <v>33.700000000000003</v>
      </c>
      <c r="R297" s="343">
        <v>94.92</v>
      </c>
      <c r="S297" s="29">
        <f t="shared" si="78"/>
        <v>0.90308998699194354</v>
      </c>
      <c r="T297" s="29">
        <f t="shared" si="79"/>
        <v>1.9773577295453013</v>
      </c>
      <c r="U297" s="356">
        <f t="shared" ref="U297:U299" si="125">O297*9.63</f>
        <v>77.040000000000006</v>
      </c>
      <c r="V297" s="354">
        <f t="shared" ref="V297:V299" si="126">9.0013*O297+4.2416</f>
        <v>76.25200000000001</v>
      </c>
      <c r="W297" s="354">
        <f t="shared" ref="W297:W299" si="127">9.347*O297</f>
        <v>74.775999999999996</v>
      </c>
      <c r="X297" s="346">
        <v>40</v>
      </c>
      <c r="Y297" s="346">
        <v>34</v>
      </c>
      <c r="Z297" s="346">
        <v>26</v>
      </c>
      <c r="AA297" s="351" t="s">
        <v>882</v>
      </c>
      <c r="AB297" s="351" t="s">
        <v>878</v>
      </c>
      <c r="AC297" s="347">
        <v>1.33</v>
      </c>
      <c r="AE297" s="346">
        <v>47</v>
      </c>
      <c r="AF297" s="348">
        <v>267</v>
      </c>
      <c r="AG297" s="441">
        <v>16576</v>
      </c>
      <c r="AH297" s="330">
        <v>12297.734399999999</v>
      </c>
      <c r="AI297" s="441">
        <v>10288</v>
      </c>
      <c r="AJ297" s="330">
        <v>7352.8335999999999</v>
      </c>
      <c r="AK297" s="441">
        <v>865</v>
      </c>
      <c r="AL297" s="330">
        <v>521.59500000000003</v>
      </c>
      <c r="AM297" s="330">
        <f t="shared" si="83"/>
        <v>195.98849693222527</v>
      </c>
      <c r="AN297" s="339" t="s">
        <v>997</v>
      </c>
      <c r="AU297" s="346">
        <v>18293.75</v>
      </c>
      <c r="AV297" s="348">
        <v>2</v>
      </c>
      <c r="AZ297" s="333">
        <v>0.56677749360613805</v>
      </c>
      <c r="BA297" s="333">
        <v>53.468410434782605</v>
      </c>
      <c r="BB297" s="333">
        <v>36.742857142857147</v>
      </c>
      <c r="BC297" s="333">
        <v>4.2929629629629629</v>
      </c>
      <c r="BD297" s="333">
        <v>11.804041082094198</v>
      </c>
      <c r="BE297" s="333" t="s">
        <v>1133</v>
      </c>
      <c r="BF297" s="333">
        <v>0.56684578005115083</v>
      </c>
      <c r="BG297" s="333">
        <v>53.354675946063502</v>
      </c>
      <c r="BH297" s="333">
        <v>36.69078642714571</v>
      </c>
      <c r="BI297" s="333">
        <v>3.0621</v>
      </c>
      <c r="BJ297" s="420">
        <v>0.56957579981471684</v>
      </c>
      <c r="BK297" s="333" t="s">
        <v>1129</v>
      </c>
      <c r="BL297" s="333" t="s">
        <v>1136</v>
      </c>
    </row>
    <row r="298" spans="1:64" ht="20.25" customHeight="1" thickBot="1" x14ac:dyDescent="0.35">
      <c r="A298" s="431" t="s">
        <v>1069</v>
      </c>
      <c r="B298" s="330" t="s">
        <v>952</v>
      </c>
      <c r="C298" s="12" t="s">
        <v>931</v>
      </c>
      <c r="D298" s="12" t="s">
        <v>1241</v>
      </c>
      <c r="G298" s="337">
        <v>32.127245160000001</v>
      </c>
      <c r="H298" s="14" t="s">
        <v>955</v>
      </c>
      <c r="J298" s="330" t="s">
        <v>992</v>
      </c>
      <c r="K298" s="13">
        <v>45220</v>
      </c>
      <c r="L298" s="341">
        <v>45282</v>
      </c>
      <c r="M298" s="342">
        <v>45315</v>
      </c>
      <c r="N298" s="340">
        <v>8.0299999999999994</v>
      </c>
      <c r="O298" s="349">
        <v>19.690000000000001</v>
      </c>
      <c r="P298" s="350">
        <v>41.76</v>
      </c>
      <c r="Q298" s="343">
        <v>44.46</v>
      </c>
      <c r="R298" s="343">
        <v>130.69999999999999</v>
      </c>
      <c r="S298" s="29">
        <f t="shared" si="78"/>
        <v>1.2942457161381182</v>
      </c>
      <c r="T298" s="29">
        <f t="shared" si="79"/>
        <v>2.1162755875805441</v>
      </c>
      <c r="U298" s="356">
        <f t="shared" si="125"/>
        <v>189.61470000000003</v>
      </c>
      <c r="V298" s="354">
        <f t="shared" si="126"/>
        <v>181.47719700000002</v>
      </c>
      <c r="W298" s="354">
        <f t="shared" si="127"/>
        <v>184.04243</v>
      </c>
      <c r="X298" s="346">
        <v>30</v>
      </c>
      <c r="Y298" s="346">
        <v>44</v>
      </c>
      <c r="Z298" s="346">
        <v>26</v>
      </c>
      <c r="AA298" s="351" t="s">
        <v>882</v>
      </c>
      <c r="AB298" s="351" t="s">
        <v>878</v>
      </c>
      <c r="AC298" s="347">
        <v>1.56</v>
      </c>
      <c r="AE298" s="346">
        <v>22</v>
      </c>
      <c r="AF298" s="348">
        <v>356</v>
      </c>
      <c r="AG298" s="441">
        <v>21704</v>
      </c>
      <c r="AH298" s="330">
        <v>16102.1976</v>
      </c>
      <c r="AI298" s="441">
        <v>16140</v>
      </c>
      <c r="AJ298" s="330">
        <v>11535.258</v>
      </c>
      <c r="AK298" s="441">
        <v>2896</v>
      </c>
      <c r="AL298" s="330">
        <v>1746.288</v>
      </c>
      <c r="AM298" s="330">
        <f t="shared" si="83"/>
        <v>197.59494695039987</v>
      </c>
      <c r="AN298" s="339" t="s">
        <v>997</v>
      </c>
      <c r="AU298" s="346">
        <v>34034.879999999997</v>
      </c>
      <c r="AV298" s="348" t="s">
        <v>318</v>
      </c>
      <c r="AZ298" s="333">
        <v>0.75570332480818403</v>
      </c>
      <c r="BA298" s="333">
        <v>70.009554782608689</v>
      </c>
      <c r="BB298" s="333">
        <v>57.642857142857146</v>
      </c>
      <c r="BC298" s="333">
        <v>14.372740740740742</v>
      </c>
      <c r="BD298" s="333">
        <v>11.666995445837335</v>
      </c>
      <c r="BE298" s="333" t="s">
        <v>1133</v>
      </c>
      <c r="BF298" s="333">
        <v>0.75579437340153455</v>
      </c>
      <c r="BG298" s="333">
        <v>69.860635058721172</v>
      </c>
      <c r="BH298" s="333">
        <v>57.561167664670656</v>
      </c>
      <c r="BI298" s="333">
        <v>10.251840000000001</v>
      </c>
      <c r="BJ298" s="420">
        <v>0.50466603436285618</v>
      </c>
      <c r="BK298" s="333" t="s">
        <v>1129</v>
      </c>
      <c r="BL298" s="333" t="s">
        <v>1136</v>
      </c>
    </row>
    <row r="299" spans="1:64" ht="20.25" customHeight="1" thickBot="1" x14ac:dyDescent="0.35">
      <c r="A299" s="431" t="s">
        <v>1070</v>
      </c>
      <c r="B299" s="330" t="s">
        <v>952</v>
      </c>
      <c r="C299" s="12" t="s">
        <v>932</v>
      </c>
      <c r="D299" s="12" t="s">
        <v>1240</v>
      </c>
      <c r="G299" s="337">
        <v>32.127463220000003</v>
      </c>
      <c r="H299" s="14" t="s">
        <v>956</v>
      </c>
      <c r="J299" s="330" t="s">
        <v>992</v>
      </c>
      <c r="K299" s="13">
        <v>45220</v>
      </c>
      <c r="L299" s="341">
        <v>45282</v>
      </c>
      <c r="M299" s="342">
        <v>45315</v>
      </c>
      <c r="N299" s="340">
        <v>8.6300000000000008</v>
      </c>
      <c r="O299" s="349">
        <v>9.83</v>
      </c>
      <c r="P299" s="350">
        <v>23.21</v>
      </c>
      <c r="Q299" s="343">
        <v>30.64</v>
      </c>
      <c r="R299" s="343">
        <v>93.27</v>
      </c>
      <c r="S299" s="29">
        <f t="shared" ref="S299:S338" si="128">LOG10(O299)</f>
        <v>0.99255351783213563</v>
      </c>
      <c r="T299" s="29">
        <f t="shared" ref="T299:T338" si="129">LOG10(R299)</f>
        <v>1.9697419767628543</v>
      </c>
      <c r="U299" s="356">
        <f t="shared" si="125"/>
        <v>94.662900000000008</v>
      </c>
      <c r="V299" s="354">
        <f t="shared" si="126"/>
        <v>92.724379000000013</v>
      </c>
      <c r="W299" s="354">
        <f t="shared" si="127"/>
        <v>91.881009999999989</v>
      </c>
      <c r="X299" s="346">
        <v>40</v>
      </c>
      <c r="Y299" s="346">
        <v>36</v>
      </c>
      <c r="Z299" s="346">
        <v>24</v>
      </c>
      <c r="AA299" s="351" t="s">
        <v>882</v>
      </c>
      <c r="AB299" s="351" t="s">
        <v>878</v>
      </c>
      <c r="AC299" s="347">
        <v>1.5</v>
      </c>
      <c r="AE299" s="346">
        <v>51</v>
      </c>
      <c r="AF299" s="348">
        <v>342</v>
      </c>
      <c r="AG299" s="441">
        <v>14394</v>
      </c>
      <c r="AH299" s="330">
        <v>10678.908600000001</v>
      </c>
      <c r="AI299" s="441">
        <v>10400</v>
      </c>
      <c r="AJ299" s="330">
        <v>7432.88</v>
      </c>
      <c r="AK299" s="441">
        <v>928</v>
      </c>
      <c r="AL299" s="330">
        <v>559.58399999999995</v>
      </c>
      <c r="AM299" s="330">
        <f t="shared" si="83"/>
        <v>168.92795431668682</v>
      </c>
      <c r="AN299" s="339" t="s">
        <v>997</v>
      </c>
      <c r="AU299" s="346">
        <v>19499.150000000001</v>
      </c>
      <c r="AV299" s="348">
        <v>2.0099999999999998</v>
      </c>
      <c r="AZ299" s="333">
        <v>0.72598465473145779</v>
      </c>
      <c r="BA299" s="333">
        <v>46.430037391304346</v>
      </c>
      <c r="BB299" s="333">
        <v>37.142857142857146</v>
      </c>
      <c r="BC299" s="333">
        <v>4.6056296296296289</v>
      </c>
      <c r="BD299" s="333">
        <v>10.162338620061144</v>
      </c>
      <c r="BE299" s="333" t="s">
        <v>1133</v>
      </c>
      <c r="BF299" s="333">
        <v>0.72607212276214828</v>
      </c>
      <c r="BG299" s="333">
        <v>46.331274467159631</v>
      </c>
      <c r="BH299" s="333">
        <v>37.090219560878246</v>
      </c>
      <c r="BI299" s="333">
        <v>3.28512</v>
      </c>
      <c r="BJ299" s="420">
        <v>0.52990793840245842</v>
      </c>
      <c r="BK299" s="333" t="s">
        <v>1129</v>
      </c>
      <c r="BL299" s="333" t="s">
        <v>1136</v>
      </c>
    </row>
    <row r="300" spans="1:64" ht="20.25" customHeight="1" thickBot="1" x14ac:dyDescent="0.35">
      <c r="A300" s="431" t="s">
        <v>1071</v>
      </c>
      <c r="B300" s="330" t="s">
        <v>952</v>
      </c>
      <c r="C300" s="12" t="s">
        <v>933</v>
      </c>
      <c r="D300" s="12" t="s">
        <v>1241</v>
      </c>
      <c r="G300" s="337">
        <v>32.127463220000003</v>
      </c>
      <c r="H300" s="14" t="s">
        <v>956</v>
      </c>
      <c r="J300" s="330" t="s">
        <v>992</v>
      </c>
      <c r="K300" s="13">
        <v>45220</v>
      </c>
      <c r="L300" s="341">
        <v>45282</v>
      </c>
      <c r="M300" s="342">
        <v>45315</v>
      </c>
      <c r="N300" s="340">
        <v>8.1</v>
      </c>
      <c r="O300" s="349">
        <v>10.89</v>
      </c>
      <c r="P300" s="350">
        <v>19.86</v>
      </c>
      <c r="Q300" s="343">
        <v>28.63</v>
      </c>
      <c r="R300" s="343">
        <v>92.72</v>
      </c>
      <c r="S300" s="29">
        <f t="shared" si="128"/>
        <v>1.037027879755775</v>
      </c>
      <c r="T300" s="29">
        <f t="shared" si="129"/>
        <v>1.9671734229555395</v>
      </c>
      <c r="U300" s="356">
        <f t="shared" ref="U300:U301" si="130">O300*5.25</f>
        <v>57.172499999999999</v>
      </c>
      <c r="V300" s="363">
        <f t="shared" ref="V300:V301" si="131">5.3954*O300+8.0586</f>
        <v>66.814506000000009</v>
      </c>
      <c r="W300" s="363">
        <f t="shared" ref="W300:W301" si="132">O300*5.8798</f>
        <v>64.031022000000007</v>
      </c>
      <c r="X300" s="346">
        <v>44</v>
      </c>
      <c r="Y300" s="346">
        <v>38</v>
      </c>
      <c r="Z300" s="346">
        <v>18</v>
      </c>
      <c r="AA300" s="351" t="s">
        <v>876</v>
      </c>
      <c r="AB300" s="351" t="s">
        <v>877</v>
      </c>
      <c r="AC300" s="347">
        <v>1.59</v>
      </c>
      <c r="AE300" s="346">
        <v>24</v>
      </c>
      <c r="AF300" s="348">
        <v>459</v>
      </c>
      <c r="AG300" s="441">
        <v>18470</v>
      </c>
      <c r="AH300" s="330">
        <v>13702.893</v>
      </c>
      <c r="AI300" s="441">
        <v>19841</v>
      </c>
      <c r="AJ300" s="330">
        <v>14180.3627</v>
      </c>
      <c r="AK300" s="441">
        <v>2296</v>
      </c>
      <c r="AL300" s="330">
        <v>1384.4880000000001</v>
      </c>
      <c r="AM300" s="330">
        <f t="shared" ref="AM300:AM338" si="133">AH300/(SQRT((AJ300+AL300)/2))</f>
        <v>155.32980060124206</v>
      </c>
      <c r="AN300" s="339" t="s">
        <v>997</v>
      </c>
      <c r="AU300" s="346">
        <v>22335.39</v>
      </c>
      <c r="AV300" s="348">
        <v>2</v>
      </c>
      <c r="AZ300" s="333">
        <v>0.97434782608695636</v>
      </c>
      <c r="BA300" s="333">
        <v>59.577795652173911</v>
      </c>
      <c r="BB300" s="333">
        <v>70.860714285714295</v>
      </c>
      <c r="BC300" s="333">
        <v>11.394962962962962</v>
      </c>
      <c r="BD300" s="333">
        <v>9.2900165376633854</v>
      </c>
      <c r="BE300" s="333" t="s">
        <v>1125</v>
      </c>
      <c r="BF300" s="333">
        <v>0.97446521739130432</v>
      </c>
      <c r="BG300" s="333">
        <v>59.45106568073075</v>
      </c>
      <c r="BH300" s="333">
        <v>70.760292914171657</v>
      </c>
      <c r="BI300" s="333">
        <v>8.1278400000000008</v>
      </c>
      <c r="BJ300" s="420">
        <v>0.42674253231063547</v>
      </c>
      <c r="BK300" s="333" t="s">
        <v>1130</v>
      </c>
      <c r="BL300" s="333" t="s">
        <v>1136</v>
      </c>
    </row>
    <row r="301" spans="1:64" ht="20.25" customHeight="1" thickBot="1" x14ac:dyDescent="0.35">
      <c r="A301" s="431" t="s">
        <v>1072</v>
      </c>
      <c r="B301" s="330" t="s">
        <v>952</v>
      </c>
      <c r="C301" s="12" t="s">
        <v>934</v>
      </c>
      <c r="D301" s="12" t="s">
        <v>1240</v>
      </c>
      <c r="G301" s="337">
        <v>32.12769411</v>
      </c>
      <c r="H301" s="14" t="s">
        <v>957</v>
      </c>
      <c r="J301" s="330" t="s">
        <v>992</v>
      </c>
      <c r="K301" s="13">
        <v>45220</v>
      </c>
      <c r="L301" s="341">
        <v>45282</v>
      </c>
      <c r="M301" s="342">
        <v>45315</v>
      </c>
      <c r="N301" s="340">
        <v>8.58</v>
      </c>
      <c r="O301" s="349">
        <v>10.36</v>
      </c>
      <c r="P301" s="350">
        <v>22.44</v>
      </c>
      <c r="Q301" s="343">
        <v>45.29</v>
      </c>
      <c r="R301" s="343">
        <v>120.7</v>
      </c>
      <c r="S301" s="29">
        <f t="shared" si="128"/>
        <v>1.0153597554092142</v>
      </c>
      <c r="T301" s="29">
        <f t="shared" si="129"/>
        <v>2.0817072700973491</v>
      </c>
      <c r="U301" s="356">
        <f t="shared" si="130"/>
        <v>54.39</v>
      </c>
      <c r="V301" s="363">
        <f t="shared" si="131"/>
        <v>63.954943999999998</v>
      </c>
      <c r="W301" s="363">
        <f t="shared" si="132"/>
        <v>60.914728000000004</v>
      </c>
      <c r="X301" s="346">
        <v>44</v>
      </c>
      <c r="Y301" s="346">
        <v>38</v>
      </c>
      <c r="Z301" s="346">
        <v>18</v>
      </c>
      <c r="AA301" s="351" t="s">
        <v>876</v>
      </c>
      <c r="AB301" s="351" t="s">
        <v>877</v>
      </c>
      <c r="AC301" s="347">
        <v>1.43</v>
      </c>
      <c r="AE301" s="346">
        <v>49</v>
      </c>
      <c r="AF301" s="348">
        <v>298</v>
      </c>
      <c r="AG301" s="441">
        <v>19305</v>
      </c>
      <c r="AH301" s="330">
        <v>14322.379500000001</v>
      </c>
      <c r="AI301" s="441">
        <v>10507</v>
      </c>
      <c r="AJ301" s="330">
        <v>7509.3528999999999</v>
      </c>
      <c r="AK301" s="441">
        <v>888</v>
      </c>
      <c r="AL301" s="330">
        <v>535.46399999999994</v>
      </c>
      <c r="AM301" s="330">
        <f t="shared" si="133"/>
        <v>225.82503846047862</v>
      </c>
      <c r="AN301" s="339" t="s">
        <v>997</v>
      </c>
      <c r="AU301" s="346">
        <v>23398.98</v>
      </c>
      <c r="AV301" s="348">
        <v>2.21</v>
      </c>
      <c r="AZ301" s="333">
        <v>0.6325831202046035</v>
      </c>
      <c r="BA301" s="333">
        <v>62.271215217391315</v>
      </c>
      <c r="BB301" s="333">
        <v>37.524999999999999</v>
      </c>
      <c r="BC301" s="333">
        <v>4.4071111111111101</v>
      </c>
      <c r="BD301" s="333">
        <v>13.599688935335895</v>
      </c>
      <c r="BE301" s="333" t="s">
        <v>1133</v>
      </c>
      <c r="BF301" s="333">
        <v>0.63265933503836314</v>
      </c>
      <c r="BG301" s="333">
        <v>62.138755980861248</v>
      </c>
      <c r="BH301" s="333">
        <v>37.471820858283429</v>
      </c>
      <c r="BI301" s="333">
        <v>3.1435200000000001</v>
      </c>
      <c r="BJ301" s="420">
        <v>0.60103206909956297</v>
      </c>
      <c r="BK301" s="333" t="s">
        <v>1129</v>
      </c>
      <c r="BL301" s="333" t="s">
        <v>1136</v>
      </c>
    </row>
    <row r="302" spans="1:64" ht="20.25" customHeight="1" thickBot="1" x14ac:dyDescent="0.35">
      <c r="A302" s="431" t="s">
        <v>1073</v>
      </c>
      <c r="B302" s="330" t="s">
        <v>952</v>
      </c>
      <c r="C302" s="12" t="s">
        <v>935</v>
      </c>
      <c r="D302" s="12" t="s">
        <v>1241</v>
      </c>
      <c r="G302" s="337">
        <v>32.12769411</v>
      </c>
      <c r="H302" s="14" t="s">
        <v>957</v>
      </c>
      <c r="J302" s="330" t="s">
        <v>992</v>
      </c>
      <c r="K302" s="13">
        <v>45220</v>
      </c>
      <c r="L302" s="341">
        <v>45282</v>
      </c>
      <c r="M302" s="342">
        <v>45315</v>
      </c>
      <c r="N302" s="340">
        <v>8.0399999999999991</v>
      </c>
      <c r="O302" s="349">
        <v>14.22</v>
      </c>
      <c r="P302" s="350">
        <v>30.7</v>
      </c>
      <c r="Q302" s="343">
        <v>38.44</v>
      </c>
      <c r="R302" s="343">
        <v>136</v>
      </c>
      <c r="S302" s="29">
        <f t="shared" si="128"/>
        <v>1.1528995963937476</v>
      </c>
      <c r="T302" s="29">
        <f t="shared" si="129"/>
        <v>2.1335389083702174</v>
      </c>
      <c r="U302" s="356">
        <f>O302*12.43</f>
        <v>176.75460000000001</v>
      </c>
      <c r="V302" s="356">
        <f>9.4944*O302-4.8391</f>
        <v>130.17126800000003</v>
      </c>
      <c r="W302" s="356">
        <f>-0.144*(O302*O302)+11.253*O302+3.5274</f>
        <v>134.42705040000001</v>
      </c>
      <c r="X302" s="346">
        <v>20</v>
      </c>
      <c r="Y302" s="346">
        <v>64</v>
      </c>
      <c r="Z302" s="346">
        <v>16</v>
      </c>
      <c r="AA302" s="351" t="s">
        <v>884</v>
      </c>
      <c r="AB302" s="351" t="s">
        <v>881</v>
      </c>
      <c r="AC302" s="347">
        <v>1.63</v>
      </c>
      <c r="AE302" s="346">
        <v>24</v>
      </c>
      <c r="AF302" s="348">
        <v>331</v>
      </c>
      <c r="AG302" s="441">
        <v>20957</v>
      </c>
      <c r="AH302" s="330">
        <v>15547.998299999999</v>
      </c>
      <c r="AI302" s="441">
        <v>14936</v>
      </c>
      <c r="AJ302" s="330">
        <v>10674.7592</v>
      </c>
      <c r="AK302" s="441">
        <v>3438</v>
      </c>
      <c r="AL302" s="330">
        <v>2073.114</v>
      </c>
      <c r="AM302" s="330">
        <f t="shared" si="133"/>
        <v>194.74692759909453</v>
      </c>
      <c r="AN302" s="339" t="s">
        <v>997</v>
      </c>
      <c r="AU302" s="346">
        <v>30135.05</v>
      </c>
      <c r="AV302" s="348" t="s">
        <v>318</v>
      </c>
      <c r="AZ302" s="333">
        <v>0.70263427109974408</v>
      </c>
      <c r="BA302" s="333">
        <v>67.599992608695644</v>
      </c>
      <c r="BB302" s="333">
        <v>53.342857142857142</v>
      </c>
      <c r="BC302" s="333">
        <v>17.062666666666665</v>
      </c>
      <c r="BD302" s="333">
        <v>11.393529452182564</v>
      </c>
      <c r="BE302" s="333" t="s">
        <v>1133</v>
      </c>
      <c r="BF302" s="333">
        <v>0.7027189258312021</v>
      </c>
      <c r="BG302" s="333">
        <v>67.456198347107431</v>
      </c>
      <c r="BH302" s="333">
        <v>53.267261477045906</v>
      </c>
      <c r="BI302" s="333">
        <v>12.17052</v>
      </c>
      <c r="BJ302" s="420">
        <v>0.50492414092766069</v>
      </c>
      <c r="BK302" s="333" t="s">
        <v>1129</v>
      </c>
      <c r="BL302" s="333" t="s">
        <v>1136</v>
      </c>
    </row>
    <row r="303" spans="1:64" ht="20.25" customHeight="1" thickBot="1" x14ac:dyDescent="0.35">
      <c r="A303" s="431" t="s">
        <v>1074</v>
      </c>
      <c r="B303" s="330" t="s">
        <v>952</v>
      </c>
      <c r="C303" s="12" t="s">
        <v>936</v>
      </c>
      <c r="D303" s="12" t="s">
        <v>1240</v>
      </c>
      <c r="G303" s="337">
        <v>32.128395419999997</v>
      </c>
      <c r="H303" s="14" t="s">
        <v>958</v>
      </c>
      <c r="J303" s="330" t="s">
        <v>992</v>
      </c>
      <c r="K303" s="13">
        <v>45220</v>
      </c>
      <c r="L303" s="341">
        <v>45282</v>
      </c>
      <c r="M303" s="342">
        <v>45315</v>
      </c>
      <c r="N303" s="340">
        <v>8.61</v>
      </c>
      <c r="O303" s="349">
        <v>10.17</v>
      </c>
      <c r="P303" s="350">
        <v>18.829999999999998</v>
      </c>
      <c r="Q303" s="343">
        <v>28.63</v>
      </c>
      <c r="R303" s="343">
        <v>127.2</v>
      </c>
      <c r="S303" s="29">
        <f t="shared" si="128"/>
        <v>1.0073209529227445</v>
      </c>
      <c r="T303" s="29">
        <f t="shared" si="129"/>
        <v>2.1044871113123951</v>
      </c>
      <c r="U303" s="356">
        <f t="shared" ref="U303:U304" si="134">O303*9.63</f>
        <v>97.937100000000001</v>
      </c>
      <c r="V303" s="354">
        <f t="shared" ref="V303:V304" si="135">9.0013*O303+4.2416</f>
        <v>95.784821000000008</v>
      </c>
      <c r="W303" s="354">
        <f t="shared" ref="W303:W304" si="136">9.347*O303</f>
        <v>95.058989999999994</v>
      </c>
      <c r="X303" s="346">
        <v>36</v>
      </c>
      <c r="Y303" s="346">
        <v>36</v>
      </c>
      <c r="Z303" s="346">
        <v>28</v>
      </c>
      <c r="AA303" s="351" t="s">
        <v>882</v>
      </c>
      <c r="AB303" s="351" t="s">
        <v>878</v>
      </c>
      <c r="AC303" s="347">
        <v>1.31</v>
      </c>
      <c r="AE303" s="346">
        <v>49</v>
      </c>
      <c r="AF303" s="348">
        <v>210</v>
      </c>
      <c r="AG303" s="441">
        <v>17918</v>
      </c>
      <c r="AH303" s="330">
        <v>13293.3642</v>
      </c>
      <c r="AI303" s="441">
        <v>10590</v>
      </c>
      <c r="AJ303" s="330">
        <v>7568.6729999999998</v>
      </c>
      <c r="AK303" s="441">
        <v>662</v>
      </c>
      <c r="AL303" s="330">
        <v>399.18599999999998</v>
      </c>
      <c r="AM303" s="330">
        <f t="shared" si="133"/>
        <v>210.61004507793368</v>
      </c>
      <c r="AN303" s="339" t="s">
        <v>997</v>
      </c>
      <c r="AU303" s="346">
        <v>21271.8</v>
      </c>
      <c r="AV303" s="348">
        <v>1.76</v>
      </c>
      <c r="AZ303" s="333">
        <v>0.44578005115089514</v>
      </c>
      <c r="BA303" s="333">
        <v>57.797235652173917</v>
      </c>
      <c r="BB303" s="333">
        <v>37.821428571428569</v>
      </c>
      <c r="BC303" s="333">
        <v>3.2854814814814812</v>
      </c>
      <c r="BD303" s="333">
        <v>12.748663226640984</v>
      </c>
      <c r="BE303" s="333" t="s">
        <v>1133</v>
      </c>
      <c r="BF303" s="333">
        <v>0.44583375959079286</v>
      </c>
      <c r="BG303" s="333">
        <v>57.674293170943884</v>
      </c>
      <c r="BH303" s="333">
        <v>37.767829341317366</v>
      </c>
      <c r="BI303" s="333">
        <v>2.34348</v>
      </c>
      <c r="BJ303" s="420">
        <v>0.58712664051182473</v>
      </c>
      <c r="BK303" s="333" t="s">
        <v>1129</v>
      </c>
      <c r="BL303" s="333" t="s">
        <v>1136</v>
      </c>
    </row>
    <row r="304" spans="1:64" ht="20.25" customHeight="1" thickBot="1" x14ac:dyDescent="0.35">
      <c r="A304" s="431" t="s">
        <v>1075</v>
      </c>
      <c r="B304" s="330" t="s">
        <v>952</v>
      </c>
      <c r="C304" s="12" t="s">
        <v>937</v>
      </c>
      <c r="D304" s="12" t="s">
        <v>1241</v>
      </c>
      <c r="G304" s="337">
        <v>32.128395419999997</v>
      </c>
      <c r="H304" s="14" t="s">
        <v>958</v>
      </c>
      <c r="J304" s="330" t="s">
        <v>992</v>
      </c>
      <c r="K304" s="13">
        <v>45220</v>
      </c>
      <c r="L304" s="341">
        <v>45282</v>
      </c>
      <c r="M304" s="342">
        <v>45315</v>
      </c>
      <c r="N304" s="340">
        <v>8.07</v>
      </c>
      <c r="O304" s="349">
        <v>12.07</v>
      </c>
      <c r="P304" s="350">
        <v>26.82</v>
      </c>
      <c r="Q304" s="343">
        <v>43.59</v>
      </c>
      <c r="R304" s="343">
        <v>121.2</v>
      </c>
      <c r="S304" s="29">
        <f t="shared" si="128"/>
        <v>1.0817072700973491</v>
      </c>
      <c r="T304" s="29">
        <f t="shared" si="129"/>
        <v>2.0835026198302673</v>
      </c>
      <c r="U304" s="356">
        <f t="shared" si="134"/>
        <v>116.23410000000001</v>
      </c>
      <c r="V304" s="354">
        <f t="shared" si="135"/>
        <v>112.88729100000002</v>
      </c>
      <c r="W304" s="354">
        <f t="shared" si="136"/>
        <v>112.81828999999999</v>
      </c>
      <c r="X304" s="346">
        <v>40</v>
      </c>
      <c r="Y304" s="346">
        <v>40</v>
      </c>
      <c r="Z304" s="346">
        <v>20</v>
      </c>
      <c r="AA304" s="351" t="s">
        <v>882</v>
      </c>
      <c r="AB304" s="351" t="s">
        <v>878</v>
      </c>
      <c r="AC304" s="347">
        <v>1.8</v>
      </c>
      <c r="AE304" s="346">
        <v>29</v>
      </c>
      <c r="AF304" s="348">
        <v>346</v>
      </c>
      <c r="AG304" s="441">
        <v>18563</v>
      </c>
      <c r="AH304" s="330">
        <v>13771.8897</v>
      </c>
      <c r="AI304" s="441">
        <v>15408</v>
      </c>
      <c r="AJ304" s="330">
        <v>11012.097599999999</v>
      </c>
      <c r="AK304" s="441">
        <v>3162</v>
      </c>
      <c r="AL304" s="330">
        <v>1906.6859999999999</v>
      </c>
      <c r="AM304" s="330">
        <f t="shared" si="133"/>
        <v>171.35537108988049</v>
      </c>
      <c r="AN304" s="339" t="s">
        <v>997</v>
      </c>
      <c r="AU304" s="346">
        <v>27298.81</v>
      </c>
      <c r="AV304" s="348" t="s">
        <v>318</v>
      </c>
      <c r="AZ304" s="333">
        <v>0.73447570332480816</v>
      </c>
      <c r="BA304" s="333">
        <v>59.87778130434782</v>
      </c>
      <c r="BB304" s="333">
        <v>55.028571428571432</v>
      </c>
      <c r="BC304" s="333">
        <v>15.692888888888888</v>
      </c>
      <c r="BD304" s="333">
        <v>10.069434649295919</v>
      </c>
      <c r="BE304" s="333" t="s">
        <v>1133</v>
      </c>
      <c r="BF304" s="333">
        <v>0.73456419437340148</v>
      </c>
      <c r="BG304" s="333">
        <v>59.750413223140491</v>
      </c>
      <c r="BH304" s="333">
        <v>54.950586826347298</v>
      </c>
      <c r="BI304" s="333">
        <v>11.193480000000001</v>
      </c>
      <c r="BJ304" s="420">
        <v>0.47185393824874511</v>
      </c>
      <c r="BK304" s="333" t="s">
        <v>1130</v>
      </c>
      <c r="BL304" s="333" t="s">
        <v>1136</v>
      </c>
    </row>
    <row r="305" spans="1:64" ht="20.25" customHeight="1" thickBot="1" x14ac:dyDescent="0.35">
      <c r="A305" s="431" t="s">
        <v>1076</v>
      </c>
      <c r="B305" s="330" t="s">
        <v>952</v>
      </c>
      <c r="C305" s="12" t="s">
        <v>938</v>
      </c>
      <c r="D305" s="12" t="s">
        <v>1240</v>
      </c>
      <c r="G305" s="337">
        <v>32.128570060000001</v>
      </c>
      <c r="H305" s="14" t="s">
        <v>959</v>
      </c>
      <c r="J305" s="330" t="s">
        <v>992</v>
      </c>
      <c r="K305" s="13">
        <v>45220</v>
      </c>
      <c r="L305" s="341">
        <v>45282</v>
      </c>
      <c r="M305" s="342">
        <v>45315</v>
      </c>
      <c r="N305" s="340">
        <v>9</v>
      </c>
      <c r="O305" s="349">
        <v>0.56000000000000005</v>
      </c>
      <c r="P305" s="350">
        <v>1.4</v>
      </c>
      <c r="Q305" s="343">
        <v>1.97</v>
      </c>
      <c r="R305" s="343">
        <v>7.8</v>
      </c>
      <c r="S305" s="29">
        <f t="shared" si="128"/>
        <v>-0.25181197299379954</v>
      </c>
      <c r="T305" s="29">
        <f t="shared" si="129"/>
        <v>0.89209460269048035</v>
      </c>
      <c r="U305" s="356">
        <f>10.92*O305</f>
        <v>6.1152000000000006</v>
      </c>
      <c r="V305" s="356">
        <f>9.5459*O305+2.1572</f>
        <v>7.5029040000000009</v>
      </c>
      <c r="W305" s="356">
        <f>9.7271*O305</f>
        <v>5.4471760000000007</v>
      </c>
      <c r="X305" s="346">
        <v>20</v>
      </c>
      <c r="Y305" s="346">
        <v>50</v>
      </c>
      <c r="Z305" s="346">
        <v>30</v>
      </c>
      <c r="AA305" s="351" t="s">
        <v>883</v>
      </c>
      <c r="AB305" s="351" t="s">
        <v>888</v>
      </c>
      <c r="AC305" s="347">
        <v>1.07</v>
      </c>
      <c r="AE305" s="346">
        <v>49</v>
      </c>
      <c r="AF305" s="348">
        <v>237</v>
      </c>
      <c r="AG305" s="441">
        <v>1350</v>
      </c>
      <c r="AH305" s="330">
        <v>1001.5650000000001</v>
      </c>
      <c r="AI305" s="441">
        <v>11612</v>
      </c>
      <c r="AJ305" s="330">
        <v>8299.0964000000004</v>
      </c>
      <c r="AK305" s="441">
        <v>362</v>
      </c>
      <c r="AL305" s="330">
        <v>218.286</v>
      </c>
      <c r="AM305" s="330">
        <f t="shared" si="133"/>
        <v>15.347620943695103</v>
      </c>
      <c r="AN305" s="339" t="s">
        <v>999</v>
      </c>
      <c r="AU305" s="346">
        <v>992.68</v>
      </c>
      <c r="AV305" s="348">
        <v>1.1200000000000001</v>
      </c>
      <c r="AZ305" s="333">
        <v>0.50309462915601022</v>
      </c>
      <c r="BA305" s="333">
        <v>4.3546304347826092</v>
      </c>
      <c r="BB305" s="333">
        <v>41.471428571428568</v>
      </c>
      <c r="BC305" s="333">
        <v>1.7965925925925927</v>
      </c>
      <c r="BD305" s="333">
        <v>0.93623049877131381</v>
      </c>
      <c r="BE305" s="333" t="s">
        <v>1125</v>
      </c>
      <c r="BF305" s="333">
        <v>0.50315524296675196</v>
      </c>
      <c r="BG305" s="333">
        <v>4.3453675511091774</v>
      </c>
      <c r="BH305" s="333">
        <v>41.412656686626747</v>
      </c>
      <c r="BI305" s="333">
        <v>1.2814800000000002</v>
      </c>
      <c r="BJ305" s="420">
        <v>9.1399336902323255E-2</v>
      </c>
      <c r="BK305" s="333" t="s">
        <v>1126</v>
      </c>
      <c r="BL305" s="333" t="s">
        <v>1136</v>
      </c>
    </row>
    <row r="306" spans="1:64" ht="20.25" customHeight="1" thickBot="1" x14ac:dyDescent="0.35">
      <c r="A306" s="431" t="s">
        <v>1077</v>
      </c>
      <c r="B306" s="330" t="s">
        <v>952</v>
      </c>
      <c r="C306" s="12" t="s">
        <v>939</v>
      </c>
      <c r="D306" s="12" t="s">
        <v>1241</v>
      </c>
      <c r="G306" s="337">
        <v>32.128570060000001</v>
      </c>
      <c r="H306" s="14" t="s">
        <v>959</v>
      </c>
      <c r="J306" s="330" t="s">
        <v>992</v>
      </c>
      <c r="K306" s="13">
        <v>45220</v>
      </c>
      <c r="L306" s="341">
        <v>45282</v>
      </c>
      <c r="M306" s="342">
        <v>45315</v>
      </c>
      <c r="N306" s="340">
        <v>8.44</v>
      </c>
      <c r="O306" s="349">
        <v>3.28</v>
      </c>
      <c r="P306" s="350">
        <v>7.9</v>
      </c>
      <c r="Q306" s="343">
        <v>15.2</v>
      </c>
      <c r="R306" s="343">
        <v>47.19</v>
      </c>
      <c r="S306" s="29">
        <f t="shared" si="128"/>
        <v>0.5158738437116791</v>
      </c>
      <c r="T306" s="29">
        <f t="shared" si="129"/>
        <v>1.6738499773429492</v>
      </c>
      <c r="U306" s="356">
        <f t="shared" ref="U306" si="137">O306*9.63</f>
        <v>31.586400000000001</v>
      </c>
      <c r="V306" s="354">
        <f>9.0013*O306+4.2416</f>
        <v>33.765864000000001</v>
      </c>
      <c r="W306" s="354">
        <f>9.347*O306</f>
        <v>30.658159999999995</v>
      </c>
      <c r="X306" s="346">
        <v>30</v>
      </c>
      <c r="Y306" s="346">
        <v>42</v>
      </c>
      <c r="Z306" s="346">
        <v>28</v>
      </c>
      <c r="AA306" s="351" t="s">
        <v>882</v>
      </c>
      <c r="AB306" s="351" t="s">
        <v>878</v>
      </c>
      <c r="AC306" s="347">
        <v>1.44</v>
      </c>
      <c r="AE306" s="346">
        <v>37</v>
      </c>
      <c r="AF306" s="348">
        <v>286</v>
      </c>
      <c r="AG306" s="441">
        <v>5754</v>
      </c>
      <c r="AH306" s="330">
        <v>4268.8926000000001</v>
      </c>
      <c r="AI306" s="441">
        <v>12675</v>
      </c>
      <c r="AJ306" s="330">
        <v>9058.8225000000002</v>
      </c>
      <c r="AK306" s="441">
        <v>654</v>
      </c>
      <c r="AL306" s="330">
        <v>394.36199999999997</v>
      </c>
      <c r="AM306" s="330">
        <f t="shared" si="133"/>
        <v>62.092787860360247</v>
      </c>
      <c r="AN306" s="339" t="s">
        <v>999</v>
      </c>
      <c r="AU306" s="346">
        <v>7516.04</v>
      </c>
      <c r="AV306" s="348">
        <v>1.1000000000000001</v>
      </c>
      <c r="AZ306" s="333">
        <v>0.60710997442455239</v>
      </c>
      <c r="BA306" s="333">
        <v>18.560402608695654</v>
      </c>
      <c r="BB306" s="333">
        <v>45.267857142857146</v>
      </c>
      <c r="BC306" s="333">
        <v>3.2457777777777777</v>
      </c>
      <c r="BD306" s="333">
        <v>3.7685170335512699</v>
      </c>
      <c r="BE306" s="333" t="s">
        <v>1125</v>
      </c>
      <c r="BF306" s="333">
        <v>0.60718312020460352</v>
      </c>
      <c r="BG306" s="333">
        <v>18.520922140060897</v>
      </c>
      <c r="BH306" s="333">
        <v>45.20370508982036</v>
      </c>
      <c r="BI306" s="333">
        <v>2.3151600000000001</v>
      </c>
      <c r="BJ306" s="420">
        <v>0.27789593499559634</v>
      </c>
      <c r="BK306" s="333" t="s">
        <v>1127</v>
      </c>
      <c r="BL306" s="333" t="s">
        <v>1136</v>
      </c>
    </row>
    <row r="307" spans="1:64" ht="20.25" customHeight="1" thickBot="1" x14ac:dyDescent="0.35">
      <c r="A307" s="431" t="s">
        <v>1078</v>
      </c>
      <c r="B307" s="330" t="s">
        <v>952</v>
      </c>
      <c r="C307" s="10" t="s">
        <v>920</v>
      </c>
      <c r="D307" s="10" t="s">
        <v>1240</v>
      </c>
      <c r="G307" s="15" t="s">
        <v>960</v>
      </c>
      <c r="H307" s="15" t="s">
        <v>961</v>
      </c>
      <c r="J307" s="330" t="s">
        <v>992</v>
      </c>
      <c r="K307" s="16">
        <v>45275</v>
      </c>
      <c r="L307" s="341">
        <v>45282</v>
      </c>
      <c r="M307" s="342">
        <v>45315</v>
      </c>
      <c r="N307" s="340">
        <v>7.96</v>
      </c>
      <c r="O307" s="349">
        <v>32.35</v>
      </c>
      <c r="P307" s="350">
        <v>76.739999999999995</v>
      </c>
      <c r="Q307" s="343">
        <v>88.2</v>
      </c>
      <c r="R307" s="343">
        <v>218.2</v>
      </c>
      <c r="S307" s="29">
        <f t="shared" si="128"/>
        <v>1.5098742850047193</v>
      </c>
      <c r="T307" s="29">
        <f t="shared" si="129"/>
        <v>2.338854746252323</v>
      </c>
      <c r="U307" s="356">
        <f>O307*12.43</f>
        <v>402.1105</v>
      </c>
      <c r="V307" s="356">
        <f>9.4944*O307-4.8391</f>
        <v>302.30474000000004</v>
      </c>
      <c r="W307" s="356">
        <f>-0.144*(O307*O307)+11.253*O307+3.5274</f>
        <v>216.86271000000002</v>
      </c>
      <c r="X307" s="346">
        <v>20</v>
      </c>
      <c r="Y307" s="346">
        <v>76</v>
      </c>
      <c r="Z307" s="346">
        <v>4</v>
      </c>
      <c r="AA307" s="351" t="s">
        <v>884</v>
      </c>
      <c r="AB307" s="351" t="s">
        <v>881</v>
      </c>
      <c r="AC307" s="347">
        <v>3.26</v>
      </c>
      <c r="AE307" s="346">
        <v>69</v>
      </c>
      <c r="AF307" s="348">
        <v>1119</v>
      </c>
      <c r="AG307" s="441">
        <v>66306</v>
      </c>
      <c r="AH307" s="330">
        <v>49192.421399999999</v>
      </c>
      <c r="AI307" s="441">
        <v>16699</v>
      </c>
      <c r="AJ307" s="330">
        <v>11934.775299999999</v>
      </c>
      <c r="AK307" s="441">
        <v>3895</v>
      </c>
      <c r="AL307" s="330">
        <v>2348.6849999999999</v>
      </c>
      <c r="AM307" s="330">
        <f t="shared" si="133"/>
        <v>582.0985027238479</v>
      </c>
      <c r="AN307" s="339" t="s">
        <v>997</v>
      </c>
      <c r="AU307" s="346">
        <v>81541.899999999994</v>
      </c>
      <c r="AV307" s="348" t="s">
        <v>318</v>
      </c>
      <c r="AZ307" s="333">
        <v>2.3753708439897698</v>
      </c>
      <c r="BA307" s="333">
        <v>213.88009304347827</v>
      </c>
      <c r="BB307" s="333">
        <v>59.639285714285712</v>
      </c>
      <c r="BC307" s="333">
        <v>19.33074074074074</v>
      </c>
      <c r="BD307" s="333">
        <v>34.037230871040308</v>
      </c>
      <c r="BE307" s="333" t="s">
        <v>1131</v>
      </c>
      <c r="BF307" s="333">
        <v>2.375657033248082</v>
      </c>
      <c r="BG307" s="333">
        <v>213.42514136581121</v>
      </c>
      <c r="BH307" s="333">
        <v>59.554766966067859</v>
      </c>
      <c r="BI307" s="333">
        <v>13.788300000000001</v>
      </c>
      <c r="BJ307" s="420">
        <v>0.73812785582118667</v>
      </c>
      <c r="BK307" s="333" t="s">
        <v>1132</v>
      </c>
      <c r="BL307" s="333" t="s">
        <v>1136</v>
      </c>
    </row>
    <row r="308" spans="1:64" ht="20.25" customHeight="1" thickBot="1" x14ac:dyDescent="0.35">
      <c r="A308" s="431" t="s">
        <v>1079</v>
      </c>
      <c r="B308" s="330" t="s">
        <v>952</v>
      </c>
      <c r="C308" s="10" t="s">
        <v>921</v>
      </c>
      <c r="D308" s="10" t="s">
        <v>1241</v>
      </c>
      <c r="G308" s="15" t="s">
        <v>960</v>
      </c>
      <c r="H308" s="15" t="s">
        <v>961</v>
      </c>
      <c r="J308" s="330" t="s">
        <v>992</v>
      </c>
      <c r="K308" s="16">
        <v>45275</v>
      </c>
      <c r="L308" s="341">
        <v>45282</v>
      </c>
      <c r="M308" s="342">
        <v>45315</v>
      </c>
      <c r="N308" s="340">
        <v>8.4</v>
      </c>
      <c r="O308" s="349">
        <v>9.1</v>
      </c>
      <c r="P308" s="350">
        <v>19.440000000000001</v>
      </c>
      <c r="Q308" s="343">
        <v>22.87</v>
      </c>
      <c r="R308" s="343">
        <v>56.29</v>
      </c>
      <c r="S308" s="29">
        <f t="shared" si="128"/>
        <v>0.95904139232109353</v>
      </c>
      <c r="T308" s="29">
        <f t="shared" si="129"/>
        <v>1.7504312486602023</v>
      </c>
      <c r="U308" s="356">
        <f t="shared" ref="U308" si="138">O308*5.25</f>
        <v>47.774999999999999</v>
      </c>
      <c r="V308" s="363">
        <f>5.3954*O308+8.0586</f>
        <v>57.156739999999999</v>
      </c>
      <c r="W308" s="363">
        <f t="shared" ref="W308" si="139">O308*5.8798</f>
        <v>53.506180000000001</v>
      </c>
      <c r="X308" s="346">
        <v>64</v>
      </c>
      <c r="Y308" s="346">
        <v>32</v>
      </c>
      <c r="Z308" s="346">
        <v>4</v>
      </c>
      <c r="AA308" s="351" t="s">
        <v>876</v>
      </c>
      <c r="AB308" s="351" t="s">
        <v>877</v>
      </c>
      <c r="AC308" s="347">
        <v>1.69</v>
      </c>
      <c r="AE308" s="346">
        <v>49</v>
      </c>
      <c r="AF308" s="348">
        <v>860</v>
      </c>
      <c r="AG308" s="441">
        <v>14781</v>
      </c>
      <c r="AH308" s="330">
        <v>10966.0239</v>
      </c>
      <c r="AI308" s="441">
        <v>8277</v>
      </c>
      <c r="AJ308" s="330">
        <v>5915.5718999999999</v>
      </c>
      <c r="AK308" s="441">
        <v>1731</v>
      </c>
      <c r="AL308" s="330">
        <v>1043.7929999999999</v>
      </c>
      <c r="AM308" s="330">
        <f t="shared" si="133"/>
        <v>185.89999654142812</v>
      </c>
      <c r="AN308" s="339" t="s">
        <v>997</v>
      </c>
      <c r="AU308" s="346">
        <v>15953.85</v>
      </c>
      <c r="AV308" s="348">
        <v>2.21</v>
      </c>
      <c r="AZ308" s="333">
        <v>1.8255754475703323</v>
      </c>
      <c r="BA308" s="333">
        <v>47.678364782608696</v>
      </c>
      <c r="BB308" s="333">
        <v>29.560714285714283</v>
      </c>
      <c r="BC308" s="333">
        <v>8.5908888888888875</v>
      </c>
      <c r="BD308" s="333">
        <v>10.916412895134595</v>
      </c>
      <c r="BE308" s="333" t="s">
        <v>1133</v>
      </c>
      <c r="BF308" s="333">
        <v>1.8257953964194373</v>
      </c>
      <c r="BG308" s="333">
        <v>47.576946498477596</v>
      </c>
      <c r="BH308" s="333">
        <v>29.518821856287424</v>
      </c>
      <c r="BI308" s="333">
        <v>6.1277400000000002</v>
      </c>
      <c r="BJ308" s="420">
        <v>0.55940430315180567</v>
      </c>
      <c r="BK308" s="333" t="s">
        <v>1129</v>
      </c>
      <c r="BL308" s="333" t="s">
        <v>1136</v>
      </c>
    </row>
    <row r="309" spans="1:64" ht="20.25" customHeight="1" thickBot="1" x14ac:dyDescent="0.35">
      <c r="A309" s="431" t="s">
        <v>1080</v>
      </c>
      <c r="B309" s="330" t="s">
        <v>952</v>
      </c>
      <c r="C309" s="10" t="s">
        <v>922</v>
      </c>
      <c r="D309" s="10" t="s">
        <v>1240</v>
      </c>
      <c r="G309" s="15" t="s">
        <v>962</v>
      </c>
      <c r="H309" s="15" t="s">
        <v>963</v>
      </c>
      <c r="J309" s="330" t="s">
        <v>992</v>
      </c>
      <c r="K309" s="16">
        <v>45275</v>
      </c>
      <c r="L309" s="341">
        <v>45282</v>
      </c>
      <c r="M309" s="342">
        <v>45315</v>
      </c>
      <c r="N309" s="340">
        <v>8.06</v>
      </c>
      <c r="O309" s="349">
        <v>35</v>
      </c>
      <c r="P309" s="350">
        <v>76.459999999999994</v>
      </c>
      <c r="Q309" s="343">
        <v>82.26</v>
      </c>
      <c r="R309" s="343">
        <v>126</v>
      </c>
      <c r="S309" s="29">
        <f t="shared" si="128"/>
        <v>1.5440680443502757</v>
      </c>
      <c r="T309" s="29">
        <f t="shared" si="129"/>
        <v>2.1003705451175629</v>
      </c>
      <c r="U309" s="364"/>
      <c r="V309" s="364"/>
      <c r="W309" s="364"/>
      <c r="X309" s="346">
        <v>52</v>
      </c>
      <c r="Y309" s="346">
        <v>44</v>
      </c>
      <c r="Z309" s="346">
        <v>4</v>
      </c>
      <c r="AA309" s="351" t="s">
        <v>887</v>
      </c>
      <c r="AB309" s="351" t="s">
        <v>1111</v>
      </c>
      <c r="AC309" s="347">
        <v>2.79</v>
      </c>
      <c r="AE309" s="346">
        <v>67</v>
      </c>
      <c r="AF309" s="348">
        <v>1057</v>
      </c>
      <c r="AG309" s="441">
        <v>59667</v>
      </c>
      <c r="AH309" s="330">
        <v>44266.9473</v>
      </c>
      <c r="AI309" s="441">
        <v>11032</v>
      </c>
      <c r="AJ309" s="330">
        <v>7884.5703999999996</v>
      </c>
      <c r="AK309" s="441">
        <v>3196</v>
      </c>
      <c r="AL309" s="330">
        <v>1927.1879999999999</v>
      </c>
      <c r="AM309" s="330">
        <f t="shared" si="133"/>
        <v>632.00592312894958</v>
      </c>
      <c r="AN309" s="339" t="s">
        <v>997</v>
      </c>
      <c r="AU309" s="346">
        <v>68424.289999999994</v>
      </c>
      <c r="AV309" s="348" t="s">
        <v>318</v>
      </c>
      <c r="AZ309" s="333">
        <v>2.2437595907928385</v>
      </c>
      <c r="BA309" s="333">
        <v>192.46498826086957</v>
      </c>
      <c r="BB309" s="333">
        <v>39.4</v>
      </c>
      <c r="BC309" s="333">
        <v>15.861629629629627</v>
      </c>
      <c r="BD309" s="333">
        <v>36.614650370437445</v>
      </c>
      <c r="BE309" s="333" t="s">
        <v>1131</v>
      </c>
      <c r="BF309" s="333">
        <v>2.2440299232736569</v>
      </c>
      <c r="BG309" s="333">
        <v>192.05558938668986</v>
      </c>
      <c r="BH309" s="333">
        <v>39.344163672654688</v>
      </c>
      <c r="BI309" s="333">
        <v>11.313840000000001</v>
      </c>
      <c r="BJ309" s="420">
        <v>0.78403597752219301</v>
      </c>
      <c r="BK309" s="333" t="s">
        <v>1132</v>
      </c>
      <c r="BL309" s="333" t="s">
        <v>1136</v>
      </c>
    </row>
    <row r="310" spans="1:64" ht="20.25" customHeight="1" thickBot="1" x14ac:dyDescent="0.35">
      <c r="A310" s="431" t="s">
        <v>1081</v>
      </c>
      <c r="B310" s="330" t="s">
        <v>952</v>
      </c>
      <c r="C310" s="10" t="s">
        <v>923</v>
      </c>
      <c r="D310" s="10" t="s">
        <v>1241</v>
      </c>
      <c r="G310" s="15" t="s">
        <v>962</v>
      </c>
      <c r="H310" s="15" t="s">
        <v>963</v>
      </c>
      <c r="J310" s="330" t="s">
        <v>992</v>
      </c>
      <c r="K310" s="16">
        <v>45275</v>
      </c>
      <c r="L310" s="341">
        <v>45282</v>
      </c>
      <c r="M310" s="342">
        <v>45315</v>
      </c>
      <c r="N310" s="340">
        <v>8.15</v>
      </c>
      <c r="O310" s="349">
        <v>10.59</v>
      </c>
      <c r="P310" s="350">
        <v>28.37</v>
      </c>
      <c r="Q310" s="343">
        <v>30.14</v>
      </c>
      <c r="R310" s="343">
        <v>136.19999999999999</v>
      </c>
      <c r="S310" s="29">
        <f t="shared" si="128"/>
        <v>1.024895960107485</v>
      </c>
      <c r="T310" s="29">
        <f t="shared" si="129"/>
        <v>2.1341771075767664</v>
      </c>
      <c r="U310" s="356">
        <f t="shared" ref="U310" si="140">O310*5.25</f>
        <v>55.597499999999997</v>
      </c>
      <c r="V310" s="363">
        <f>5.3954*O310+8.0586</f>
        <v>65.195886000000002</v>
      </c>
      <c r="W310" s="363">
        <f t="shared" ref="W310" si="141">O310*5.8798</f>
        <v>62.267082000000002</v>
      </c>
      <c r="X310" s="346">
        <v>62</v>
      </c>
      <c r="Y310" s="346">
        <v>32</v>
      </c>
      <c r="Z310" s="346">
        <v>6</v>
      </c>
      <c r="AA310" s="351" t="s">
        <v>876</v>
      </c>
      <c r="AB310" s="351" t="s">
        <v>877</v>
      </c>
      <c r="AC310" s="347">
        <v>1.54</v>
      </c>
      <c r="AE310" s="346">
        <v>40</v>
      </c>
      <c r="AF310" s="348">
        <v>1381</v>
      </c>
      <c r="AG310" s="441">
        <v>17729</v>
      </c>
      <c r="AH310" s="330">
        <v>13153.1451</v>
      </c>
      <c r="AI310" s="441">
        <v>23375</v>
      </c>
      <c r="AJ310" s="330">
        <v>16706.112499999999</v>
      </c>
      <c r="AK310" s="441">
        <v>3668</v>
      </c>
      <c r="AL310" s="330">
        <v>2211.8040000000001</v>
      </c>
      <c r="AM310" s="330">
        <f t="shared" si="133"/>
        <v>135.24087028075135</v>
      </c>
      <c r="AN310" s="339" t="s">
        <v>997</v>
      </c>
      <c r="AU310" s="346">
        <v>21626.33</v>
      </c>
      <c r="AV310" s="348" t="s">
        <v>318</v>
      </c>
      <c r="AZ310" s="333">
        <v>2.9315345268542199</v>
      </c>
      <c r="BA310" s="333">
        <v>57.187587391304348</v>
      </c>
      <c r="BB310" s="333">
        <v>83.482142857142861</v>
      </c>
      <c r="BC310" s="333">
        <v>18.20414814814815</v>
      </c>
      <c r="BD310" s="333">
        <v>8.02020685284932</v>
      </c>
      <c r="BE310" s="333" t="s">
        <v>1125</v>
      </c>
      <c r="BF310" s="333">
        <v>2.9318877237851662</v>
      </c>
      <c r="BG310" s="333">
        <v>57.065941713788597</v>
      </c>
      <c r="BH310" s="333">
        <v>83.363834830339314</v>
      </c>
      <c r="BI310" s="333">
        <v>12.984720000000001</v>
      </c>
      <c r="BJ310" s="420">
        <v>0.36499687524593566</v>
      </c>
      <c r="BK310" s="333" t="s">
        <v>1130</v>
      </c>
      <c r="BL310" s="333" t="s">
        <v>1136</v>
      </c>
    </row>
    <row r="311" spans="1:64" ht="20.25" customHeight="1" thickBot="1" x14ac:dyDescent="0.35">
      <c r="A311" s="431" t="s">
        <v>1082</v>
      </c>
      <c r="B311" s="330" t="s">
        <v>952</v>
      </c>
      <c r="C311" s="10" t="s">
        <v>924</v>
      </c>
      <c r="D311" s="10" t="s">
        <v>1240</v>
      </c>
      <c r="G311" s="15" t="s">
        <v>964</v>
      </c>
      <c r="H311" s="15" t="s">
        <v>965</v>
      </c>
      <c r="J311" s="330" t="s">
        <v>992</v>
      </c>
      <c r="K311" s="16">
        <v>45275</v>
      </c>
      <c r="L311" s="341">
        <v>45282</v>
      </c>
      <c r="M311" s="342">
        <v>45315</v>
      </c>
      <c r="N311" s="340">
        <v>8.06</v>
      </c>
      <c r="O311" s="349">
        <v>29.72</v>
      </c>
      <c r="P311" s="350">
        <v>66.8</v>
      </c>
      <c r="Q311" s="343">
        <v>86.23</v>
      </c>
      <c r="R311" s="343">
        <v>203.6</v>
      </c>
      <c r="S311" s="29">
        <f t="shared" si="128"/>
        <v>1.4730488050885377</v>
      </c>
      <c r="T311" s="29">
        <f t="shared" si="129"/>
        <v>2.3087777736647213</v>
      </c>
      <c r="U311" s="356">
        <f>O311*12.43</f>
        <v>369.4196</v>
      </c>
      <c r="V311" s="356">
        <f>13.223*O311-1.5217</f>
        <v>391.46586000000002</v>
      </c>
      <c r="W311" s="356">
        <f>-0.144*(O311*O311)+11.253*O311+3.5274</f>
        <v>210.77447040000004</v>
      </c>
      <c r="X311" s="346">
        <v>30</v>
      </c>
      <c r="Y311" s="346">
        <v>68</v>
      </c>
      <c r="Z311" s="346">
        <v>2</v>
      </c>
      <c r="AA311" s="351" t="s">
        <v>1110</v>
      </c>
      <c r="AB311" s="351" t="s">
        <v>880</v>
      </c>
      <c r="AC311" s="347">
        <v>2.4900000000000002</v>
      </c>
      <c r="AE311" s="346">
        <v>60</v>
      </c>
      <c r="AF311" s="348">
        <v>1592</v>
      </c>
      <c r="AG311" s="441">
        <v>60011</v>
      </c>
      <c r="AH311" s="330">
        <v>44522.160900000003</v>
      </c>
      <c r="AI311" s="441">
        <v>12444</v>
      </c>
      <c r="AJ311" s="330">
        <v>8893.7268000000004</v>
      </c>
      <c r="AK311" s="441">
        <v>3331</v>
      </c>
      <c r="AL311" s="330">
        <v>2008.5929999999998</v>
      </c>
      <c r="AM311" s="330">
        <f t="shared" si="133"/>
        <v>603.02008015571971</v>
      </c>
      <c r="AN311" s="339" t="s">
        <v>997</v>
      </c>
      <c r="AU311" s="346">
        <v>76578.48</v>
      </c>
      <c r="AV311" s="348">
        <v>0.7</v>
      </c>
      <c r="AZ311" s="333">
        <v>3.3794373401534523</v>
      </c>
      <c r="BA311" s="333">
        <v>193.57461260869565</v>
      </c>
      <c r="BB311" s="333">
        <v>44.442857142857143</v>
      </c>
      <c r="BC311" s="333">
        <v>16.531629629629627</v>
      </c>
      <c r="BD311" s="333">
        <v>35.058176236246382</v>
      </c>
      <c r="BE311" s="333" t="s">
        <v>1131</v>
      </c>
      <c r="BF311" s="333">
        <v>3.3798445012787721</v>
      </c>
      <c r="BG311" s="333">
        <v>193.16285341452806</v>
      </c>
      <c r="BH311" s="333">
        <v>44.379874251497007</v>
      </c>
      <c r="BI311" s="333">
        <v>11.791740000000001</v>
      </c>
      <c r="BJ311" s="420">
        <v>0.76435264689974869</v>
      </c>
      <c r="BK311" s="333" t="s">
        <v>1132</v>
      </c>
      <c r="BL311" s="333" t="s">
        <v>1136</v>
      </c>
    </row>
    <row r="312" spans="1:64" ht="20.25" customHeight="1" thickBot="1" x14ac:dyDescent="0.35">
      <c r="A312" s="431" t="s">
        <v>1083</v>
      </c>
      <c r="B312" s="330" t="s">
        <v>952</v>
      </c>
      <c r="C312" s="10" t="s">
        <v>925</v>
      </c>
      <c r="D312" s="10" t="s">
        <v>1241</v>
      </c>
      <c r="G312" s="15" t="s">
        <v>964</v>
      </c>
      <c r="H312" s="15" t="s">
        <v>965</v>
      </c>
      <c r="J312" s="330" t="s">
        <v>992</v>
      </c>
      <c r="K312" s="16">
        <v>45275</v>
      </c>
      <c r="L312" s="341">
        <v>45282</v>
      </c>
      <c r="M312" s="342">
        <v>45315</v>
      </c>
      <c r="N312" s="340">
        <v>8.24</v>
      </c>
      <c r="O312" s="349">
        <v>10.77</v>
      </c>
      <c r="P312" s="350">
        <v>25.29</v>
      </c>
      <c r="Q312" s="343">
        <v>30.44</v>
      </c>
      <c r="R312" s="343">
        <v>72.11</v>
      </c>
      <c r="S312" s="29">
        <f t="shared" si="128"/>
        <v>1.0322157032979815</v>
      </c>
      <c r="T312" s="29">
        <f t="shared" si="129"/>
        <v>1.8579954955609239</v>
      </c>
      <c r="U312" s="356">
        <f t="shared" ref="U312:U314" si="142">O312*5.25</f>
        <v>56.542499999999997</v>
      </c>
      <c r="V312" s="363">
        <f t="shared" ref="V312:V314" si="143">5.3954*O312+8.0586</f>
        <v>66.167057999999997</v>
      </c>
      <c r="W312" s="363">
        <f t="shared" ref="W312:W314" si="144">O312*5.8798</f>
        <v>63.325445999999999</v>
      </c>
      <c r="X312" s="346">
        <v>64</v>
      </c>
      <c r="Y312" s="346">
        <v>28</v>
      </c>
      <c r="Z312" s="346">
        <v>8</v>
      </c>
      <c r="AA312" s="351" t="s">
        <v>876</v>
      </c>
      <c r="AB312" s="351" t="s">
        <v>877</v>
      </c>
      <c r="AC312" s="347">
        <v>1.46</v>
      </c>
      <c r="AE312" s="346">
        <v>40</v>
      </c>
      <c r="AF312" s="348">
        <v>1230</v>
      </c>
      <c r="AG312" s="441">
        <v>19435</v>
      </c>
      <c r="AH312" s="330">
        <v>14418.826499999999</v>
      </c>
      <c r="AI312" s="441">
        <v>13814</v>
      </c>
      <c r="AJ312" s="330">
        <v>9872.8657999999996</v>
      </c>
      <c r="AK312" s="441">
        <v>3145</v>
      </c>
      <c r="AL312" s="330">
        <v>1896.4349999999999</v>
      </c>
      <c r="AM312" s="330">
        <f t="shared" si="133"/>
        <v>187.96179445027275</v>
      </c>
      <c r="AN312" s="339" t="s">
        <v>997</v>
      </c>
      <c r="AU312" s="346">
        <v>19853.68</v>
      </c>
      <c r="AV312" s="348">
        <v>0.9</v>
      </c>
      <c r="AZ312" s="333">
        <v>2.6109974424552429</v>
      </c>
      <c r="BA312" s="333">
        <v>62.690550000000002</v>
      </c>
      <c r="BB312" s="333">
        <v>49.335714285714282</v>
      </c>
      <c r="BC312" s="333">
        <v>15.608518518518517</v>
      </c>
      <c r="BD312" s="333">
        <v>11.001370285679673</v>
      </c>
      <c r="BE312" s="333" t="s">
        <v>1133</v>
      </c>
      <c r="BF312" s="333">
        <v>2.6113120204603577</v>
      </c>
      <c r="BG312" s="333">
        <v>62.557198782079162</v>
      </c>
      <c r="BH312" s="333">
        <v>49.265797405189616</v>
      </c>
      <c r="BI312" s="333">
        <v>11.1333</v>
      </c>
      <c r="BJ312" s="420">
        <v>0.49819535208944549</v>
      </c>
      <c r="BK312" s="333" t="s">
        <v>1130</v>
      </c>
      <c r="BL312" s="333" t="s">
        <v>1136</v>
      </c>
    </row>
    <row r="313" spans="1:64" ht="20.25" customHeight="1" thickBot="1" x14ac:dyDescent="0.35">
      <c r="A313" s="431" t="s">
        <v>1084</v>
      </c>
      <c r="B313" s="330" t="s">
        <v>952</v>
      </c>
      <c r="C313" s="10" t="s">
        <v>926</v>
      </c>
      <c r="D313" s="10" t="s">
        <v>1240</v>
      </c>
      <c r="G313" s="15" t="s">
        <v>966</v>
      </c>
      <c r="H313" s="15" t="s">
        <v>967</v>
      </c>
      <c r="J313" s="330" t="s">
        <v>992</v>
      </c>
      <c r="K313" s="16">
        <v>45275</v>
      </c>
      <c r="L313" s="341">
        <v>45282</v>
      </c>
      <c r="M313" s="342">
        <v>45315</v>
      </c>
      <c r="N313" s="340">
        <v>8.1</v>
      </c>
      <c r="O313" s="349">
        <v>23.74</v>
      </c>
      <c r="P313" s="350">
        <v>54.53</v>
      </c>
      <c r="Q313" s="343">
        <v>56.73</v>
      </c>
      <c r="R313" s="343">
        <v>164</v>
      </c>
      <c r="S313" s="29">
        <f t="shared" si="128"/>
        <v>1.3754807146185724</v>
      </c>
      <c r="T313" s="29">
        <f t="shared" si="129"/>
        <v>2.214843848047698</v>
      </c>
      <c r="U313" s="356">
        <f t="shared" si="142"/>
        <v>124.63499999999999</v>
      </c>
      <c r="V313" s="363">
        <f t="shared" si="143"/>
        <v>136.14539600000001</v>
      </c>
      <c r="W313" s="363">
        <f t="shared" si="144"/>
        <v>139.58645200000001</v>
      </c>
      <c r="X313" s="346">
        <v>58</v>
      </c>
      <c r="Y313" s="346">
        <v>36</v>
      </c>
      <c r="Z313" s="346">
        <v>6</v>
      </c>
      <c r="AA313" s="351" t="s">
        <v>876</v>
      </c>
      <c r="AB313" s="351" t="s">
        <v>877</v>
      </c>
      <c r="AC313" s="347">
        <v>2.56</v>
      </c>
      <c r="AE313" s="346">
        <v>67</v>
      </c>
      <c r="AF313" s="348">
        <v>1578</v>
      </c>
      <c r="AG313" s="441">
        <v>37841</v>
      </c>
      <c r="AH313" s="330">
        <v>28074.2379</v>
      </c>
      <c r="AI313" s="441">
        <v>12650</v>
      </c>
      <c r="AJ313" s="330">
        <v>9040.9549999999999</v>
      </c>
      <c r="AK313" s="441">
        <v>2645</v>
      </c>
      <c r="AL313" s="330">
        <v>1594.9349999999999</v>
      </c>
      <c r="AM313" s="330">
        <f t="shared" si="133"/>
        <v>384.97812686396679</v>
      </c>
      <c r="AN313" s="339" t="s">
        <v>997</v>
      </c>
      <c r="AU313" s="346">
        <v>49988.73</v>
      </c>
      <c r="AV313" s="348" t="s">
        <v>318</v>
      </c>
      <c r="AZ313" s="333">
        <v>3.3497186700767259</v>
      </c>
      <c r="BA313" s="333">
        <v>122.06190391304347</v>
      </c>
      <c r="BB313" s="333">
        <v>45.178571428571431</v>
      </c>
      <c r="BC313" s="333">
        <v>13.127037037037034</v>
      </c>
      <c r="BD313" s="333">
        <v>22.606845780127728</v>
      </c>
      <c r="BE313" s="333" t="s">
        <v>1128</v>
      </c>
      <c r="BF313" s="333">
        <v>3.350122250639386</v>
      </c>
      <c r="BG313" s="333">
        <v>121.80226185297956</v>
      </c>
      <c r="BH313" s="333">
        <v>45.114545908183629</v>
      </c>
      <c r="BI313" s="333">
        <v>9.3633000000000006</v>
      </c>
      <c r="BJ313" s="420">
        <v>0.67807218108542511</v>
      </c>
      <c r="BK313" s="333" t="s">
        <v>1129</v>
      </c>
      <c r="BL313" s="333" t="s">
        <v>1136</v>
      </c>
    </row>
    <row r="314" spans="1:64" ht="20.25" customHeight="1" thickBot="1" x14ac:dyDescent="0.35">
      <c r="A314" s="431" t="s">
        <v>1085</v>
      </c>
      <c r="B314" s="330" t="s">
        <v>952</v>
      </c>
      <c r="C314" s="10" t="s">
        <v>927</v>
      </c>
      <c r="D314" s="10" t="s">
        <v>1241</v>
      </c>
      <c r="G314" s="15" t="s">
        <v>966</v>
      </c>
      <c r="H314" s="15" t="s">
        <v>967</v>
      </c>
      <c r="J314" s="330" t="s">
        <v>992</v>
      </c>
      <c r="K314" s="16">
        <v>45275</v>
      </c>
      <c r="L314" s="341">
        <v>45282</v>
      </c>
      <c r="M314" s="342">
        <v>45315</v>
      </c>
      <c r="N314" s="340">
        <v>8.2799999999999994</v>
      </c>
      <c r="O314" s="349">
        <v>8.4499999999999993</v>
      </c>
      <c r="P314" s="350">
        <v>22.06</v>
      </c>
      <c r="Q314" s="343">
        <v>23.24</v>
      </c>
      <c r="R314" s="343">
        <v>66.61</v>
      </c>
      <c r="S314" s="29">
        <f t="shared" si="128"/>
        <v>0.9268567089496923</v>
      </c>
      <c r="T314" s="29">
        <f t="shared" si="129"/>
        <v>1.8235394336568589</v>
      </c>
      <c r="U314" s="356">
        <f t="shared" si="142"/>
        <v>44.362499999999997</v>
      </c>
      <c r="V314" s="363">
        <f t="shared" si="143"/>
        <v>53.649729999999998</v>
      </c>
      <c r="W314" s="363">
        <f t="shared" si="144"/>
        <v>49.684309999999996</v>
      </c>
      <c r="X314" s="346">
        <v>60</v>
      </c>
      <c r="Y314" s="346">
        <v>34</v>
      </c>
      <c r="Z314" s="346">
        <v>6</v>
      </c>
      <c r="AA314" s="351" t="s">
        <v>876</v>
      </c>
      <c r="AB314" s="351" t="s">
        <v>877</v>
      </c>
      <c r="AC314" s="347">
        <v>1.52</v>
      </c>
      <c r="AE314" s="346">
        <v>38</v>
      </c>
      <c r="AF314" s="348">
        <v>1223</v>
      </c>
      <c r="AG314" s="441">
        <v>15102</v>
      </c>
      <c r="AH314" s="330">
        <v>11204.1738</v>
      </c>
      <c r="AI314" s="441">
        <v>11549</v>
      </c>
      <c r="AJ314" s="330">
        <v>8254.0702999999994</v>
      </c>
      <c r="AK314" s="441">
        <v>2885</v>
      </c>
      <c r="AL314" s="330">
        <v>1739.655</v>
      </c>
      <c r="AM314" s="330">
        <f t="shared" si="133"/>
        <v>158.50068044546407</v>
      </c>
      <c r="AN314" s="339" t="s">
        <v>997</v>
      </c>
      <c r="AU314" s="346">
        <v>18151.939999999999</v>
      </c>
      <c r="AV314" s="348">
        <v>1</v>
      </c>
      <c r="AZ314" s="333">
        <v>2.5961381074168792</v>
      </c>
      <c r="BA314" s="333">
        <v>48.713799130434786</v>
      </c>
      <c r="BB314" s="333">
        <v>41.246428571428567</v>
      </c>
      <c r="BC314" s="333">
        <v>14.318148148148147</v>
      </c>
      <c r="BD314" s="333">
        <v>9.242043188497588</v>
      </c>
      <c r="BE314" s="333" t="s">
        <v>1125</v>
      </c>
      <c r="BF314" s="333">
        <v>2.5964508951406646</v>
      </c>
      <c r="BG314" s="333">
        <v>48.610178338407998</v>
      </c>
      <c r="BH314" s="333">
        <v>41.187975548902195</v>
      </c>
      <c r="BI314" s="333">
        <v>10.212900000000001</v>
      </c>
      <c r="BJ314" s="420">
        <v>0.47374876176427477</v>
      </c>
      <c r="BK314" s="333" t="s">
        <v>1130</v>
      </c>
      <c r="BL314" s="333" t="s">
        <v>1136</v>
      </c>
    </row>
    <row r="315" spans="1:64" ht="20.25" customHeight="1" thickBot="1" x14ac:dyDescent="0.35">
      <c r="A315" s="431" t="s">
        <v>1086</v>
      </c>
      <c r="B315" s="330" t="s">
        <v>952</v>
      </c>
      <c r="C315" s="10" t="s">
        <v>928</v>
      </c>
      <c r="D315" s="10" t="s">
        <v>1240</v>
      </c>
      <c r="G315" s="15" t="s">
        <v>968</v>
      </c>
      <c r="H315" s="15" t="s">
        <v>969</v>
      </c>
      <c r="J315" s="330" t="s">
        <v>992</v>
      </c>
      <c r="K315" s="16">
        <v>45275</v>
      </c>
      <c r="L315" s="341">
        <v>45282</v>
      </c>
      <c r="M315" s="342">
        <v>45315</v>
      </c>
      <c r="N315" s="340">
        <v>7.98</v>
      </c>
      <c r="O315" s="349">
        <v>35.1</v>
      </c>
      <c r="P315" s="350">
        <v>83.2</v>
      </c>
      <c r="Q315" s="343">
        <v>100.4</v>
      </c>
      <c r="R315" s="343">
        <v>235.2</v>
      </c>
      <c r="S315" s="29">
        <f t="shared" si="128"/>
        <v>1.5453071164658241</v>
      </c>
      <c r="T315" s="29">
        <f t="shared" si="129"/>
        <v>2.371437317404101</v>
      </c>
      <c r="U315" s="356">
        <f>O315*12.43</f>
        <v>436.29300000000001</v>
      </c>
      <c r="V315" s="356">
        <f>9.4944*O315-4.8391</f>
        <v>328.41434000000004</v>
      </c>
      <c r="W315" s="356">
        <f>-0.144*(O315*O315)+11.253*O315+3.5274</f>
        <v>221.09826000000001</v>
      </c>
      <c r="X315" s="346">
        <v>22</v>
      </c>
      <c r="Y315" s="346">
        <v>72</v>
      </c>
      <c r="Z315" s="346">
        <v>6</v>
      </c>
      <c r="AA315" s="351" t="s">
        <v>884</v>
      </c>
      <c r="AB315" s="351" t="s">
        <v>881</v>
      </c>
      <c r="AC315" s="347">
        <v>2.76</v>
      </c>
      <c r="AE315" s="346">
        <v>55</v>
      </c>
      <c r="AF315" s="348">
        <v>1516</v>
      </c>
      <c r="AG315" s="441">
        <v>70297</v>
      </c>
      <c r="AH315" s="330">
        <v>52153.344299999997</v>
      </c>
      <c r="AI315" s="441">
        <v>12383</v>
      </c>
      <c r="AJ315" s="330">
        <v>8850.1301000000003</v>
      </c>
      <c r="AK315" s="441">
        <v>4794</v>
      </c>
      <c r="AL315" s="330">
        <v>2890.7819999999997</v>
      </c>
      <c r="AM315" s="330">
        <f t="shared" si="133"/>
        <v>680.6850966900198</v>
      </c>
      <c r="AN315" s="339" t="s">
        <v>997</v>
      </c>
      <c r="AU315" s="346">
        <v>87214.38</v>
      </c>
      <c r="AV315" s="348" t="s">
        <v>318</v>
      </c>
      <c r="AZ315" s="333">
        <v>3.2181074168797954</v>
      </c>
      <c r="BA315" s="333">
        <v>226.75367086956521</v>
      </c>
      <c r="BB315" s="333">
        <v>44.225000000000001</v>
      </c>
      <c r="BC315" s="333">
        <v>23.792444444444442</v>
      </c>
      <c r="BD315" s="333">
        <v>38.882946613044126</v>
      </c>
      <c r="BE315" s="333" t="s">
        <v>1131</v>
      </c>
      <c r="BF315" s="333">
        <v>3.2184951406649613</v>
      </c>
      <c r="BG315" s="333">
        <v>226.27133536320139</v>
      </c>
      <c r="BH315" s="333">
        <v>44.162325848303396</v>
      </c>
      <c r="BI315" s="333">
        <v>16.970760000000002</v>
      </c>
      <c r="BJ315" s="420">
        <v>0.77857361767373956</v>
      </c>
      <c r="BK315" s="333" t="s">
        <v>1132</v>
      </c>
      <c r="BL315" s="333" t="s">
        <v>1136</v>
      </c>
    </row>
    <row r="316" spans="1:64" ht="20.25" customHeight="1" thickBot="1" x14ac:dyDescent="0.35">
      <c r="A316" s="431" t="s">
        <v>1087</v>
      </c>
      <c r="B316" s="330" t="s">
        <v>952</v>
      </c>
      <c r="C316" s="10" t="s">
        <v>929</v>
      </c>
      <c r="D316" s="10" t="s">
        <v>1241</v>
      </c>
      <c r="G316" s="15" t="s">
        <v>968</v>
      </c>
      <c r="H316" s="15" t="s">
        <v>969</v>
      </c>
      <c r="J316" s="330" t="s">
        <v>992</v>
      </c>
      <c r="K316" s="16">
        <v>45275</v>
      </c>
      <c r="L316" s="341">
        <v>45282</v>
      </c>
      <c r="M316" s="342">
        <v>45315</v>
      </c>
      <c r="N316" s="340">
        <v>8.39</v>
      </c>
      <c r="O316" s="349">
        <v>7.45</v>
      </c>
      <c r="P316" s="350">
        <v>20.36</v>
      </c>
      <c r="Q316" s="343">
        <v>24.05</v>
      </c>
      <c r="R316" s="343">
        <v>66.239999999999995</v>
      </c>
      <c r="S316" s="29">
        <f t="shared" si="128"/>
        <v>0.87215627274829288</v>
      </c>
      <c r="T316" s="29">
        <f t="shared" si="129"/>
        <v>1.8211203237768236</v>
      </c>
      <c r="U316" s="356">
        <f t="shared" ref="U316" si="145">O316*5.25</f>
        <v>39.112500000000004</v>
      </c>
      <c r="V316" s="363">
        <f>5.3954*O316+8.0586</f>
        <v>48.254330000000003</v>
      </c>
      <c r="W316" s="363">
        <f t="shared" ref="W316" si="146">O316*5.8798</f>
        <v>43.804510000000001</v>
      </c>
      <c r="X316" s="346">
        <v>60</v>
      </c>
      <c r="Y316" s="346">
        <v>34</v>
      </c>
      <c r="Z316" s="346">
        <v>6</v>
      </c>
      <c r="AA316" s="351" t="s">
        <v>876</v>
      </c>
      <c r="AB316" s="351" t="s">
        <v>877</v>
      </c>
      <c r="AC316" s="347">
        <v>1.55</v>
      </c>
      <c r="AE316" s="346">
        <v>36</v>
      </c>
      <c r="AF316" s="348">
        <v>1272</v>
      </c>
      <c r="AG316" s="441">
        <v>16877</v>
      </c>
      <c r="AH316" s="330">
        <v>12521.0463</v>
      </c>
      <c r="AI316" s="441">
        <v>9691</v>
      </c>
      <c r="AJ316" s="330">
        <v>6926.1576999999997</v>
      </c>
      <c r="AK316" s="441">
        <v>2339</v>
      </c>
      <c r="AL316" s="330">
        <v>1410.4169999999999</v>
      </c>
      <c r="AM316" s="330">
        <f t="shared" si="133"/>
        <v>193.93750150176095</v>
      </c>
      <c r="AN316" s="339" t="s">
        <v>997</v>
      </c>
      <c r="AU316" s="346">
        <v>17726.5</v>
      </c>
      <c r="AV316" s="348">
        <v>1.1599999999999999</v>
      </c>
      <c r="AZ316" s="333">
        <v>2.7001534526854218</v>
      </c>
      <c r="BA316" s="333">
        <v>54.439331739130438</v>
      </c>
      <c r="BB316" s="333">
        <v>34.61071428571428</v>
      </c>
      <c r="BC316" s="333">
        <v>11.60837037037037</v>
      </c>
      <c r="BD316" s="333">
        <v>11.324449857833011</v>
      </c>
      <c r="BE316" s="333" t="s">
        <v>1133</v>
      </c>
      <c r="BF316" s="333">
        <v>2.7004787723785162</v>
      </c>
      <c r="BG316" s="333">
        <v>54.323531970421918</v>
      </c>
      <c r="BH316" s="333">
        <v>34.561665169660678</v>
      </c>
      <c r="BI316" s="333">
        <v>8.2800600000000006</v>
      </c>
      <c r="BJ316" s="420">
        <v>0.54396567024790232</v>
      </c>
      <c r="BK316" s="333" t="s">
        <v>1129</v>
      </c>
      <c r="BL316" s="333" t="s">
        <v>1136</v>
      </c>
    </row>
    <row r="317" spans="1:64" ht="20.25" customHeight="1" thickBot="1" x14ac:dyDescent="0.35">
      <c r="A317" s="431" t="s">
        <v>1088</v>
      </c>
      <c r="B317" s="330" t="s">
        <v>952</v>
      </c>
      <c r="C317" s="10" t="s">
        <v>930</v>
      </c>
      <c r="D317" s="10" t="s">
        <v>1240</v>
      </c>
      <c r="G317" s="15" t="s">
        <v>970</v>
      </c>
      <c r="H317" s="15" t="s">
        <v>971</v>
      </c>
      <c r="J317" s="330" t="s">
        <v>992</v>
      </c>
      <c r="K317" s="16">
        <v>45275</v>
      </c>
      <c r="L317" s="341">
        <v>45282</v>
      </c>
      <c r="M317" s="342">
        <v>45315</v>
      </c>
      <c r="N317" s="340">
        <v>8.0299999999999994</v>
      </c>
      <c r="O317" s="349">
        <v>40.28</v>
      </c>
      <c r="P317" s="350">
        <v>77.010000000000005</v>
      </c>
      <c r="Q317" s="343">
        <v>120.6</v>
      </c>
      <c r="R317" s="343">
        <v>223</v>
      </c>
      <c r="S317" s="29">
        <f t="shared" si="128"/>
        <v>1.6050894618815803</v>
      </c>
      <c r="T317" s="29">
        <f t="shared" si="129"/>
        <v>2.3483048630481607</v>
      </c>
      <c r="U317" s="356">
        <f>O317*12.43</f>
        <v>500.68040000000002</v>
      </c>
      <c r="V317" s="356">
        <f>9.4944*O317-4.8391</f>
        <v>377.59533200000004</v>
      </c>
      <c r="W317" s="356">
        <f>-0.144*(O317*O317)+11.253*O317+3.5274</f>
        <v>223.1613504</v>
      </c>
      <c r="X317" s="346">
        <v>24</v>
      </c>
      <c r="Y317" s="346">
        <v>68</v>
      </c>
      <c r="Z317" s="346">
        <v>8</v>
      </c>
      <c r="AA317" s="351" t="s">
        <v>884</v>
      </c>
      <c r="AB317" s="351" t="s">
        <v>881</v>
      </c>
      <c r="AC317" s="347">
        <v>2.77</v>
      </c>
      <c r="AE317" s="346">
        <v>57</v>
      </c>
      <c r="AF317" s="348">
        <v>1490</v>
      </c>
      <c r="AG317" s="441">
        <v>70916</v>
      </c>
      <c r="AH317" s="330">
        <v>52612.580399999999</v>
      </c>
      <c r="AI317" s="441">
        <v>12236</v>
      </c>
      <c r="AJ317" s="330">
        <v>8745.0691999999999</v>
      </c>
      <c r="AK317" s="441">
        <v>3872</v>
      </c>
      <c r="AL317" s="330">
        <v>2334.8159999999998</v>
      </c>
      <c r="AM317" s="330">
        <f t="shared" si="133"/>
        <v>706.86580009787258</v>
      </c>
      <c r="AN317" s="339" t="s">
        <v>997</v>
      </c>
      <c r="AU317" s="346">
        <v>91468.74</v>
      </c>
      <c r="AV317" s="348">
        <v>0.61</v>
      </c>
      <c r="AZ317" s="333">
        <v>3.1629156010230179</v>
      </c>
      <c r="BA317" s="333">
        <v>228.75034956521739</v>
      </c>
      <c r="BB317" s="333">
        <v>43.7</v>
      </c>
      <c r="BC317" s="333">
        <v>19.21659259259259</v>
      </c>
      <c r="BD317" s="333">
        <v>40.784408408640857</v>
      </c>
      <c r="BE317" s="333" t="s">
        <v>1131</v>
      </c>
      <c r="BF317" s="333">
        <v>3.1632966751918157</v>
      </c>
      <c r="BG317" s="333">
        <v>228.26376685515439</v>
      </c>
      <c r="BH317" s="333">
        <v>43.638069860279437</v>
      </c>
      <c r="BI317" s="333">
        <v>13.70688</v>
      </c>
      <c r="BJ317" s="420">
        <v>0.79046360544080507</v>
      </c>
      <c r="BK317" s="333" t="s">
        <v>1132</v>
      </c>
      <c r="BL317" s="333" t="s">
        <v>1136</v>
      </c>
    </row>
    <row r="318" spans="1:64" ht="20.25" customHeight="1" thickBot="1" x14ac:dyDescent="0.35">
      <c r="A318" s="431" t="s">
        <v>1089</v>
      </c>
      <c r="B318" s="330" t="s">
        <v>952</v>
      </c>
      <c r="C318" s="10" t="s">
        <v>931</v>
      </c>
      <c r="D318" s="10" t="s">
        <v>1241</v>
      </c>
      <c r="G318" s="15" t="s">
        <v>970</v>
      </c>
      <c r="H318" s="15" t="s">
        <v>971</v>
      </c>
      <c r="J318" s="330" t="s">
        <v>992</v>
      </c>
      <c r="K318" s="16">
        <v>45275</v>
      </c>
      <c r="L318" s="341">
        <v>45282</v>
      </c>
      <c r="M318" s="342">
        <v>45315</v>
      </c>
      <c r="N318" s="340">
        <v>8.2100000000000009</v>
      </c>
      <c r="O318" s="349">
        <v>12.57</v>
      </c>
      <c r="P318" s="350">
        <v>25.68</v>
      </c>
      <c r="Q318" s="343">
        <v>28.85</v>
      </c>
      <c r="R318" s="343">
        <v>76.16</v>
      </c>
      <c r="S318" s="29">
        <f t="shared" si="128"/>
        <v>1.0993352776859577</v>
      </c>
      <c r="T318" s="29">
        <f t="shared" si="129"/>
        <v>1.8817269353764179</v>
      </c>
      <c r="U318" s="356">
        <f t="shared" ref="U318" si="147">O318*5.25</f>
        <v>65.992500000000007</v>
      </c>
      <c r="V318" s="363">
        <f>5.3954*O318+8.0586</f>
        <v>75.878778000000011</v>
      </c>
      <c r="W318" s="363">
        <f t="shared" ref="W318" si="148">O318*5.8798</f>
        <v>73.909086000000002</v>
      </c>
      <c r="X318" s="346">
        <v>60</v>
      </c>
      <c r="Y318" s="346">
        <v>34</v>
      </c>
      <c r="Z318" s="346">
        <v>6</v>
      </c>
      <c r="AA318" s="351" t="s">
        <v>876</v>
      </c>
      <c r="AB318" s="351" t="s">
        <v>877</v>
      </c>
      <c r="AC318" s="347">
        <v>1.47</v>
      </c>
      <c r="AE318" s="346">
        <v>38</v>
      </c>
      <c r="AF318" s="348">
        <v>1177</v>
      </c>
      <c r="AG318" s="441">
        <v>21527</v>
      </c>
      <c r="AH318" s="330">
        <v>15970.881300000001</v>
      </c>
      <c r="AI318" s="441">
        <v>13333</v>
      </c>
      <c r="AJ318" s="330">
        <v>9529.0951000000005</v>
      </c>
      <c r="AK318" s="441">
        <v>3110</v>
      </c>
      <c r="AL318" s="330">
        <v>1875.33</v>
      </c>
      <c r="AM318" s="330">
        <f t="shared" si="133"/>
        <v>211.49844618614446</v>
      </c>
      <c r="AN318" s="339" t="s">
        <v>997</v>
      </c>
      <c r="AU318" s="346">
        <v>19853.68</v>
      </c>
      <c r="AV318" s="348">
        <v>0.59</v>
      </c>
      <c r="AZ318" s="333">
        <v>2.4984910485933502</v>
      </c>
      <c r="BA318" s="333">
        <v>69.438614347826089</v>
      </c>
      <c r="BB318" s="333">
        <v>47.617857142857147</v>
      </c>
      <c r="BC318" s="333">
        <v>15.434814814814814</v>
      </c>
      <c r="BD318" s="333">
        <v>12.366998157956578</v>
      </c>
      <c r="BE318" s="333" t="s">
        <v>1133</v>
      </c>
      <c r="BF318" s="333">
        <v>2.4987920716112533</v>
      </c>
      <c r="BG318" s="333">
        <v>69.290909090909082</v>
      </c>
      <c r="BH318" s="333">
        <v>47.550374750499003</v>
      </c>
      <c r="BI318" s="333">
        <v>11.009400000000001</v>
      </c>
      <c r="BJ318" s="420">
        <v>0.53157796458764495</v>
      </c>
      <c r="BK318" s="333" t="s">
        <v>1129</v>
      </c>
      <c r="BL318" s="333" t="s">
        <v>1136</v>
      </c>
    </row>
    <row r="319" spans="1:64" ht="20.25" customHeight="1" thickBot="1" x14ac:dyDescent="0.35">
      <c r="A319" s="431" t="s">
        <v>1090</v>
      </c>
      <c r="B319" s="330" t="s">
        <v>952</v>
      </c>
      <c r="C319" s="10" t="s">
        <v>932</v>
      </c>
      <c r="D319" s="10" t="s">
        <v>1240</v>
      </c>
      <c r="G319" s="15" t="s">
        <v>972</v>
      </c>
      <c r="H319" s="15" t="s">
        <v>973</v>
      </c>
      <c r="J319" s="330" t="s">
        <v>992</v>
      </c>
      <c r="K319" s="16">
        <v>45275</v>
      </c>
      <c r="L319" s="341">
        <v>45282</v>
      </c>
      <c r="M319" s="342">
        <v>45315</v>
      </c>
      <c r="N319" s="340">
        <v>8.02</v>
      </c>
      <c r="O319" s="349">
        <v>33.49</v>
      </c>
      <c r="P319" s="350">
        <v>80.98</v>
      </c>
      <c r="Q319" s="343">
        <v>86.95</v>
      </c>
      <c r="R319" s="343">
        <v>214.8</v>
      </c>
      <c r="S319" s="29">
        <f t="shared" si="128"/>
        <v>1.5249151475398668</v>
      </c>
      <c r="T319" s="29">
        <f t="shared" si="129"/>
        <v>2.332034277027518</v>
      </c>
      <c r="U319" s="356">
        <f>O319*12.43</f>
        <v>416.28070000000002</v>
      </c>
      <c r="V319" s="356">
        <f>13.223*O319-1.5217</f>
        <v>441.31657000000007</v>
      </c>
      <c r="W319" s="356">
        <f>-0.144*(O319*O319)+11.253*O319+3.5274</f>
        <v>218.88283560000002</v>
      </c>
      <c r="X319" s="346">
        <v>32</v>
      </c>
      <c r="Y319" s="346">
        <v>58</v>
      </c>
      <c r="Z319" s="346">
        <v>10</v>
      </c>
      <c r="AA319" s="351" t="s">
        <v>1110</v>
      </c>
      <c r="AB319" s="351" t="s">
        <v>880</v>
      </c>
      <c r="AC319" s="347">
        <v>2.76</v>
      </c>
      <c r="AE319" s="346">
        <v>69</v>
      </c>
      <c r="AF319" s="348">
        <v>1395</v>
      </c>
      <c r="AG319" s="441">
        <v>61199</v>
      </c>
      <c r="AH319" s="330">
        <v>45403.538099999998</v>
      </c>
      <c r="AI319" s="441">
        <v>10809</v>
      </c>
      <c r="AJ319" s="330">
        <v>7725.1922999999997</v>
      </c>
      <c r="AK319" s="441">
        <v>3531</v>
      </c>
      <c r="AL319" s="330">
        <v>2129.1929999999998</v>
      </c>
      <c r="AM319" s="330">
        <f t="shared" si="133"/>
        <v>646.82965884142334</v>
      </c>
      <c r="AN319" s="339" t="s">
        <v>997</v>
      </c>
      <c r="AU319" s="346">
        <v>78705.66</v>
      </c>
      <c r="AV319" s="348" t="s">
        <v>318</v>
      </c>
      <c r="AZ319" s="333">
        <v>2.9612531969309459</v>
      </c>
      <c r="BA319" s="333">
        <v>197.40668739130433</v>
      </c>
      <c r="BB319" s="333">
        <v>38.603571428571428</v>
      </c>
      <c r="BC319" s="333">
        <v>17.524222222222217</v>
      </c>
      <c r="BD319" s="333">
        <v>37.263862896915654</v>
      </c>
      <c r="BE319" s="333" t="s">
        <v>1131</v>
      </c>
      <c r="BF319" s="333">
        <v>2.9616099744245523</v>
      </c>
      <c r="BG319" s="333">
        <v>196.98677685950415</v>
      </c>
      <c r="BH319" s="333">
        <v>38.548863772455086</v>
      </c>
      <c r="BI319" s="333">
        <v>12.499740000000001</v>
      </c>
      <c r="BJ319" s="420">
        <v>0.78481728559216446</v>
      </c>
      <c r="BK319" s="333" t="s">
        <v>1132</v>
      </c>
      <c r="BL319" s="333" t="s">
        <v>1136</v>
      </c>
    </row>
    <row r="320" spans="1:64" ht="20.25" customHeight="1" thickBot="1" x14ac:dyDescent="0.35">
      <c r="A320" s="431" t="s">
        <v>1091</v>
      </c>
      <c r="B320" s="330" t="s">
        <v>952</v>
      </c>
      <c r="C320" s="10" t="s">
        <v>933</v>
      </c>
      <c r="D320" s="10" t="s">
        <v>1241</v>
      </c>
      <c r="G320" s="15" t="s">
        <v>972</v>
      </c>
      <c r="H320" s="15" t="s">
        <v>973</v>
      </c>
      <c r="J320" s="330" t="s">
        <v>992</v>
      </c>
      <c r="K320" s="16">
        <v>45275</v>
      </c>
      <c r="L320" s="341">
        <v>45282</v>
      </c>
      <c r="M320" s="342">
        <v>45315</v>
      </c>
      <c r="N320" s="340">
        <v>8.2899999999999991</v>
      </c>
      <c r="O320" s="349">
        <v>7.96</v>
      </c>
      <c r="P320" s="350">
        <v>21.58</v>
      </c>
      <c r="Q320" s="343">
        <v>27.27</v>
      </c>
      <c r="R320" s="343">
        <v>70.92</v>
      </c>
      <c r="S320" s="29">
        <f t="shared" si="128"/>
        <v>0.90091306773766899</v>
      </c>
      <c r="T320" s="29">
        <f t="shared" si="129"/>
        <v>1.8507687269288802</v>
      </c>
      <c r="U320" s="356">
        <f t="shared" ref="U320" si="149">O320*5.25</f>
        <v>41.79</v>
      </c>
      <c r="V320" s="363">
        <f>5.3954*O320+8.0586</f>
        <v>51.005984000000005</v>
      </c>
      <c r="W320" s="363">
        <f t="shared" ref="W320" si="150">O320*5.8798</f>
        <v>46.803208000000005</v>
      </c>
      <c r="X320" s="346">
        <v>64</v>
      </c>
      <c r="Y320" s="346">
        <v>30</v>
      </c>
      <c r="Z320" s="346">
        <v>6</v>
      </c>
      <c r="AA320" s="351" t="s">
        <v>876</v>
      </c>
      <c r="AB320" s="351" t="s">
        <v>877</v>
      </c>
      <c r="AC320" s="347">
        <v>1.45</v>
      </c>
      <c r="AE320" s="346">
        <v>35</v>
      </c>
      <c r="AF320" s="348">
        <v>1162</v>
      </c>
      <c r="AG320" s="441">
        <v>19899</v>
      </c>
      <c r="AH320" s="330">
        <v>14763.0681</v>
      </c>
      <c r="AI320" s="441">
        <v>10823</v>
      </c>
      <c r="AJ320" s="330">
        <v>7735.1980999999996</v>
      </c>
      <c r="AK320" s="441">
        <v>2993</v>
      </c>
      <c r="AL320" s="330">
        <v>1804.779</v>
      </c>
      <c r="AM320" s="330">
        <f t="shared" si="133"/>
        <v>213.75582324065192</v>
      </c>
      <c r="AN320" s="339" t="s">
        <v>997</v>
      </c>
      <c r="AU320" s="346">
        <v>20562.740000000002</v>
      </c>
      <c r="AV320" s="348">
        <v>0.61</v>
      </c>
      <c r="AZ320" s="333">
        <v>2.4666496163682865</v>
      </c>
      <c r="BA320" s="333">
        <v>64.187252608695658</v>
      </c>
      <c r="BB320" s="333">
        <v>38.653571428571425</v>
      </c>
      <c r="BC320" s="333">
        <v>14.854148148148148</v>
      </c>
      <c r="BD320" s="333">
        <v>12.409536584801941</v>
      </c>
      <c r="BE320" s="333" t="s">
        <v>1133</v>
      </c>
      <c r="BF320" s="333">
        <v>2.4669468030690536</v>
      </c>
      <c r="BG320" s="333">
        <v>64.050717703349278</v>
      </c>
      <c r="BH320" s="333">
        <v>38.598792914171653</v>
      </c>
      <c r="BI320" s="333">
        <v>10.595220000000001</v>
      </c>
      <c r="BJ320" s="420">
        <v>0.55353719806979451</v>
      </c>
      <c r="BK320" s="333" t="s">
        <v>1129</v>
      </c>
      <c r="BL320" s="333" t="s">
        <v>1136</v>
      </c>
    </row>
    <row r="321" spans="1:64" ht="20.25" customHeight="1" thickBot="1" x14ac:dyDescent="0.35">
      <c r="A321" s="431" t="s">
        <v>1092</v>
      </c>
      <c r="B321" s="330" t="s">
        <v>952</v>
      </c>
      <c r="C321" s="10" t="s">
        <v>934</v>
      </c>
      <c r="D321" s="10" t="s">
        <v>1240</v>
      </c>
      <c r="G321" s="15" t="s">
        <v>974</v>
      </c>
      <c r="H321" s="15" t="s">
        <v>975</v>
      </c>
      <c r="J321" s="330" t="s">
        <v>992</v>
      </c>
      <c r="K321" s="16">
        <v>45275</v>
      </c>
      <c r="L321" s="341">
        <v>45282</v>
      </c>
      <c r="M321" s="342">
        <v>45315</v>
      </c>
      <c r="N321" s="340">
        <v>7.96</v>
      </c>
      <c r="O321" s="349">
        <v>43.66</v>
      </c>
      <c r="P321" s="350">
        <v>97.31</v>
      </c>
      <c r="Q321" s="343">
        <v>102.3</v>
      </c>
      <c r="R321" s="343">
        <v>226</v>
      </c>
      <c r="S321" s="29">
        <f t="shared" si="128"/>
        <v>1.6400837313731202</v>
      </c>
      <c r="T321" s="29">
        <f t="shared" si="129"/>
        <v>2.3541084391474008</v>
      </c>
      <c r="U321" s="356">
        <f>O321*12.43</f>
        <v>542.6937999999999</v>
      </c>
      <c r="V321" s="356">
        <f>9.4944*O321-4.8391</f>
        <v>409.68640400000004</v>
      </c>
      <c r="W321" s="356">
        <f>-0.144*(O321*O321)+11.253*O321+3.5274</f>
        <v>220.3412136</v>
      </c>
      <c r="X321" s="346">
        <v>22</v>
      </c>
      <c r="Y321" s="346">
        <v>74</v>
      </c>
      <c r="Z321" s="346">
        <v>4</v>
      </c>
      <c r="AA321" s="351" t="s">
        <v>884</v>
      </c>
      <c r="AB321" s="351" t="s">
        <v>881</v>
      </c>
      <c r="AC321" s="347">
        <v>3.01</v>
      </c>
      <c r="AE321" s="346">
        <v>61</v>
      </c>
      <c r="AF321" s="348">
        <v>788</v>
      </c>
      <c r="AG321" s="441">
        <v>42415</v>
      </c>
      <c r="AH321" s="330">
        <v>31467.6885</v>
      </c>
      <c r="AI321" s="441">
        <v>8004</v>
      </c>
      <c r="AJ321" s="330">
        <v>5720.4588000000003</v>
      </c>
      <c r="AK321" s="441">
        <v>2484</v>
      </c>
      <c r="AL321" s="330">
        <v>1497.8519999999999</v>
      </c>
      <c r="AM321" s="330">
        <f t="shared" si="133"/>
        <v>523.79584786125281</v>
      </c>
      <c r="AN321" s="339" t="s">
        <v>997</v>
      </c>
      <c r="AU321" s="346">
        <v>91468.74</v>
      </c>
      <c r="AV321" s="348">
        <v>2</v>
      </c>
      <c r="AZ321" s="333">
        <v>1.6727365728900254</v>
      </c>
      <c r="BA321" s="333">
        <v>136.81603695652174</v>
      </c>
      <c r="BB321" s="333">
        <v>28.585714285714282</v>
      </c>
      <c r="BC321" s="333">
        <v>12.327999999999998</v>
      </c>
      <c r="BD321" s="333">
        <v>30.249454706572163</v>
      </c>
      <c r="BE321" s="333" t="s">
        <v>1131</v>
      </c>
      <c r="BF321" s="333">
        <v>1.6729381074168796</v>
      </c>
      <c r="BG321" s="333">
        <v>136.52501087429317</v>
      </c>
      <c r="BH321" s="333">
        <v>28.545203592814371</v>
      </c>
      <c r="BI321" s="333">
        <v>8.7933599999999998</v>
      </c>
      <c r="BJ321" s="420">
        <v>0.77775847811908172</v>
      </c>
      <c r="BK321" s="333" t="s">
        <v>1132</v>
      </c>
      <c r="BL321" s="333" t="s">
        <v>1136</v>
      </c>
    </row>
    <row r="322" spans="1:64" ht="20.25" customHeight="1" thickBot="1" x14ac:dyDescent="0.35">
      <c r="A322" s="431" t="s">
        <v>1093</v>
      </c>
      <c r="B322" s="330" t="s">
        <v>952</v>
      </c>
      <c r="C322" s="10" t="s">
        <v>935</v>
      </c>
      <c r="D322" s="10" t="s">
        <v>1241</v>
      </c>
      <c r="G322" s="15" t="s">
        <v>974</v>
      </c>
      <c r="H322" s="15" t="s">
        <v>975</v>
      </c>
      <c r="J322" s="330" t="s">
        <v>992</v>
      </c>
      <c r="K322" s="16">
        <v>45275</v>
      </c>
      <c r="L322" s="341">
        <v>45282</v>
      </c>
      <c r="M322" s="342">
        <v>45315</v>
      </c>
      <c r="N322" s="340">
        <v>8.2799999999999994</v>
      </c>
      <c r="O322" s="349">
        <v>8.36</v>
      </c>
      <c r="P322" s="350">
        <v>20.47</v>
      </c>
      <c r="Q322" s="343">
        <v>22.25</v>
      </c>
      <c r="R322" s="343">
        <v>52.79</v>
      </c>
      <c r="S322" s="29">
        <f t="shared" si="128"/>
        <v>0.9222062774390164</v>
      </c>
      <c r="T322" s="29">
        <f t="shared" si="129"/>
        <v>1.7225516620009584</v>
      </c>
      <c r="U322" s="356">
        <f t="shared" ref="U322" si="151">O322*5.25</f>
        <v>43.89</v>
      </c>
      <c r="V322" s="363">
        <f>5.3954*O322+8.0586</f>
        <v>53.164144</v>
      </c>
      <c r="W322" s="363">
        <f t="shared" ref="W322" si="152">O322*5.8798</f>
        <v>49.155127999999998</v>
      </c>
      <c r="X322" s="346">
        <v>64</v>
      </c>
      <c r="Y322" s="346">
        <v>32</v>
      </c>
      <c r="Z322" s="346">
        <v>4</v>
      </c>
      <c r="AA322" s="351" t="s">
        <v>876</v>
      </c>
      <c r="AB322" s="351" t="s">
        <v>877</v>
      </c>
      <c r="AC322" s="347">
        <v>1.56</v>
      </c>
      <c r="AE322" s="346">
        <v>42</v>
      </c>
      <c r="AF322" s="348">
        <v>1017</v>
      </c>
      <c r="AG322" s="441">
        <v>14383</v>
      </c>
      <c r="AH322" s="330">
        <v>10670.7477</v>
      </c>
      <c r="AI322" s="441">
        <v>13520</v>
      </c>
      <c r="AJ322" s="330">
        <v>9662.7440000000006</v>
      </c>
      <c r="AK322" s="441">
        <v>2341</v>
      </c>
      <c r="AL322" s="330">
        <v>1411.623</v>
      </c>
      <c r="AM322" s="330">
        <f t="shared" si="133"/>
        <v>143.4004101489426</v>
      </c>
      <c r="AN322" s="339" t="s">
        <v>997</v>
      </c>
      <c r="AU322" s="346">
        <v>14323.01</v>
      </c>
      <c r="AV322" s="348">
        <v>2.11</v>
      </c>
      <c r="AZ322" s="333">
        <v>2.158849104859335</v>
      </c>
      <c r="BA322" s="333">
        <v>46.3945552173913</v>
      </c>
      <c r="BB322" s="333">
        <v>48.285714285714285</v>
      </c>
      <c r="BC322" s="333">
        <v>11.618296296296297</v>
      </c>
      <c r="BD322" s="333">
        <v>8.4772318982498476</v>
      </c>
      <c r="BE322" s="333" t="s">
        <v>1125</v>
      </c>
      <c r="BF322" s="333">
        <v>2.1591092071611251</v>
      </c>
      <c r="BG322" s="333">
        <v>46.295867768595038</v>
      </c>
      <c r="BH322" s="333">
        <v>48.217285429141718</v>
      </c>
      <c r="BI322" s="333">
        <v>8.2871400000000008</v>
      </c>
      <c r="BJ322" s="420">
        <v>0.4410835685782703</v>
      </c>
      <c r="BK322" s="333" t="s">
        <v>1130</v>
      </c>
      <c r="BL322" s="333" t="s">
        <v>1136</v>
      </c>
    </row>
    <row r="323" spans="1:64" ht="20.25" customHeight="1" thickBot="1" x14ac:dyDescent="0.35">
      <c r="A323" s="431" t="s">
        <v>1094</v>
      </c>
      <c r="B323" s="330" t="s">
        <v>952</v>
      </c>
      <c r="C323" s="10" t="s">
        <v>936</v>
      </c>
      <c r="D323" s="10" t="s">
        <v>1240</v>
      </c>
      <c r="G323" s="15">
        <v>32.080919999999999</v>
      </c>
      <c r="H323" s="15" t="s">
        <v>976</v>
      </c>
      <c r="J323" s="330" t="s">
        <v>992</v>
      </c>
      <c r="K323" s="16">
        <v>45275</v>
      </c>
      <c r="L323" s="341">
        <v>45282</v>
      </c>
      <c r="M323" s="342">
        <v>45315</v>
      </c>
      <c r="N323" s="340">
        <v>8.02</v>
      </c>
      <c r="O323" s="349">
        <v>43.17</v>
      </c>
      <c r="P323" s="350">
        <v>82.96</v>
      </c>
      <c r="Q323" s="343">
        <v>88.79</v>
      </c>
      <c r="R323" s="343">
        <v>222.1</v>
      </c>
      <c r="S323" s="29">
        <f t="shared" si="128"/>
        <v>1.6351820486562676</v>
      </c>
      <c r="T323" s="29">
        <f t="shared" si="129"/>
        <v>2.346548558548474</v>
      </c>
      <c r="U323" s="356">
        <f>O323*12.43</f>
        <v>536.60310000000004</v>
      </c>
      <c r="V323" s="356">
        <f>9.4944*O323-4.8391</f>
        <v>405.03414800000007</v>
      </c>
      <c r="W323" s="356">
        <f>-0.144*(O323*O323)+11.253*O323+3.5274</f>
        <v>220.95396840000001</v>
      </c>
      <c r="X323" s="346">
        <v>26</v>
      </c>
      <c r="Y323" s="346">
        <v>70</v>
      </c>
      <c r="Z323" s="346">
        <v>4</v>
      </c>
      <c r="AA323" s="351" t="s">
        <v>884</v>
      </c>
      <c r="AB323" s="351" t="s">
        <v>881</v>
      </c>
      <c r="AC323" s="347">
        <v>2.91</v>
      </c>
      <c r="AE323" s="346">
        <v>58</v>
      </c>
      <c r="AF323" s="348">
        <v>1289</v>
      </c>
      <c r="AG323" s="441">
        <v>69543</v>
      </c>
      <c r="AH323" s="330">
        <v>51593.951699999998</v>
      </c>
      <c r="AI323" s="441">
        <v>11839</v>
      </c>
      <c r="AJ323" s="330">
        <v>8461.3333000000002</v>
      </c>
      <c r="AK323" s="441">
        <v>3344</v>
      </c>
      <c r="AL323" s="330">
        <v>2016.432</v>
      </c>
      <c r="AM323" s="330">
        <f t="shared" si="133"/>
        <v>712.8193124401995</v>
      </c>
      <c r="AN323" s="339" t="s">
        <v>997</v>
      </c>
      <c r="AU323" s="346">
        <v>85087.2</v>
      </c>
      <c r="AV323" s="348" t="s">
        <v>318</v>
      </c>
      <c r="AZ323" s="333">
        <v>2.7362404092071611</v>
      </c>
      <c r="BA323" s="333">
        <v>224.32152913043478</v>
      </c>
      <c r="BB323" s="333">
        <v>42.282142857142858</v>
      </c>
      <c r="BC323" s="333">
        <v>16.596148148148149</v>
      </c>
      <c r="BD323" s="333">
        <v>41.343606332703118</v>
      </c>
      <c r="BE323" s="333" t="s">
        <v>1131</v>
      </c>
      <c r="BF323" s="333">
        <v>2.7365700767263421</v>
      </c>
      <c r="BG323" s="333">
        <v>223.84436711613745</v>
      </c>
      <c r="BH323" s="333">
        <v>42.222222055888224</v>
      </c>
      <c r="BI323" s="333">
        <v>11.837760000000001</v>
      </c>
      <c r="BJ323" s="420">
        <v>0.79761842184435072</v>
      </c>
      <c r="BK323" s="333" t="s">
        <v>1132</v>
      </c>
      <c r="BL323" s="333" t="s">
        <v>1136</v>
      </c>
    </row>
    <row r="324" spans="1:64" ht="20.25" customHeight="1" thickBot="1" x14ac:dyDescent="0.35">
      <c r="A324" s="431" t="s">
        <v>1095</v>
      </c>
      <c r="B324" s="330" t="s">
        <v>952</v>
      </c>
      <c r="C324" s="10" t="s">
        <v>937</v>
      </c>
      <c r="D324" s="10" t="s">
        <v>1241</v>
      </c>
      <c r="G324" s="15">
        <v>32.080919999999999</v>
      </c>
      <c r="H324" s="15" t="s">
        <v>976</v>
      </c>
      <c r="J324" s="330" t="s">
        <v>992</v>
      </c>
      <c r="K324" s="16">
        <v>45275</v>
      </c>
      <c r="L324" s="341">
        <v>45282</v>
      </c>
      <c r="M324" s="342">
        <v>45315</v>
      </c>
      <c r="N324" s="340">
        <v>8.23</v>
      </c>
      <c r="O324" s="349">
        <v>11.26</v>
      </c>
      <c r="P324" s="350">
        <v>24.6</v>
      </c>
      <c r="Q324" s="343">
        <v>29.53</v>
      </c>
      <c r="R324" s="343">
        <v>79.08</v>
      </c>
      <c r="S324" s="29">
        <f t="shared" si="128"/>
        <v>1.0515383905153275</v>
      </c>
      <c r="T324" s="29">
        <f t="shared" si="129"/>
        <v>1.8980666606416348</v>
      </c>
      <c r="U324" s="356">
        <f t="shared" ref="U324" si="153">O324*5.25</f>
        <v>59.115000000000002</v>
      </c>
      <c r="V324" s="363">
        <f>5.3954*O324+8.0586</f>
        <v>68.810804000000005</v>
      </c>
      <c r="W324" s="363">
        <f t="shared" ref="W324" si="154">O324*5.8798</f>
        <v>66.206547999999998</v>
      </c>
      <c r="X324" s="346">
        <v>66</v>
      </c>
      <c r="Y324" s="346">
        <v>30</v>
      </c>
      <c r="Z324" s="346">
        <v>4</v>
      </c>
      <c r="AA324" s="351" t="s">
        <v>876</v>
      </c>
      <c r="AB324" s="351" t="s">
        <v>877</v>
      </c>
      <c r="AC324" s="347">
        <v>1.61</v>
      </c>
      <c r="AE324" s="346">
        <v>39</v>
      </c>
      <c r="AF324" s="348">
        <v>1004</v>
      </c>
      <c r="AG324" s="441">
        <v>20914</v>
      </c>
      <c r="AH324" s="330">
        <v>15516.096600000001</v>
      </c>
      <c r="AI324" s="441">
        <v>12889</v>
      </c>
      <c r="AJ324" s="330">
        <v>9211.7682999999997</v>
      </c>
      <c r="AK324" s="441">
        <v>2991</v>
      </c>
      <c r="AL324" s="330">
        <v>1803.5729999999999</v>
      </c>
      <c r="AM324" s="330">
        <f t="shared" si="133"/>
        <v>209.07326123412261</v>
      </c>
      <c r="AN324" s="339" t="s">
        <v>997</v>
      </c>
      <c r="AU324" s="346">
        <v>18790.09</v>
      </c>
      <c r="AV324" s="348">
        <v>2.2599999999999998</v>
      </c>
      <c r="AZ324" s="333">
        <v>2.1312531969309458</v>
      </c>
      <c r="BA324" s="333">
        <v>67.461289565217399</v>
      </c>
      <c r="BB324" s="333">
        <v>46.032142857142858</v>
      </c>
      <c r="BC324" s="333">
        <v>14.84422222222222</v>
      </c>
      <c r="BD324" s="333">
        <v>12.227714222428132</v>
      </c>
      <c r="BE324" s="333" t="s">
        <v>1133</v>
      </c>
      <c r="BF324" s="333">
        <v>2.1315099744245525</v>
      </c>
      <c r="BG324" s="333">
        <v>67.317790343627664</v>
      </c>
      <c r="BH324" s="333">
        <v>45.966907684630733</v>
      </c>
      <c r="BI324" s="333">
        <v>10.588140000000001</v>
      </c>
      <c r="BJ324" s="420">
        <v>0.53424974146284465</v>
      </c>
      <c r="BK324" s="333" t="s">
        <v>1129</v>
      </c>
      <c r="BL324" s="333" t="s">
        <v>1136</v>
      </c>
    </row>
    <row r="325" spans="1:64" ht="20.25" customHeight="1" thickBot="1" x14ac:dyDescent="0.35">
      <c r="A325" s="431" t="s">
        <v>1096</v>
      </c>
      <c r="B325" s="330" t="s">
        <v>952</v>
      </c>
      <c r="C325" s="10" t="s">
        <v>938</v>
      </c>
      <c r="D325" s="10" t="s">
        <v>1240</v>
      </c>
      <c r="G325" s="15" t="s">
        <v>977</v>
      </c>
      <c r="H325" s="15" t="s">
        <v>978</v>
      </c>
      <c r="J325" s="330" t="s">
        <v>992</v>
      </c>
      <c r="K325" s="16">
        <v>45275</v>
      </c>
      <c r="L325" s="341">
        <v>45282</v>
      </c>
      <c r="M325" s="342">
        <v>45315</v>
      </c>
      <c r="N325" s="340">
        <v>7.98</v>
      </c>
      <c r="O325" s="349">
        <v>33.229999999999997</v>
      </c>
      <c r="P325" s="350">
        <v>70.540000000000006</v>
      </c>
      <c r="Q325" s="343">
        <v>72.8</v>
      </c>
      <c r="R325" s="343">
        <v>196.1</v>
      </c>
      <c r="S325" s="29">
        <f t="shared" si="128"/>
        <v>1.5215303412787109</v>
      </c>
      <c r="T325" s="29">
        <f t="shared" si="129"/>
        <v>2.2924775936677841</v>
      </c>
      <c r="U325" s="356">
        <f>O325*12.43</f>
        <v>413.04889999999995</v>
      </c>
      <c r="V325" s="356">
        <f>9.4944*O325-4.8391</f>
        <v>310.65981200000004</v>
      </c>
      <c r="W325" s="356">
        <f>-0.144*(O325*O325)+11.253*O325+3.5274</f>
        <v>218.45505240000003</v>
      </c>
      <c r="X325" s="346">
        <v>22</v>
      </c>
      <c r="Y325" s="346">
        <v>72</v>
      </c>
      <c r="Z325" s="346">
        <v>6</v>
      </c>
      <c r="AA325" s="351" t="s">
        <v>884</v>
      </c>
      <c r="AB325" s="351" t="s">
        <v>881</v>
      </c>
      <c r="AC325" s="347">
        <v>3.24</v>
      </c>
      <c r="AE325" s="346">
        <v>72</v>
      </c>
      <c r="AF325" s="348">
        <v>1353</v>
      </c>
      <c r="AG325" s="441">
        <v>56285</v>
      </c>
      <c r="AH325" s="330">
        <v>41757.841500000002</v>
      </c>
      <c r="AI325" s="441">
        <v>12708</v>
      </c>
      <c r="AJ325" s="330">
        <v>9082.4076000000005</v>
      </c>
      <c r="AK325" s="441">
        <v>3810</v>
      </c>
      <c r="AL325" s="330">
        <v>2297.4299999999998</v>
      </c>
      <c r="AM325" s="330">
        <f t="shared" si="133"/>
        <v>553.58588366488766</v>
      </c>
      <c r="AN325" s="339" t="s">
        <v>997</v>
      </c>
      <c r="AU325" s="346">
        <v>74805.83</v>
      </c>
      <c r="AV325" s="348">
        <v>2</v>
      </c>
      <c r="AZ325" s="333">
        <v>2.8720971867007674</v>
      </c>
      <c r="BA325" s="333">
        <v>181.55583260869568</v>
      </c>
      <c r="BB325" s="333">
        <v>45.385714285714286</v>
      </c>
      <c r="BC325" s="333">
        <v>18.908888888888889</v>
      </c>
      <c r="BD325" s="333">
        <v>32.021225073822059</v>
      </c>
      <c r="BE325" s="333" t="s">
        <v>1131</v>
      </c>
      <c r="BF325" s="333">
        <v>2.8724432225063938</v>
      </c>
      <c r="BG325" s="333">
        <v>181.16963897346673</v>
      </c>
      <c r="BH325" s="333">
        <v>45.321395209580842</v>
      </c>
      <c r="BI325" s="333">
        <v>13.487400000000001</v>
      </c>
      <c r="BJ325" s="420">
        <v>0.74601187736669627</v>
      </c>
      <c r="BK325" s="333" t="s">
        <v>1132</v>
      </c>
      <c r="BL325" s="333" t="s">
        <v>1136</v>
      </c>
    </row>
    <row r="326" spans="1:64" ht="20.25" customHeight="1" thickBot="1" x14ac:dyDescent="0.35">
      <c r="A326" s="431" t="s">
        <v>1097</v>
      </c>
      <c r="B326" s="330" t="s">
        <v>952</v>
      </c>
      <c r="C326" s="10" t="s">
        <v>939</v>
      </c>
      <c r="D326" s="10" t="s">
        <v>1241</v>
      </c>
      <c r="G326" s="15" t="s">
        <v>977</v>
      </c>
      <c r="H326" s="15" t="s">
        <v>978</v>
      </c>
      <c r="J326" s="330" t="s">
        <v>992</v>
      </c>
      <c r="K326" s="16">
        <v>45275</v>
      </c>
      <c r="L326" s="341">
        <v>45282</v>
      </c>
      <c r="M326" s="342">
        <v>45315</v>
      </c>
      <c r="N326" s="340">
        <v>8.2200000000000006</v>
      </c>
      <c r="O326" s="349">
        <v>10.41</v>
      </c>
      <c r="P326" s="350">
        <v>21.86</v>
      </c>
      <c r="Q326" s="343">
        <v>23.75</v>
      </c>
      <c r="R326" s="343">
        <v>60.94</v>
      </c>
      <c r="S326" s="29">
        <f t="shared" si="128"/>
        <v>1.0174507295105362</v>
      </c>
      <c r="T326" s="29">
        <f t="shared" si="129"/>
        <v>1.7849024498866548</v>
      </c>
      <c r="U326" s="356">
        <f t="shared" ref="U326" si="155">O326*5.25</f>
        <v>54.652500000000003</v>
      </c>
      <c r="V326" s="363">
        <f>5.3954*O326+8.0586</f>
        <v>64.224714000000006</v>
      </c>
      <c r="W326" s="363">
        <f t="shared" ref="W326" si="156">O326*5.8798</f>
        <v>61.208718000000005</v>
      </c>
      <c r="X326" s="346">
        <v>64</v>
      </c>
      <c r="Y326" s="346">
        <v>28</v>
      </c>
      <c r="Z326" s="346">
        <v>8</v>
      </c>
      <c r="AA326" s="351" t="s">
        <v>876</v>
      </c>
      <c r="AB326" s="351" t="s">
        <v>877</v>
      </c>
      <c r="AC326" s="347">
        <v>1.44</v>
      </c>
      <c r="AE326" s="346">
        <v>42</v>
      </c>
      <c r="AF326" s="348">
        <v>1192</v>
      </c>
      <c r="AG326" s="441">
        <v>16287</v>
      </c>
      <c r="AH326" s="330">
        <v>12083.3253</v>
      </c>
      <c r="AI326" s="441">
        <v>13663</v>
      </c>
      <c r="AJ326" s="330">
        <v>9764.9460999999992</v>
      </c>
      <c r="AK326" s="441">
        <v>2334</v>
      </c>
      <c r="AL326" s="330">
        <v>1407.402</v>
      </c>
      <c r="AM326" s="330">
        <f t="shared" si="133"/>
        <v>161.66992466780272</v>
      </c>
      <c r="AN326" s="339" t="s">
        <v>997</v>
      </c>
      <c r="AU326" s="346">
        <v>17726.5</v>
      </c>
      <c r="AV326" s="348">
        <v>0.91</v>
      </c>
      <c r="AZ326" s="333">
        <v>2.530332480818414</v>
      </c>
      <c r="BA326" s="333">
        <v>52.536196956521742</v>
      </c>
      <c r="BB326" s="333">
        <v>48.796428571428564</v>
      </c>
      <c r="BC326" s="333">
        <v>11.583555555555556</v>
      </c>
      <c r="BD326" s="333">
        <v>9.5615242759729373</v>
      </c>
      <c r="BE326" s="333" t="s">
        <v>1125</v>
      </c>
      <c r="BF326" s="333">
        <v>2.5306373401534525</v>
      </c>
      <c r="BG326" s="333">
        <v>52.424445411048275</v>
      </c>
      <c r="BH326" s="333">
        <v>48.727275948103788</v>
      </c>
      <c r="BI326" s="333">
        <v>8.262360000000001</v>
      </c>
      <c r="BJ326" s="420">
        <v>0.46830655362907714</v>
      </c>
      <c r="BK326" s="333" t="s">
        <v>1130</v>
      </c>
      <c r="BL326" s="333" t="s">
        <v>1136</v>
      </c>
    </row>
    <row r="327" spans="1:64" ht="20.25" customHeight="1" thickBot="1" x14ac:dyDescent="0.35">
      <c r="A327" s="431" t="s">
        <v>1098</v>
      </c>
      <c r="B327" s="330" t="s">
        <v>952</v>
      </c>
      <c r="C327" s="10" t="s">
        <v>940</v>
      </c>
      <c r="D327" s="10" t="s">
        <v>1240</v>
      </c>
      <c r="G327" s="15" t="s">
        <v>979</v>
      </c>
      <c r="H327" s="15" t="s">
        <v>980</v>
      </c>
      <c r="J327" s="330" t="s">
        <v>992</v>
      </c>
      <c r="K327" s="16">
        <v>45275</v>
      </c>
      <c r="L327" s="341">
        <v>45282</v>
      </c>
      <c r="M327" s="342">
        <v>45315</v>
      </c>
      <c r="N327" s="340">
        <v>8</v>
      </c>
      <c r="O327" s="349">
        <v>45.15</v>
      </c>
      <c r="P327" s="350">
        <v>95.59</v>
      </c>
      <c r="Q327" s="343">
        <v>99.05</v>
      </c>
      <c r="R327" s="343">
        <v>218.4</v>
      </c>
      <c r="S327" s="29">
        <f t="shared" si="128"/>
        <v>1.6546577546495247</v>
      </c>
      <c r="T327" s="29">
        <f t="shared" si="129"/>
        <v>2.3392526340326998</v>
      </c>
      <c r="U327" s="356">
        <f>O327*12.43</f>
        <v>561.21449999999993</v>
      </c>
      <c r="V327" s="356">
        <f>9.4944*O327-4.8391</f>
        <v>423.83306000000005</v>
      </c>
      <c r="W327" s="356">
        <f>-0.144*(O327*O327)+11.253*O327+3.5274</f>
        <v>218.05311000000006</v>
      </c>
      <c r="X327" s="346">
        <v>20</v>
      </c>
      <c r="Y327" s="346">
        <v>74</v>
      </c>
      <c r="Z327" s="346">
        <v>6</v>
      </c>
      <c r="AA327" s="351" t="s">
        <v>884</v>
      </c>
      <c r="AB327" s="351" t="s">
        <v>881</v>
      </c>
      <c r="AC327" s="347">
        <v>2.87</v>
      </c>
      <c r="AE327" s="346">
        <v>63</v>
      </c>
      <c r="AF327" s="348">
        <v>1426</v>
      </c>
      <c r="AG327" s="441">
        <v>70391</v>
      </c>
      <c r="AH327" s="330">
        <v>52223.082900000001</v>
      </c>
      <c r="AI327" s="441">
        <v>12672</v>
      </c>
      <c r="AJ327" s="330">
        <v>9056.6784000000007</v>
      </c>
      <c r="AK327" s="441">
        <v>4144</v>
      </c>
      <c r="AL327" s="330">
        <v>2498.8319999999999</v>
      </c>
      <c r="AM327" s="330">
        <f t="shared" si="133"/>
        <v>687.04144713031224</v>
      </c>
      <c r="AN327" s="339" t="s">
        <v>997</v>
      </c>
      <c r="AU327" s="346">
        <v>90759.679999999993</v>
      </c>
      <c r="AV327" s="348">
        <v>2.02</v>
      </c>
      <c r="AZ327" s="333">
        <v>3.0270588235294116</v>
      </c>
      <c r="BA327" s="333">
        <v>227.05688217391304</v>
      </c>
      <c r="BB327" s="333">
        <v>45.257142857142853</v>
      </c>
      <c r="BC327" s="333">
        <v>20.566518518518517</v>
      </c>
      <c r="BD327" s="333">
        <v>39.578437963647715</v>
      </c>
      <c r="BE327" s="333" t="s">
        <v>1131</v>
      </c>
      <c r="BF327" s="333">
        <v>3.0274235294117644</v>
      </c>
      <c r="BG327" s="333">
        <v>226.57390169638973</v>
      </c>
      <c r="BH327" s="333">
        <v>45.193005988023955</v>
      </c>
      <c r="BI327" s="333">
        <v>14.66976</v>
      </c>
      <c r="BJ327" s="420">
        <v>0.78273578165182811</v>
      </c>
      <c r="BK327" s="333" t="s">
        <v>1132</v>
      </c>
      <c r="BL327" s="333" t="s">
        <v>1136</v>
      </c>
    </row>
    <row r="328" spans="1:64" ht="20.25" customHeight="1" thickBot="1" x14ac:dyDescent="0.35">
      <c r="A328" s="431" t="s">
        <v>1099</v>
      </c>
      <c r="B328" s="330" t="s">
        <v>952</v>
      </c>
      <c r="C328" s="10" t="s">
        <v>941</v>
      </c>
      <c r="D328" s="10" t="s">
        <v>1241</v>
      </c>
      <c r="G328" s="15" t="s">
        <v>979</v>
      </c>
      <c r="H328" s="15" t="s">
        <v>980</v>
      </c>
      <c r="J328" s="330" t="s">
        <v>992</v>
      </c>
      <c r="K328" s="16">
        <v>45275</v>
      </c>
      <c r="L328" s="341">
        <v>45282</v>
      </c>
      <c r="M328" s="342">
        <v>45315</v>
      </c>
      <c r="N328" s="340">
        <v>8.32</v>
      </c>
      <c r="O328" s="349">
        <v>9.75</v>
      </c>
      <c r="P328" s="350">
        <v>21.64</v>
      </c>
      <c r="Q328" s="343">
        <v>23</v>
      </c>
      <c r="R328" s="343">
        <v>60.08</v>
      </c>
      <c r="S328" s="29">
        <f t="shared" si="128"/>
        <v>0.98900461569853682</v>
      </c>
      <c r="T328" s="29">
        <f t="shared" si="129"/>
        <v>1.7787299239961121</v>
      </c>
      <c r="U328" s="356">
        <f t="shared" ref="U328" si="157">O328*5.25</f>
        <v>51.1875</v>
      </c>
      <c r="V328" s="363">
        <f>5.3954*O328+8.0586</f>
        <v>60.66375</v>
      </c>
      <c r="W328" s="363">
        <f t="shared" ref="W328" si="158">O328*5.8798</f>
        <v>57.328050000000005</v>
      </c>
      <c r="X328" s="346">
        <v>66</v>
      </c>
      <c r="Y328" s="346">
        <v>28</v>
      </c>
      <c r="Z328" s="346">
        <v>6</v>
      </c>
      <c r="AA328" s="351" t="s">
        <v>876</v>
      </c>
      <c r="AB328" s="351" t="s">
        <v>877</v>
      </c>
      <c r="AC328" s="347">
        <v>1.58</v>
      </c>
      <c r="AE328" s="346">
        <v>44</v>
      </c>
      <c r="AF328" s="348">
        <v>1188</v>
      </c>
      <c r="AG328" s="441">
        <v>16342</v>
      </c>
      <c r="AH328" s="330">
        <v>12124.129800000001</v>
      </c>
      <c r="AI328" s="441">
        <v>9978</v>
      </c>
      <c r="AJ328" s="330">
        <v>7131.2766000000001</v>
      </c>
      <c r="AK328" s="441">
        <v>2338</v>
      </c>
      <c r="AL328" s="330">
        <v>1409.8139999999999</v>
      </c>
      <c r="AM328" s="330">
        <f t="shared" si="133"/>
        <v>185.52776412198912</v>
      </c>
      <c r="AN328" s="339" t="s">
        <v>997</v>
      </c>
      <c r="AU328" s="346">
        <v>20917.27</v>
      </c>
      <c r="AV328" s="348" t="s">
        <v>318</v>
      </c>
      <c r="AZ328" s="333">
        <v>2.521841432225064</v>
      </c>
      <c r="BA328" s="333">
        <v>52.713607826086957</v>
      </c>
      <c r="BB328" s="333">
        <v>35.635714285714286</v>
      </c>
      <c r="BC328" s="333">
        <v>11.603407407407405</v>
      </c>
      <c r="BD328" s="333">
        <v>10.846430353282699</v>
      </c>
      <c r="BE328" s="333" t="s">
        <v>1133</v>
      </c>
      <c r="BF328" s="333">
        <v>2.5221452685421992</v>
      </c>
      <c r="BG328" s="333">
        <v>52.601478903871246</v>
      </c>
      <c r="BH328" s="333">
        <v>35.585212574850296</v>
      </c>
      <c r="BI328" s="333">
        <v>8.2765199999999997</v>
      </c>
      <c r="BJ328" s="420">
        <v>0.53140667097030292</v>
      </c>
      <c r="BK328" s="333" t="s">
        <v>1129</v>
      </c>
      <c r="BL328" s="333" t="s">
        <v>1136</v>
      </c>
    </row>
    <row r="329" spans="1:64" ht="20.25" customHeight="1" thickBot="1" x14ac:dyDescent="0.35">
      <c r="A329" s="431" t="s">
        <v>1100</v>
      </c>
      <c r="B329" s="330" t="s">
        <v>952</v>
      </c>
      <c r="C329" s="10" t="s">
        <v>942</v>
      </c>
      <c r="D329" s="10" t="s">
        <v>1240</v>
      </c>
      <c r="G329" s="15" t="s">
        <v>981</v>
      </c>
      <c r="H329" s="15" t="s">
        <v>982</v>
      </c>
      <c r="J329" s="330" t="s">
        <v>992</v>
      </c>
      <c r="K329" s="16">
        <v>45275</v>
      </c>
      <c r="L329" s="341">
        <v>45282</v>
      </c>
      <c r="M329" s="342">
        <v>45315</v>
      </c>
      <c r="N329" s="340">
        <v>8.09</v>
      </c>
      <c r="O329" s="349">
        <v>33.96</v>
      </c>
      <c r="P329" s="350">
        <v>72.510000000000005</v>
      </c>
      <c r="Q329" s="343">
        <v>74.13</v>
      </c>
      <c r="R329" s="343">
        <v>186.5</v>
      </c>
      <c r="S329" s="29">
        <f t="shared" si="128"/>
        <v>1.5309676815719151</v>
      </c>
      <c r="T329" s="29">
        <f t="shared" si="129"/>
        <v>2.2706788361447066</v>
      </c>
      <c r="U329" s="356">
        <f>O329*12.43</f>
        <v>422.12279999999998</v>
      </c>
      <c r="V329" s="356">
        <f>13.223*O329-1.5217</f>
        <v>447.53138000000001</v>
      </c>
      <c r="W329" s="356">
        <f>-0.144*(O329*O329)+11.253*O329+3.5274</f>
        <v>219.60672960000002</v>
      </c>
      <c r="X329" s="346">
        <v>40</v>
      </c>
      <c r="Y329" s="346">
        <v>56</v>
      </c>
      <c r="Z329" s="346">
        <v>4</v>
      </c>
      <c r="AA329" s="351" t="s">
        <v>1110</v>
      </c>
      <c r="AB329" s="351" t="s">
        <v>880</v>
      </c>
      <c r="AC329" s="347">
        <v>2.5299999999999998</v>
      </c>
      <c r="AE329" s="346">
        <v>64</v>
      </c>
      <c r="AF329" s="348">
        <v>1507</v>
      </c>
      <c r="AG329" s="441">
        <v>49848</v>
      </c>
      <c r="AH329" s="330">
        <v>36982.231200000002</v>
      </c>
      <c r="AI329" s="441">
        <v>11597</v>
      </c>
      <c r="AJ329" s="330">
        <v>8288.3759000000009</v>
      </c>
      <c r="AK329" s="441">
        <v>2986</v>
      </c>
      <c r="AL329" s="330">
        <v>1800.558</v>
      </c>
      <c r="AM329" s="330">
        <f t="shared" si="133"/>
        <v>520.69747159110045</v>
      </c>
      <c r="AN329" s="339" t="s">
        <v>997</v>
      </c>
      <c r="AU329" s="346">
        <v>67006.17</v>
      </c>
      <c r="AV329" s="348">
        <v>0.73</v>
      </c>
      <c r="AZ329" s="333">
        <v>3.1990025575447567</v>
      </c>
      <c r="BA329" s="333">
        <v>160.79230956521741</v>
      </c>
      <c r="BB329" s="333">
        <v>41.417857142857144</v>
      </c>
      <c r="BC329" s="333">
        <v>14.819407407407407</v>
      </c>
      <c r="BD329" s="333">
        <v>30.322721502600523</v>
      </c>
      <c r="BE329" s="333" t="s">
        <v>1131</v>
      </c>
      <c r="BF329" s="333">
        <v>3.1993879795396416</v>
      </c>
      <c r="BG329" s="333">
        <v>160.45028273162242</v>
      </c>
      <c r="BH329" s="333">
        <v>41.359161177644715</v>
      </c>
      <c r="BI329" s="333">
        <v>10.570440000000001</v>
      </c>
      <c r="BJ329" s="420">
        <v>0.74427509345323684</v>
      </c>
      <c r="BK329" s="333" t="s">
        <v>1132</v>
      </c>
      <c r="BL329" s="333" t="s">
        <v>1136</v>
      </c>
    </row>
    <row r="330" spans="1:64" ht="20.25" customHeight="1" thickBot="1" x14ac:dyDescent="0.35">
      <c r="A330" s="431" t="s">
        <v>1101</v>
      </c>
      <c r="B330" s="330" t="s">
        <v>952</v>
      </c>
      <c r="C330" s="10" t="s">
        <v>943</v>
      </c>
      <c r="D330" s="10" t="s">
        <v>1241</v>
      </c>
      <c r="G330" s="15" t="s">
        <v>981</v>
      </c>
      <c r="H330" s="15" t="s">
        <v>982</v>
      </c>
      <c r="J330" s="330" t="s">
        <v>992</v>
      </c>
      <c r="K330" s="16">
        <v>45275</v>
      </c>
      <c r="L330" s="341">
        <v>45282</v>
      </c>
      <c r="M330" s="342">
        <v>45315</v>
      </c>
      <c r="N330" s="340">
        <v>8.27</v>
      </c>
      <c r="O330" s="349">
        <v>10.78</v>
      </c>
      <c r="P330" s="350">
        <v>24.4</v>
      </c>
      <c r="Q330" s="343">
        <v>25.93</v>
      </c>
      <c r="R330" s="343">
        <v>67.099999999999994</v>
      </c>
      <c r="S330" s="29">
        <f t="shared" si="128"/>
        <v>1.0326187608507198</v>
      </c>
      <c r="T330" s="29">
        <f t="shared" si="129"/>
        <v>1.8267225201689921</v>
      </c>
      <c r="U330" s="356">
        <f t="shared" ref="U330:U334" si="159">O330*5.25</f>
        <v>56.594999999999999</v>
      </c>
      <c r="V330" s="363">
        <f t="shared" ref="V330:V334" si="160">5.3954*O330+8.0586</f>
        <v>66.221012000000002</v>
      </c>
      <c r="W330" s="363">
        <f t="shared" ref="W330:W334" si="161">O330*5.8798</f>
        <v>63.384244000000002</v>
      </c>
      <c r="X330" s="346">
        <v>60</v>
      </c>
      <c r="Y330" s="346">
        <v>34</v>
      </c>
      <c r="Z330" s="346">
        <v>6</v>
      </c>
      <c r="AA330" s="351" t="s">
        <v>876</v>
      </c>
      <c r="AB330" s="351" t="s">
        <v>877</v>
      </c>
      <c r="AC330" s="347">
        <v>1.52</v>
      </c>
      <c r="AE330" s="346">
        <v>43</v>
      </c>
      <c r="AF330" s="348">
        <v>1209</v>
      </c>
      <c r="AG330" s="441">
        <v>17915</v>
      </c>
      <c r="AH330" s="330">
        <v>13291.138500000001</v>
      </c>
      <c r="AI330" s="441">
        <v>11389</v>
      </c>
      <c r="AJ330" s="330">
        <v>8139.7183000000005</v>
      </c>
      <c r="AK330" s="441">
        <v>3451</v>
      </c>
      <c r="AL330" s="330">
        <v>2080.953</v>
      </c>
      <c r="AM330" s="330">
        <f t="shared" si="133"/>
        <v>185.9248632293413</v>
      </c>
      <c r="AN330" s="339" t="s">
        <v>997</v>
      </c>
      <c r="AU330" s="346">
        <v>22689.919999999998</v>
      </c>
      <c r="AV330" s="348">
        <v>0.74</v>
      </c>
      <c r="AZ330" s="333">
        <v>2.5664194373401532</v>
      </c>
      <c r="BA330" s="333">
        <v>57.78755869565218</v>
      </c>
      <c r="BB330" s="333">
        <v>40.674999999999997</v>
      </c>
      <c r="BC330" s="333">
        <v>17.127185185185187</v>
      </c>
      <c r="BD330" s="333">
        <v>10.749226568201355</v>
      </c>
      <c r="BE330" s="333" t="s">
        <v>1133</v>
      </c>
      <c r="BF330" s="333">
        <v>2.5667286445012785</v>
      </c>
      <c r="BG330" s="333">
        <v>57.664636798608093</v>
      </c>
      <c r="BH330" s="333">
        <v>40.617356786427145</v>
      </c>
      <c r="BI330" s="333">
        <v>12.21654</v>
      </c>
      <c r="BJ330" s="420">
        <v>0.5100119670844766</v>
      </c>
      <c r="BK330" s="333" t="s">
        <v>1129</v>
      </c>
      <c r="BL330" s="333" t="s">
        <v>1136</v>
      </c>
    </row>
    <row r="331" spans="1:64" ht="20.25" customHeight="1" thickBot="1" x14ac:dyDescent="0.35">
      <c r="A331" s="431" t="s">
        <v>1102</v>
      </c>
      <c r="B331" s="330" t="s">
        <v>952</v>
      </c>
      <c r="C331" s="10" t="s">
        <v>944</v>
      </c>
      <c r="D331" s="10" t="s">
        <v>1240</v>
      </c>
      <c r="G331" s="15" t="s">
        <v>983</v>
      </c>
      <c r="H331" s="15" t="s">
        <v>984</v>
      </c>
      <c r="J331" s="330" t="s">
        <v>992</v>
      </c>
      <c r="K331" s="16">
        <v>45275</v>
      </c>
      <c r="L331" s="341">
        <v>45282</v>
      </c>
      <c r="M331" s="342">
        <v>45315</v>
      </c>
      <c r="N331" s="340">
        <v>8.09</v>
      </c>
      <c r="O331" s="349">
        <v>34.33</v>
      </c>
      <c r="P331" s="350">
        <v>64.099999999999994</v>
      </c>
      <c r="Q331" s="343">
        <v>67.650000000000006</v>
      </c>
      <c r="R331" s="343">
        <v>194.4</v>
      </c>
      <c r="S331" s="29">
        <f t="shared" si="128"/>
        <v>1.53567380342575</v>
      </c>
      <c r="T331" s="29">
        <f t="shared" si="129"/>
        <v>2.2886962605902559</v>
      </c>
      <c r="U331" s="356">
        <f t="shared" si="159"/>
        <v>180.23249999999999</v>
      </c>
      <c r="V331" s="363">
        <f t="shared" si="160"/>
        <v>193.28268200000002</v>
      </c>
      <c r="W331" s="363">
        <f t="shared" si="161"/>
        <v>201.853534</v>
      </c>
      <c r="X331" s="346">
        <v>60</v>
      </c>
      <c r="Y331" s="346">
        <v>36</v>
      </c>
      <c r="Z331" s="346">
        <v>4</v>
      </c>
      <c r="AA331" s="351" t="s">
        <v>876</v>
      </c>
      <c r="AB331" s="351" t="s">
        <v>877</v>
      </c>
      <c r="AC331" s="347">
        <v>2.9</v>
      </c>
      <c r="AE331" s="346">
        <v>72</v>
      </c>
      <c r="AF331" s="348">
        <v>1521</v>
      </c>
      <c r="AG331" s="441">
        <v>50766</v>
      </c>
      <c r="AH331" s="330">
        <v>37663.295400000003</v>
      </c>
      <c r="AI331" s="441">
        <v>12150</v>
      </c>
      <c r="AJ331" s="330">
        <v>8683.6049999999996</v>
      </c>
      <c r="AK331" s="441">
        <v>3298</v>
      </c>
      <c r="AL331" s="330">
        <v>1988.694</v>
      </c>
      <c r="AM331" s="330">
        <f t="shared" si="133"/>
        <v>515.58980621374064</v>
      </c>
      <c r="AN331" s="339" t="s">
        <v>997</v>
      </c>
      <c r="AU331" s="346">
        <v>67360.7</v>
      </c>
      <c r="AV331" s="348" t="s">
        <v>318</v>
      </c>
      <c r="AZ331" s="333">
        <v>3.2287212276214827</v>
      </c>
      <c r="BA331" s="333">
        <v>163.75345826086956</v>
      </c>
      <c r="BB331" s="333">
        <v>43.392857142857146</v>
      </c>
      <c r="BC331" s="333">
        <v>16.367851851851849</v>
      </c>
      <c r="BD331" s="333">
        <v>29.95695090663737</v>
      </c>
      <c r="BE331" s="333" t="s">
        <v>1131</v>
      </c>
      <c r="BF331" s="333">
        <v>3.2291102301790278</v>
      </c>
      <c r="BG331" s="333">
        <v>163.40513266637666</v>
      </c>
      <c r="BH331" s="333">
        <v>43.331362275449095</v>
      </c>
      <c r="BI331" s="333">
        <v>11.67492</v>
      </c>
      <c r="BJ331" s="420">
        <v>0.73725295741636421</v>
      </c>
      <c r="BK331" s="333" t="s">
        <v>1132</v>
      </c>
      <c r="BL331" s="333" t="s">
        <v>1136</v>
      </c>
    </row>
    <row r="332" spans="1:64" ht="20.25" customHeight="1" thickBot="1" x14ac:dyDescent="0.35">
      <c r="A332" s="431" t="s">
        <v>1103</v>
      </c>
      <c r="B332" s="330" t="s">
        <v>952</v>
      </c>
      <c r="C332" s="10" t="s">
        <v>945</v>
      </c>
      <c r="D332" s="10" t="s">
        <v>1241</v>
      </c>
      <c r="G332" s="15" t="s">
        <v>983</v>
      </c>
      <c r="H332" s="15" t="s">
        <v>984</v>
      </c>
      <c r="J332" s="330" t="s">
        <v>992</v>
      </c>
      <c r="K332" s="16">
        <v>45275</v>
      </c>
      <c r="L332" s="341">
        <v>45282</v>
      </c>
      <c r="M332" s="342">
        <v>45315</v>
      </c>
      <c r="N332" s="340">
        <v>8.3000000000000007</v>
      </c>
      <c r="O332" s="349">
        <v>9.3699999999999992</v>
      </c>
      <c r="P332" s="350">
        <v>20.72</v>
      </c>
      <c r="Q332" s="343">
        <v>23.82</v>
      </c>
      <c r="R332" s="343">
        <v>58.94</v>
      </c>
      <c r="S332" s="29">
        <f t="shared" si="128"/>
        <v>0.97173959088777828</v>
      </c>
      <c r="T332" s="29">
        <f t="shared" si="129"/>
        <v>1.7704101315139062</v>
      </c>
      <c r="U332" s="356">
        <f t="shared" si="159"/>
        <v>49.192499999999995</v>
      </c>
      <c r="V332" s="363">
        <f t="shared" si="160"/>
        <v>58.613498</v>
      </c>
      <c r="W332" s="363">
        <f t="shared" si="161"/>
        <v>55.093725999999997</v>
      </c>
      <c r="X332" s="346">
        <v>62</v>
      </c>
      <c r="Y332" s="346">
        <v>32</v>
      </c>
      <c r="Z332" s="346">
        <v>6</v>
      </c>
      <c r="AA332" s="351" t="s">
        <v>876</v>
      </c>
      <c r="AB332" s="351" t="s">
        <v>877</v>
      </c>
      <c r="AC332" s="347">
        <v>1.67</v>
      </c>
      <c r="AE332" s="346">
        <v>49</v>
      </c>
      <c r="AF332" s="348">
        <v>1334</v>
      </c>
      <c r="AG332" s="441">
        <v>15858</v>
      </c>
      <c r="AH332" s="330">
        <v>11765.0502</v>
      </c>
      <c r="AI332" s="441">
        <v>12147</v>
      </c>
      <c r="AJ332" s="330">
        <v>8681.4609</v>
      </c>
      <c r="AK332" s="441">
        <v>2830</v>
      </c>
      <c r="AL332" s="330">
        <v>1706.49</v>
      </c>
      <c r="AM332" s="330">
        <f t="shared" si="133"/>
        <v>163.24648478983144</v>
      </c>
      <c r="AN332" s="339" t="s">
        <v>997</v>
      </c>
      <c r="AU332" s="346">
        <v>17726.5</v>
      </c>
      <c r="AV332" s="348">
        <v>1.1200000000000001</v>
      </c>
      <c r="AZ332" s="333">
        <v>2.8317647058823532</v>
      </c>
      <c r="BA332" s="333">
        <v>51.152392173913043</v>
      </c>
      <c r="BB332" s="333">
        <v>43.382142857142853</v>
      </c>
      <c r="BC332" s="333">
        <v>14.045185185185185</v>
      </c>
      <c r="BD332" s="333">
        <v>9.5460046456213909</v>
      </c>
      <c r="BE332" s="333" t="s">
        <v>1125</v>
      </c>
      <c r="BF332" s="333">
        <v>2.8321058823529413</v>
      </c>
      <c r="BG332" s="333">
        <v>51.043584167029145</v>
      </c>
      <c r="BH332" s="333">
        <v>43.32066317365269</v>
      </c>
      <c r="BI332" s="333">
        <v>10.0182</v>
      </c>
      <c r="BJ332" s="420">
        <v>0.47608820475001107</v>
      </c>
      <c r="BK332" s="333" t="s">
        <v>1130</v>
      </c>
      <c r="BL332" s="333" t="s">
        <v>1136</v>
      </c>
    </row>
    <row r="333" spans="1:64" ht="20.25" customHeight="1" thickBot="1" x14ac:dyDescent="0.35">
      <c r="A333" s="431" t="s">
        <v>1104</v>
      </c>
      <c r="B333" s="330" t="s">
        <v>952</v>
      </c>
      <c r="C333" s="10" t="s">
        <v>946</v>
      </c>
      <c r="D333" s="10" t="s">
        <v>1240</v>
      </c>
      <c r="G333" s="15" t="s">
        <v>985</v>
      </c>
      <c r="H333" s="15" t="s">
        <v>986</v>
      </c>
      <c r="J333" s="330" t="s">
        <v>992</v>
      </c>
      <c r="K333" s="16">
        <v>45275</v>
      </c>
      <c r="L333" s="341">
        <v>45282</v>
      </c>
      <c r="M333" s="342">
        <v>45315</v>
      </c>
      <c r="N333" s="340">
        <v>8.11</v>
      </c>
      <c r="O333" s="349">
        <v>38.43</v>
      </c>
      <c r="P333" s="350">
        <v>80.42</v>
      </c>
      <c r="Q333" s="343">
        <v>89.58</v>
      </c>
      <c r="R333" s="343">
        <v>206</v>
      </c>
      <c r="S333" s="29">
        <f t="shared" si="128"/>
        <v>1.5846703844643488</v>
      </c>
      <c r="T333" s="29">
        <f t="shared" si="129"/>
        <v>2.3138672203691533</v>
      </c>
      <c r="U333" s="356">
        <f t="shared" si="159"/>
        <v>201.75749999999999</v>
      </c>
      <c r="V333" s="363">
        <f t="shared" si="160"/>
        <v>215.40382200000002</v>
      </c>
      <c r="W333" s="363">
        <f t="shared" si="161"/>
        <v>225.96071400000002</v>
      </c>
      <c r="X333" s="346">
        <v>62</v>
      </c>
      <c r="Y333" s="346">
        <v>34</v>
      </c>
      <c r="Z333" s="346">
        <v>4</v>
      </c>
      <c r="AA333" s="351" t="s">
        <v>876</v>
      </c>
      <c r="AB333" s="351" t="s">
        <v>877</v>
      </c>
      <c r="AC333" s="347">
        <v>2.4700000000000002</v>
      </c>
      <c r="AE333" s="346">
        <v>63</v>
      </c>
      <c r="AF333" s="348">
        <v>1433</v>
      </c>
      <c r="AG333" s="441">
        <v>67340</v>
      </c>
      <c r="AH333" s="330">
        <v>49959.546000000002</v>
      </c>
      <c r="AI333" s="441">
        <v>10251</v>
      </c>
      <c r="AJ333" s="330">
        <v>7326.3896999999997</v>
      </c>
      <c r="AK333" s="441">
        <v>2982</v>
      </c>
      <c r="AL333" s="330">
        <v>1798.146</v>
      </c>
      <c r="AM333" s="330">
        <f t="shared" si="133"/>
        <v>739.65312013722973</v>
      </c>
      <c r="AN333" s="339" t="s">
        <v>997</v>
      </c>
      <c r="AU333" s="346">
        <v>74451.3</v>
      </c>
      <c r="AV333" s="348" t="s">
        <v>318</v>
      </c>
      <c r="AZ333" s="333">
        <v>3.0419181585677748</v>
      </c>
      <c r="BA333" s="333">
        <v>217.21541739130436</v>
      </c>
      <c r="BB333" s="333">
        <v>36.61071428571428</v>
      </c>
      <c r="BC333" s="333">
        <v>14.799555555555553</v>
      </c>
      <c r="BD333" s="333">
        <v>42.843081817996548</v>
      </c>
      <c r="BE333" s="333" t="s">
        <v>1131</v>
      </c>
      <c r="BF333" s="333">
        <v>3.0422846547314575</v>
      </c>
      <c r="BG333" s="333">
        <v>216.75337103088299</v>
      </c>
      <c r="BH333" s="333">
        <v>36.558830838323352</v>
      </c>
      <c r="BI333" s="333">
        <v>10.556280000000001</v>
      </c>
      <c r="BJ333" s="420">
        <v>0.81208178243886442</v>
      </c>
      <c r="BK333" s="333" t="s">
        <v>1132</v>
      </c>
      <c r="BL333" s="333" t="s">
        <v>1136</v>
      </c>
    </row>
    <row r="334" spans="1:64" ht="20.25" customHeight="1" thickBot="1" x14ac:dyDescent="0.35">
      <c r="A334" s="431" t="s">
        <v>1105</v>
      </c>
      <c r="B334" s="330" t="s">
        <v>952</v>
      </c>
      <c r="C334" s="10" t="s">
        <v>947</v>
      </c>
      <c r="D334" s="10" t="s">
        <v>1241</v>
      </c>
      <c r="G334" s="15" t="s">
        <v>985</v>
      </c>
      <c r="H334" s="15" t="s">
        <v>986</v>
      </c>
      <c r="J334" s="330" t="s">
        <v>992</v>
      </c>
      <c r="K334" s="16">
        <v>45275</v>
      </c>
      <c r="L334" s="341">
        <v>45282</v>
      </c>
      <c r="M334" s="342">
        <v>45315</v>
      </c>
      <c r="N334" s="340">
        <v>8.15</v>
      </c>
      <c r="O334" s="349">
        <v>13.72</v>
      </c>
      <c r="P334" s="350">
        <v>27.3</v>
      </c>
      <c r="Q334" s="343">
        <v>29.1</v>
      </c>
      <c r="R334" s="343">
        <v>79.09</v>
      </c>
      <c r="S334" s="29">
        <f t="shared" si="128"/>
        <v>1.1373541113707328</v>
      </c>
      <c r="T334" s="29">
        <f t="shared" si="129"/>
        <v>1.8981215755411076</v>
      </c>
      <c r="U334" s="356">
        <f t="shared" si="159"/>
        <v>72.03</v>
      </c>
      <c r="V334" s="363">
        <f t="shared" si="160"/>
        <v>82.083488000000003</v>
      </c>
      <c r="W334" s="363">
        <f t="shared" si="161"/>
        <v>80.670856000000015</v>
      </c>
      <c r="X334" s="346">
        <v>64</v>
      </c>
      <c r="Y334" s="346">
        <v>30</v>
      </c>
      <c r="Z334" s="346">
        <v>6</v>
      </c>
      <c r="AA334" s="351" t="s">
        <v>876</v>
      </c>
      <c r="AB334" s="351" t="s">
        <v>877</v>
      </c>
      <c r="AC334" s="347">
        <v>1.61</v>
      </c>
      <c r="AE334" s="346">
        <v>37</v>
      </c>
      <c r="AF334" s="348">
        <v>1145</v>
      </c>
      <c r="AG334" s="441">
        <v>21614</v>
      </c>
      <c r="AH334" s="330">
        <v>16035.426600000001</v>
      </c>
      <c r="AI334" s="441">
        <v>13017</v>
      </c>
      <c r="AJ334" s="330">
        <v>9303.2499000000007</v>
      </c>
      <c r="AK334" s="441">
        <v>3420</v>
      </c>
      <c r="AL334" s="330">
        <v>2062.2599999999998</v>
      </c>
      <c r="AM334" s="330">
        <f t="shared" si="133"/>
        <v>212.71643885738186</v>
      </c>
      <c r="AN334" s="339" t="s">
        <v>997</v>
      </c>
      <c r="AU334" s="346">
        <v>21271.8</v>
      </c>
      <c r="AV334" s="348" t="s">
        <v>318</v>
      </c>
      <c r="AZ334" s="333">
        <v>2.4305626598465473</v>
      </c>
      <c r="BA334" s="333">
        <v>69.719246086956531</v>
      </c>
      <c r="BB334" s="333">
        <v>46.489285714285714</v>
      </c>
      <c r="BC334" s="333">
        <v>16.973333333333329</v>
      </c>
      <c r="BD334" s="333">
        <v>12.376808873400261</v>
      </c>
      <c r="BE334" s="333" t="s">
        <v>1133</v>
      </c>
      <c r="BF334" s="333">
        <v>2.4308554987212276</v>
      </c>
      <c r="BG334" s="333">
        <v>69.570943888647236</v>
      </c>
      <c r="BH334" s="333">
        <v>46.423402694610779</v>
      </c>
      <c r="BI334" s="333">
        <v>12.1068</v>
      </c>
      <c r="BJ334" s="420">
        <v>0.53297998022702464</v>
      </c>
      <c r="BK334" s="333" t="s">
        <v>1129</v>
      </c>
      <c r="BL334" s="333" t="s">
        <v>1136</v>
      </c>
    </row>
    <row r="335" spans="1:64" ht="20.25" customHeight="1" thickBot="1" x14ac:dyDescent="0.35">
      <c r="A335" s="431" t="s">
        <v>1106</v>
      </c>
      <c r="B335" s="330" t="s">
        <v>952</v>
      </c>
      <c r="C335" s="10" t="s">
        <v>948</v>
      </c>
      <c r="D335" s="10" t="s">
        <v>1240</v>
      </c>
      <c r="G335" s="15" t="s">
        <v>987</v>
      </c>
      <c r="H335" s="15" t="s">
        <v>988</v>
      </c>
      <c r="J335" s="330" t="s">
        <v>992</v>
      </c>
      <c r="K335" s="16">
        <v>45275</v>
      </c>
      <c r="L335" s="341">
        <v>45282</v>
      </c>
      <c r="M335" s="342">
        <v>45315</v>
      </c>
      <c r="N335" s="340">
        <v>8.02</v>
      </c>
      <c r="O335" s="349">
        <v>46.44</v>
      </c>
      <c r="P335" s="350">
        <v>88.06</v>
      </c>
      <c r="Q335" s="343">
        <v>89.02</v>
      </c>
      <c r="R335" s="343">
        <v>213</v>
      </c>
      <c r="S335" s="29">
        <f t="shared" si="128"/>
        <v>1.6668922110665363</v>
      </c>
      <c r="T335" s="29">
        <f t="shared" si="129"/>
        <v>2.3283796034387376</v>
      </c>
      <c r="U335" s="356">
        <f>O335*12.43</f>
        <v>577.24919999999997</v>
      </c>
      <c r="V335" s="356">
        <f>13.223*O335-1.5217</f>
        <v>612.55442000000005</v>
      </c>
      <c r="W335" s="356">
        <f>-0.144*(O335*O335)+11.253*O335+3.5274</f>
        <v>215.55572160000003</v>
      </c>
      <c r="X335" s="346">
        <v>32</v>
      </c>
      <c r="Y335" s="346">
        <v>62</v>
      </c>
      <c r="Z335" s="346">
        <v>6</v>
      </c>
      <c r="AA335" s="351" t="s">
        <v>1110</v>
      </c>
      <c r="AB335" s="351" t="s">
        <v>880</v>
      </c>
      <c r="AC335" s="347">
        <v>2.91</v>
      </c>
      <c r="AE335" s="346">
        <v>58</v>
      </c>
      <c r="AF335" s="348">
        <v>1386</v>
      </c>
      <c r="AG335" s="441">
        <v>58086</v>
      </c>
      <c r="AH335" s="330">
        <v>43094.003400000001</v>
      </c>
      <c r="AI335" s="441">
        <v>10510</v>
      </c>
      <c r="AJ335" s="330">
        <v>7511.4970000000003</v>
      </c>
      <c r="AK335" s="441">
        <v>4219</v>
      </c>
      <c r="AL335" s="330">
        <v>2544.0569999999998</v>
      </c>
      <c r="AM335" s="330">
        <f t="shared" si="133"/>
        <v>607.75541654580161</v>
      </c>
      <c r="AN335" s="339" t="s">
        <v>997</v>
      </c>
      <c r="AU335" s="346">
        <v>92532.33</v>
      </c>
      <c r="AV335" s="348">
        <v>2.02</v>
      </c>
      <c r="AZ335" s="333">
        <v>2.9421483375959072</v>
      </c>
      <c r="BA335" s="333">
        <v>187.36523217391306</v>
      </c>
      <c r="BB335" s="333">
        <v>37.535714285714285</v>
      </c>
      <c r="BC335" s="333">
        <v>20.938740740740737</v>
      </c>
      <c r="BD335" s="333">
        <v>34.651410060331884</v>
      </c>
      <c r="BE335" s="333" t="s">
        <v>1131</v>
      </c>
      <c r="BF335" s="333">
        <v>2.9425028132992326</v>
      </c>
      <c r="BG335" s="333">
        <v>186.96668116572422</v>
      </c>
      <c r="BH335" s="333">
        <v>37.482519960079841</v>
      </c>
      <c r="BI335" s="333">
        <v>14.935260000000001</v>
      </c>
      <c r="BJ335" s="420">
        <v>0.77154716143230717</v>
      </c>
      <c r="BK335" s="333" t="s">
        <v>1132</v>
      </c>
      <c r="BL335" s="333" t="s">
        <v>1136</v>
      </c>
    </row>
    <row r="336" spans="1:64" ht="20.25" customHeight="1" thickBot="1" x14ac:dyDescent="0.35">
      <c r="A336" s="431" t="s">
        <v>1107</v>
      </c>
      <c r="B336" s="330" t="s">
        <v>952</v>
      </c>
      <c r="C336" s="10" t="s">
        <v>949</v>
      </c>
      <c r="D336" s="10" t="s">
        <v>1241</v>
      </c>
      <c r="G336" s="15" t="s">
        <v>987</v>
      </c>
      <c r="H336" s="15" t="s">
        <v>988</v>
      </c>
      <c r="J336" s="330" t="s">
        <v>992</v>
      </c>
      <c r="K336" s="16">
        <v>45275</v>
      </c>
      <c r="L336" s="341">
        <v>45282</v>
      </c>
      <c r="M336" s="342">
        <v>45315</v>
      </c>
      <c r="N336" s="340">
        <v>8.19</v>
      </c>
      <c r="O336" s="349">
        <v>13.55</v>
      </c>
      <c r="P336" s="350">
        <v>27.12</v>
      </c>
      <c r="Q336" s="343">
        <v>30</v>
      </c>
      <c r="R336" s="343">
        <v>72.3</v>
      </c>
      <c r="S336" s="29">
        <f t="shared" si="128"/>
        <v>1.1319392952104246</v>
      </c>
      <c r="T336" s="29">
        <f t="shared" si="129"/>
        <v>1.8591382972945307</v>
      </c>
      <c r="U336" s="356">
        <f t="shared" ref="U336:U338" si="162">O336*5.25</f>
        <v>71.137500000000003</v>
      </c>
      <c r="V336" s="363">
        <f t="shared" ref="V336:V338" si="163">5.3954*O336+8.0586</f>
        <v>81.166270000000011</v>
      </c>
      <c r="W336" s="363">
        <f t="shared" ref="W336:W338" si="164">O336*5.8798</f>
        <v>79.671290000000013</v>
      </c>
      <c r="X336" s="346">
        <v>62</v>
      </c>
      <c r="Y336" s="346">
        <v>34</v>
      </c>
      <c r="Z336" s="346">
        <v>4</v>
      </c>
      <c r="AA336" s="351" t="s">
        <v>876</v>
      </c>
      <c r="AB336" s="351" t="s">
        <v>877</v>
      </c>
      <c r="AC336" s="347">
        <v>1.6</v>
      </c>
      <c r="AE336" s="346">
        <v>39</v>
      </c>
      <c r="AF336" s="348">
        <v>1091</v>
      </c>
      <c r="AG336" s="441">
        <v>24010</v>
      </c>
      <c r="AH336" s="330">
        <v>17813.019</v>
      </c>
      <c r="AI336" s="441">
        <v>12759</v>
      </c>
      <c r="AJ336" s="330">
        <v>9118.8572999999997</v>
      </c>
      <c r="AK336" s="441">
        <v>3262</v>
      </c>
      <c r="AL336" s="330">
        <v>1966.9859999999999</v>
      </c>
      <c r="AM336" s="330">
        <f t="shared" si="133"/>
        <v>239.25893278277189</v>
      </c>
      <c r="AN336" s="339" t="s">
        <v>997</v>
      </c>
      <c r="AU336" s="346">
        <v>22689.919999999998</v>
      </c>
      <c r="AV336" s="348">
        <v>2</v>
      </c>
      <c r="AZ336" s="333">
        <v>2.3159335038363169</v>
      </c>
      <c r="BA336" s="333">
        <v>77.447908695652174</v>
      </c>
      <c r="BB336" s="333">
        <v>45.567857142857143</v>
      </c>
      <c r="BC336" s="333">
        <v>16.189185185185185</v>
      </c>
      <c r="BD336" s="333">
        <v>13.937389868585754</v>
      </c>
      <c r="BE336" s="333" t="s">
        <v>1133</v>
      </c>
      <c r="BF336" s="333">
        <v>2.3162125319693092</v>
      </c>
      <c r="BG336" s="333">
        <v>77.283166594171377</v>
      </c>
      <c r="BH336" s="333">
        <v>45.503279940119761</v>
      </c>
      <c r="BI336" s="333">
        <v>11.54748</v>
      </c>
      <c r="BJ336" s="420">
        <v>0.56555497946985211</v>
      </c>
      <c r="BK336" s="333" t="s">
        <v>1129</v>
      </c>
      <c r="BL336" s="333" t="s">
        <v>1136</v>
      </c>
    </row>
    <row r="337" spans="1:64" ht="20.25" customHeight="1" thickBot="1" x14ac:dyDescent="0.35">
      <c r="A337" s="431" t="s">
        <v>1108</v>
      </c>
      <c r="B337" s="330" t="s">
        <v>952</v>
      </c>
      <c r="C337" s="10" t="s">
        <v>950</v>
      </c>
      <c r="D337" s="10" t="s">
        <v>1240</v>
      </c>
      <c r="G337" s="15" t="s">
        <v>989</v>
      </c>
      <c r="H337" s="15" t="s">
        <v>990</v>
      </c>
      <c r="J337" s="330" t="s">
        <v>992</v>
      </c>
      <c r="K337" s="16">
        <v>45275</v>
      </c>
      <c r="L337" s="341">
        <v>45282</v>
      </c>
      <c r="M337" s="342">
        <v>45315</v>
      </c>
      <c r="N337" s="340">
        <v>8.1</v>
      </c>
      <c r="O337" s="349">
        <v>36.18</v>
      </c>
      <c r="P337" s="350">
        <v>78.8</v>
      </c>
      <c r="Q337" s="343">
        <v>95.02</v>
      </c>
      <c r="R337" s="343">
        <v>202.4</v>
      </c>
      <c r="S337" s="29">
        <f t="shared" si="128"/>
        <v>1.5584685625237948</v>
      </c>
      <c r="T337" s="29">
        <f t="shared" si="129"/>
        <v>2.3062105081677613</v>
      </c>
      <c r="U337" s="356">
        <f t="shared" si="162"/>
        <v>189.94499999999999</v>
      </c>
      <c r="V337" s="363">
        <f t="shared" si="163"/>
        <v>203.26417200000003</v>
      </c>
      <c r="W337" s="363">
        <f t="shared" si="164"/>
        <v>212.73116400000001</v>
      </c>
      <c r="X337" s="346">
        <v>60</v>
      </c>
      <c r="Y337" s="346">
        <v>36</v>
      </c>
      <c r="Z337" s="346">
        <v>4</v>
      </c>
      <c r="AA337" s="351" t="s">
        <v>876</v>
      </c>
      <c r="AB337" s="351" t="s">
        <v>877</v>
      </c>
      <c r="AC337" s="347">
        <v>2.6</v>
      </c>
      <c r="AE337" s="346">
        <v>62</v>
      </c>
      <c r="AF337" s="348">
        <v>1157</v>
      </c>
      <c r="AG337" s="441">
        <v>55595</v>
      </c>
      <c r="AH337" s="330">
        <v>41245.930500000002</v>
      </c>
      <c r="AI337" s="441">
        <v>9506</v>
      </c>
      <c r="AJ337" s="330">
        <v>6793.9381999999996</v>
      </c>
      <c r="AK337" s="441">
        <v>2451</v>
      </c>
      <c r="AL337" s="330">
        <v>1477.953</v>
      </c>
      <c r="AM337" s="330">
        <f t="shared" si="133"/>
        <v>641.34792905614802</v>
      </c>
      <c r="AN337" s="339" t="s">
        <v>997</v>
      </c>
      <c r="AU337" s="346">
        <v>69487.88</v>
      </c>
      <c r="AV337" s="348">
        <v>2.14</v>
      </c>
      <c r="AZ337" s="333">
        <v>2.4560358056265983</v>
      </c>
      <c r="BA337" s="333">
        <v>179.33013260869566</v>
      </c>
      <c r="BB337" s="333">
        <v>33.950000000000003</v>
      </c>
      <c r="BC337" s="333">
        <v>12.164222222222222</v>
      </c>
      <c r="BD337" s="333">
        <v>37.346578780154161</v>
      </c>
      <c r="BE337" s="333" t="s">
        <v>1131</v>
      </c>
      <c r="BF337" s="333">
        <v>2.4563317135549871</v>
      </c>
      <c r="BG337" s="333">
        <v>178.94867333623316</v>
      </c>
      <c r="BH337" s="333">
        <v>33.901887225548897</v>
      </c>
      <c r="BI337" s="333">
        <v>8.676540000000001</v>
      </c>
      <c r="BJ337" s="420">
        <v>0.79893709779505562</v>
      </c>
      <c r="BK337" s="333" t="s">
        <v>1132</v>
      </c>
      <c r="BL337" s="333" t="s">
        <v>1136</v>
      </c>
    </row>
    <row r="338" spans="1:64" ht="20.25" customHeight="1" thickBot="1" x14ac:dyDescent="0.35">
      <c r="A338" s="431" t="s">
        <v>1109</v>
      </c>
      <c r="B338" s="330" t="s">
        <v>952</v>
      </c>
      <c r="C338" s="10" t="s">
        <v>951</v>
      </c>
      <c r="D338" s="10" t="s">
        <v>1241</v>
      </c>
      <c r="G338" s="15" t="s">
        <v>989</v>
      </c>
      <c r="H338" s="15" t="s">
        <v>990</v>
      </c>
      <c r="J338" s="330" t="s">
        <v>992</v>
      </c>
      <c r="K338" s="16">
        <v>45275</v>
      </c>
      <c r="L338" s="341">
        <v>45282</v>
      </c>
      <c r="M338" s="342">
        <v>45289</v>
      </c>
      <c r="N338" s="340">
        <v>8.16</v>
      </c>
      <c r="O338" s="349">
        <v>12.28</v>
      </c>
      <c r="P338" s="350">
        <v>25.88</v>
      </c>
      <c r="Q338" s="343">
        <v>30.47</v>
      </c>
      <c r="R338" s="343">
        <v>73.52</v>
      </c>
      <c r="S338" s="29">
        <f t="shared" si="128"/>
        <v>1.0891983668051488</v>
      </c>
      <c r="T338" s="29">
        <f t="shared" si="129"/>
        <v>1.8664054983780549</v>
      </c>
      <c r="U338" s="356">
        <f t="shared" si="162"/>
        <v>64.47</v>
      </c>
      <c r="V338" s="363">
        <f t="shared" si="163"/>
        <v>74.314111999999994</v>
      </c>
      <c r="W338" s="363">
        <f t="shared" si="164"/>
        <v>72.203944000000007</v>
      </c>
      <c r="X338" s="346">
        <v>62</v>
      </c>
      <c r="Y338" s="346">
        <v>34</v>
      </c>
      <c r="Z338" s="346">
        <v>4</v>
      </c>
      <c r="AA338" s="351" t="s">
        <v>876</v>
      </c>
      <c r="AB338" s="351" t="s">
        <v>877</v>
      </c>
      <c r="AC338" s="347">
        <v>1.47</v>
      </c>
      <c r="AE338" s="346">
        <v>42</v>
      </c>
      <c r="AF338" s="348">
        <v>1028</v>
      </c>
      <c r="AG338" s="441">
        <v>23511</v>
      </c>
      <c r="AH338" s="330">
        <v>17442.8109</v>
      </c>
      <c r="AI338" s="441">
        <v>10790</v>
      </c>
      <c r="AJ338" s="330">
        <v>7711.6130000000003</v>
      </c>
      <c r="AK338" s="441">
        <v>3237</v>
      </c>
      <c r="AL338" s="330">
        <v>1951.9109999999998</v>
      </c>
      <c r="AM338" s="330">
        <f t="shared" si="133"/>
        <v>250.93642450322284</v>
      </c>
      <c r="AN338" s="339" t="s">
        <v>997</v>
      </c>
      <c r="AU338" s="346">
        <v>20917.27</v>
      </c>
      <c r="AV338" s="348">
        <v>2.2200000000000002</v>
      </c>
      <c r="AZ338" s="333">
        <v>2.1821994884910483</v>
      </c>
      <c r="BA338" s="333">
        <v>75.838308260869567</v>
      </c>
      <c r="BB338" s="333">
        <v>38.535714285714285</v>
      </c>
      <c r="BC338" s="333">
        <v>16.065111111111108</v>
      </c>
      <c r="BD338" s="333">
        <v>14.514565193970968</v>
      </c>
      <c r="BE338" s="333" t="s">
        <v>1133</v>
      </c>
      <c r="BF338" s="333">
        <v>2.1824624040920715</v>
      </c>
      <c r="BG338" s="333">
        <v>75.676989995650274</v>
      </c>
      <c r="BH338" s="333">
        <v>38.481102794411179</v>
      </c>
      <c r="BI338" s="333">
        <v>11.45898</v>
      </c>
      <c r="BJ338" s="420">
        <v>0.59215387505659944</v>
      </c>
      <c r="BK338" s="333" t="s">
        <v>1129</v>
      </c>
      <c r="BL338" s="333" t="s">
        <v>1136</v>
      </c>
    </row>
    <row r="339" spans="1:64" ht="20.25" customHeight="1" x14ac:dyDescent="0.3">
      <c r="A339" s="347" t="s">
        <v>1138</v>
      </c>
      <c r="K339" s="422" t="s">
        <v>1238</v>
      </c>
      <c r="L339" s="423">
        <v>45433</v>
      </c>
      <c r="M339" s="423">
        <v>45475</v>
      </c>
      <c r="N339" s="422">
        <v>8.02</v>
      </c>
      <c r="O339" s="422">
        <v>26.4</v>
      </c>
      <c r="R339" s="422">
        <v>120.4</v>
      </c>
      <c r="V339" s="422">
        <v>120.4</v>
      </c>
      <c r="X339" s="421">
        <v>58</v>
      </c>
      <c r="Y339" s="421">
        <v>38</v>
      </c>
      <c r="Z339" s="421">
        <v>4</v>
      </c>
      <c r="AC339" s="424">
        <v>2.581</v>
      </c>
      <c r="AF339" s="426">
        <v>1036.3900000000001</v>
      </c>
      <c r="AG339" s="443">
        <v>33453</v>
      </c>
      <c r="AI339" s="443">
        <v>11909</v>
      </c>
      <c r="AK339" s="443">
        <v>2212</v>
      </c>
      <c r="AU339" s="428">
        <v>43139.38</v>
      </c>
      <c r="BD339" s="422">
        <v>20.861678472674107</v>
      </c>
      <c r="BE339" s="333">
        <f>0.1903*LN(BD339)+0.0838</f>
        <v>0.66191501707878986</v>
      </c>
      <c r="BJ339" s="429">
        <v>0.65951034057140412</v>
      </c>
    </row>
    <row r="340" spans="1:64" ht="20.25" customHeight="1" x14ac:dyDescent="0.3">
      <c r="A340" s="347" t="s">
        <v>1139</v>
      </c>
      <c r="K340" s="422" t="s">
        <v>1238</v>
      </c>
      <c r="L340" s="423">
        <v>45433</v>
      </c>
      <c r="M340" s="423">
        <v>45475</v>
      </c>
      <c r="N340" s="422">
        <v>8.31</v>
      </c>
      <c r="O340" s="424">
        <v>9.2200000000000006</v>
      </c>
      <c r="R340" s="422">
        <v>52.9</v>
      </c>
      <c r="V340" s="422">
        <v>52.9</v>
      </c>
      <c r="X340" s="421">
        <v>50</v>
      </c>
      <c r="Y340" s="421">
        <v>34</v>
      </c>
      <c r="Z340" s="421">
        <v>16</v>
      </c>
      <c r="AC340" s="424">
        <v>1.5589999999999999</v>
      </c>
      <c r="AF340" s="426">
        <v>759.73</v>
      </c>
      <c r="AG340" s="443">
        <v>11797</v>
      </c>
      <c r="AI340" s="443">
        <v>7144</v>
      </c>
      <c r="AK340" s="443">
        <v>1641</v>
      </c>
      <c r="AU340" s="428">
        <v>7487.33</v>
      </c>
      <c r="BD340" s="422">
        <v>9.2759133335889441</v>
      </c>
      <c r="BE340" s="333">
        <f t="shared" ref="BE340:BE403" si="165">0.1903*LN(BD340)+0.0838</f>
        <v>0.50767823081409214</v>
      </c>
      <c r="BJ340" s="429">
        <v>0.51896906254772146</v>
      </c>
    </row>
    <row r="341" spans="1:64" ht="20.25" customHeight="1" x14ac:dyDescent="0.3">
      <c r="A341" s="347" t="s">
        <v>1140</v>
      </c>
      <c r="K341" s="422" t="s">
        <v>1238</v>
      </c>
      <c r="L341" s="423">
        <v>45433</v>
      </c>
      <c r="M341" s="423">
        <v>45475</v>
      </c>
      <c r="N341" s="422">
        <v>8.44</v>
      </c>
      <c r="O341" s="422">
        <v>1.02</v>
      </c>
      <c r="R341" s="422">
        <v>4.6100000000000003</v>
      </c>
      <c r="V341" s="422">
        <v>4.6100000000000003</v>
      </c>
      <c r="X341" s="421">
        <v>56</v>
      </c>
      <c r="Y341" s="421">
        <v>40</v>
      </c>
      <c r="Z341" s="421">
        <v>4</v>
      </c>
      <c r="AC341" s="424">
        <v>2.65</v>
      </c>
      <c r="AF341" s="426">
        <v>747.2</v>
      </c>
      <c r="AG341" s="443">
        <v>767</v>
      </c>
      <c r="AI341" s="443">
        <v>11485</v>
      </c>
      <c r="AK341" s="443">
        <v>984</v>
      </c>
      <c r="AU341" s="428">
        <v>550.58000000000004</v>
      </c>
      <c r="BD341" s="422">
        <v>0.51643405242456319</v>
      </c>
      <c r="BE341" s="333">
        <f t="shared" si="165"/>
        <v>-4.1951701547894363E-2</v>
      </c>
      <c r="BJ341" s="429">
        <v>4.9519519697676956E-2</v>
      </c>
    </row>
    <row r="342" spans="1:64" ht="20.25" customHeight="1" x14ac:dyDescent="0.3">
      <c r="A342" s="347" t="s">
        <v>1141</v>
      </c>
      <c r="K342" s="422" t="s">
        <v>1238</v>
      </c>
      <c r="L342" s="423">
        <v>45433</v>
      </c>
      <c r="M342" s="423">
        <v>45475</v>
      </c>
      <c r="N342" s="422">
        <v>8.56</v>
      </c>
      <c r="O342" s="422">
        <v>6.2</v>
      </c>
      <c r="R342" s="422">
        <v>37.68</v>
      </c>
      <c r="V342" s="422">
        <v>37.68</v>
      </c>
      <c r="X342" s="421">
        <v>48</v>
      </c>
      <c r="Y342" s="421">
        <v>36</v>
      </c>
      <c r="Z342" s="421">
        <v>16</v>
      </c>
      <c r="AC342" s="424">
        <v>1.629</v>
      </c>
      <c r="AF342" s="426">
        <v>633.38</v>
      </c>
      <c r="AG342" s="443">
        <v>8144</v>
      </c>
      <c r="AI342" s="443">
        <v>6311</v>
      </c>
      <c r="AK342" s="443">
        <v>1118</v>
      </c>
      <c r="AU342" s="428">
        <v>5511.82</v>
      </c>
      <c r="BD342" s="422">
        <v>7.0098839866425431</v>
      </c>
      <c r="BE342" s="333">
        <f t="shared" si="165"/>
        <v>0.454375215076251</v>
      </c>
      <c r="BJ342" s="429">
        <v>0.47161074874067982</v>
      </c>
    </row>
    <row r="343" spans="1:64" ht="20.25" customHeight="1" x14ac:dyDescent="0.3">
      <c r="A343" s="347" t="s">
        <v>1142</v>
      </c>
      <c r="K343" s="422" t="s">
        <v>1238</v>
      </c>
      <c r="L343" s="423">
        <v>45433</v>
      </c>
      <c r="M343" s="423">
        <v>45475</v>
      </c>
      <c r="N343" s="422">
        <v>8.1199999999999992</v>
      </c>
      <c r="O343" s="422">
        <v>11.5</v>
      </c>
      <c r="R343" s="422">
        <v>75.5</v>
      </c>
      <c r="V343" s="422">
        <v>75.5</v>
      </c>
      <c r="X343" s="421">
        <v>44</v>
      </c>
      <c r="Y343" s="421">
        <v>40</v>
      </c>
      <c r="Z343" s="421">
        <v>16</v>
      </c>
      <c r="AC343" s="424">
        <v>2.4089999999999998</v>
      </c>
      <c r="AF343" s="426">
        <v>886.41</v>
      </c>
      <c r="AG343" s="443">
        <v>13483</v>
      </c>
      <c r="AI343" s="443">
        <v>10452</v>
      </c>
      <c r="AK343" s="443">
        <v>1571</v>
      </c>
      <c r="AU343" s="428">
        <v>8827.82</v>
      </c>
      <c r="BD343" s="422">
        <v>9.1560593960853573</v>
      </c>
      <c r="BE343" s="333">
        <f t="shared" si="165"/>
        <v>0.505203343713024</v>
      </c>
      <c r="BJ343" s="429">
        <v>0.48057671737483992</v>
      </c>
    </row>
    <row r="344" spans="1:64" ht="20.25" customHeight="1" x14ac:dyDescent="0.3">
      <c r="A344" s="347" t="s">
        <v>1143</v>
      </c>
      <c r="K344" s="422" t="s">
        <v>1238</v>
      </c>
      <c r="L344" s="423">
        <v>45433</v>
      </c>
      <c r="M344" s="423">
        <v>45475</v>
      </c>
      <c r="N344" s="422">
        <v>8.42</v>
      </c>
      <c r="O344" s="422">
        <v>7.04</v>
      </c>
      <c r="R344" s="422">
        <v>46.51</v>
      </c>
      <c r="V344" s="422">
        <v>46.51</v>
      </c>
      <c r="X344" s="421">
        <v>50</v>
      </c>
      <c r="Y344" s="421">
        <v>32</v>
      </c>
      <c r="Z344" s="421">
        <v>18</v>
      </c>
      <c r="AC344" s="424">
        <v>1.5289999999999999</v>
      </c>
      <c r="AF344" s="426">
        <v>636.52</v>
      </c>
      <c r="AG344" s="443">
        <v>8567</v>
      </c>
      <c r="AI344" s="443">
        <v>6969</v>
      </c>
      <c r="AK344" s="443">
        <v>1362</v>
      </c>
      <c r="AU344" s="428">
        <v>6886.49</v>
      </c>
      <c r="BD344" s="422">
        <v>6.9467615638585958</v>
      </c>
      <c r="BE344" s="333">
        <f t="shared" si="165"/>
        <v>0.45265384457678959</v>
      </c>
      <c r="BJ344" s="429">
        <v>0.45575219039790776</v>
      </c>
    </row>
    <row r="345" spans="1:64" ht="20.25" customHeight="1" x14ac:dyDescent="0.3">
      <c r="A345" s="347" t="s">
        <v>1144</v>
      </c>
      <c r="K345" s="422" t="s">
        <v>1238</v>
      </c>
      <c r="L345" s="423">
        <v>45433</v>
      </c>
      <c r="M345" s="423">
        <v>45475</v>
      </c>
      <c r="N345" s="422">
        <v>8.3699999999999992</v>
      </c>
      <c r="O345" s="422">
        <v>4.9000000000000004</v>
      </c>
      <c r="R345" s="422">
        <v>34.53</v>
      </c>
      <c r="V345" s="422">
        <v>34.53</v>
      </c>
      <c r="X345" s="421">
        <v>46</v>
      </c>
      <c r="Y345" s="421">
        <v>32</v>
      </c>
      <c r="Z345" s="421">
        <v>22</v>
      </c>
      <c r="AC345" s="424">
        <v>1.8140000000000001</v>
      </c>
      <c r="AF345" s="426">
        <v>809.09</v>
      </c>
      <c r="AG345" s="443">
        <v>5671</v>
      </c>
      <c r="AI345" s="443">
        <v>9372</v>
      </c>
      <c r="AK345" s="443">
        <v>995</v>
      </c>
      <c r="AU345" s="428">
        <v>5462.93</v>
      </c>
      <c r="BD345" s="422">
        <v>4.1741919825759695</v>
      </c>
      <c r="BE345" s="333">
        <f t="shared" si="165"/>
        <v>0.3557236287090027</v>
      </c>
      <c r="BJ345" s="429">
        <v>0.31312478493121904</v>
      </c>
    </row>
    <row r="346" spans="1:64" ht="20.25" customHeight="1" x14ac:dyDescent="0.3">
      <c r="A346" s="347" t="s">
        <v>1145</v>
      </c>
      <c r="K346" s="422" t="s">
        <v>1238</v>
      </c>
      <c r="L346" s="423">
        <v>45433</v>
      </c>
      <c r="M346" s="423">
        <v>45475</v>
      </c>
      <c r="N346" s="422">
        <v>8.9700000000000006</v>
      </c>
      <c r="O346" s="422">
        <v>3.7</v>
      </c>
      <c r="R346" s="422">
        <v>23.78</v>
      </c>
      <c r="V346" s="422">
        <v>23.78</v>
      </c>
      <c r="X346" s="421">
        <v>52</v>
      </c>
      <c r="Y346" s="421">
        <v>32</v>
      </c>
      <c r="Z346" s="421">
        <v>16</v>
      </c>
      <c r="AC346" s="424">
        <v>1.468</v>
      </c>
      <c r="AF346" s="426">
        <v>843.19</v>
      </c>
      <c r="AG346" s="443">
        <v>5463</v>
      </c>
      <c r="AI346" s="443">
        <v>6615</v>
      </c>
      <c r="AK346" s="443">
        <v>1174</v>
      </c>
      <c r="AU346" s="428">
        <v>4141.8</v>
      </c>
      <c r="BD346" s="422">
        <v>4.5920846738869239</v>
      </c>
      <c r="BE346" s="333">
        <f t="shared" si="165"/>
        <v>0.37388077890317245</v>
      </c>
      <c r="BJ346" s="429">
        <v>0.36063451679819586</v>
      </c>
    </row>
    <row r="347" spans="1:64" ht="20.25" customHeight="1" x14ac:dyDescent="0.3">
      <c r="A347" s="347" t="s">
        <v>1146</v>
      </c>
      <c r="K347" s="422" t="s">
        <v>1238</v>
      </c>
      <c r="L347" s="423">
        <v>45433</v>
      </c>
      <c r="M347" s="423">
        <v>45475</v>
      </c>
      <c r="N347" s="422">
        <v>8.3800000000000008</v>
      </c>
      <c r="O347" s="422">
        <v>22.1</v>
      </c>
      <c r="R347" s="422">
        <v>176.8</v>
      </c>
      <c r="V347" s="422">
        <v>176.8</v>
      </c>
      <c r="X347" s="421">
        <v>38</v>
      </c>
      <c r="Y347" s="421">
        <v>34</v>
      </c>
      <c r="Z347" s="421">
        <v>28</v>
      </c>
      <c r="AC347" s="424">
        <v>2.105</v>
      </c>
      <c r="AF347" s="426">
        <v>697.24</v>
      </c>
      <c r="AG347" s="443">
        <v>31586</v>
      </c>
      <c r="AI347" s="443">
        <v>7050</v>
      </c>
      <c r="AK347" s="443">
        <v>1103</v>
      </c>
      <c r="AU347" s="428">
        <v>39932.800000000003</v>
      </c>
      <c r="BD347" s="422">
        <v>26.025115036997882</v>
      </c>
      <c r="BE347" s="333">
        <f t="shared" si="165"/>
        <v>0.70399950521120125</v>
      </c>
      <c r="BJ347" s="429">
        <v>0.76023567134899894</v>
      </c>
    </row>
    <row r="348" spans="1:64" ht="20.25" customHeight="1" x14ac:dyDescent="0.3">
      <c r="A348" s="347" t="s">
        <v>1147</v>
      </c>
      <c r="K348" s="422" t="s">
        <v>1238</v>
      </c>
      <c r="L348" s="423">
        <v>45433</v>
      </c>
      <c r="M348" s="423">
        <v>45475</v>
      </c>
      <c r="N348" s="422">
        <v>8.36</v>
      </c>
      <c r="O348" s="422">
        <v>8.93</v>
      </c>
      <c r="R348" s="422">
        <v>69.31</v>
      </c>
      <c r="V348" s="422">
        <v>69.31</v>
      </c>
      <c r="X348" s="421">
        <v>46</v>
      </c>
      <c r="Y348" s="421">
        <v>30</v>
      </c>
      <c r="Z348" s="421">
        <v>24</v>
      </c>
      <c r="AC348" s="424">
        <v>1.7549999999999999</v>
      </c>
      <c r="AF348" s="426">
        <v>619.29999999999995</v>
      </c>
      <c r="AG348" s="443">
        <v>12462</v>
      </c>
      <c r="AI348" s="443">
        <v>4097</v>
      </c>
      <c r="AK348" s="443">
        <v>1531</v>
      </c>
      <c r="AU348" s="428">
        <v>8035.4</v>
      </c>
      <c r="BD348" s="422">
        <v>12.057194277855363</v>
      </c>
      <c r="BE348" s="333">
        <f t="shared" si="165"/>
        <v>0.55758258674000938</v>
      </c>
      <c r="BJ348" s="429">
        <v>0.63062590592674506</v>
      </c>
    </row>
    <row r="349" spans="1:64" ht="20.25" customHeight="1" x14ac:dyDescent="0.3">
      <c r="A349" s="347" t="s">
        <v>1148</v>
      </c>
      <c r="K349" s="422" t="s">
        <v>1238</v>
      </c>
      <c r="L349" s="423">
        <v>45433</v>
      </c>
      <c r="M349" s="423">
        <v>45475</v>
      </c>
      <c r="N349" s="422">
        <v>8.24</v>
      </c>
      <c r="O349" s="422">
        <v>28.5</v>
      </c>
      <c r="R349" s="422">
        <v>190</v>
      </c>
      <c r="V349" s="422">
        <v>190</v>
      </c>
      <c r="X349" s="421">
        <v>40</v>
      </c>
      <c r="Y349" s="421">
        <v>42</v>
      </c>
      <c r="Z349" s="421">
        <v>18</v>
      </c>
      <c r="AC349" s="425">
        <v>2.3479999999999999</v>
      </c>
      <c r="AF349" s="427">
        <v>641.79</v>
      </c>
      <c r="AG349" s="444">
        <v>42868</v>
      </c>
      <c r="AI349" s="444">
        <v>9110</v>
      </c>
      <c r="AK349" s="444">
        <v>1771</v>
      </c>
      <c r="AU349" s="428">
        <v>13770.02</v>
      </c>
      <c r="BD349" s="422">
        <v>30.419963201843156</v>
      </c>
      <c r="BE349" s="333">
        <f t="shared" si="165"/>
        <v>0.73369335438365546</v>
      </c>
      <c r="BJ349" s="429">
        <v>0.76411157414096986</v>
      </c>
    </row>
    <row r="350" spans="1:64" ht="20.25" customHeight="1" x14ac:dyDescent="0.3">
      <c r="A350" s="347" t="s">
        <v>1149</v>
      </c>
      <c r="K350" s="422" t="s">
        <v>1238</v>
      </c>
      <c r="L350" s="423">
        <v>45433</v>
      </c>
      <c r="M350" s="423">
        <v>45475</v>
      </c>
      <c r="N350" s="422">
        <v>8.32</v>
      </c>
      <c r="O350" s="422">
        <v>10.4</v>
      </c>
      <c r="R350" s="422">
        <v>74.73</v>
      </c>
      <c r="V350" s="422">
        <v>74.73</v>
      </c>
      <c r="X350" s="421">
        <v>42</v>
      </c>
      <c r="Y350" s="421">
        <v>32</v>
      </c>
      <c r="Z350" s="421">
        <v>26</v>
      </c>
      <c r="AC350" s="425">
        <v>1.397</v>
      </c>
      <c r="AF350" s="427">
        <v>426.58</v>
      </c>
      <c r="AG350" s="444">
        <v>13090</v>
      </c>
      <c r="AI350" s="444">
        <v>9664</v>
      </c>
      <c r="AK350" s="444">
        <v>1833</v>
      </c>
      <c r="AU350" s="428">
        <v>8482.39</v>
      </c>
      <c r="BD350" s="422">
        <v>9.0421598636483473</v>
      </c>
      <c r="BE350" s="333">
        <f t="shared" si="165"/>
        <v>0.50282120249958362</v>
      </c>
      <c r="BJ350" s="429">
        <v>0.48678165245448002</v>
      </c>
    </row>
    <row r="351" spans="1:64" ht="20.25" customHeight="1" x14ac:dyDescent="0.3">
      <c r="A351" s="347" t="s">
        <v>1150</v>
      </c>
      <c r="K351" s="422" t="s">
        <v>1238</v>
      </c>
      <c r="L351" s="423">
        <v>45433</v>
      </c>
      <c r="M351" s="423">
        <v>45475</v>
      </c>
      <c r="N351" s="422">
        <v>9.3699999999999992</v>
      </c>
      <c r="O351" s="422">
        <v>0.31</v>
      </c>
      <c r="R351" s="422">
        <v>1.79</v>
      </c>
      <c r="V351" s="422">
        <v>1.79</v>
      </c>
      <c r="X351" s="421">
        <v>28</v>
      </c>
      <c r="Y351" s="421">
        <v>52</v>
      </c>
      <c r="Z351" s="421">
        <v>20</v>
      </c>
      <c r="AC351" s="425">
        <v>1.6859999999999999</v>
      </c>
      <c r="AF351" s="427">
        <v>640.27</v>
      </c>
      <c r="AG351" s="444">
        <v>752</v>
      </c>
      <c r="AI351" s="444">
        <v>5846</v>
      </c>
      <c r="AK351" s="444">
        <v>709</v>
      </c>
      <c r="AU351" s="428">
        <v>261.70999999999998</v>
      </c>
      <c r="BD351" s="422">
        <v>0.69451140495713115</v>
      </c>
      <c r="BE351" s="333">
        <f t="shared" si="165"/>
        <v>1.4426763922840632E-2</v>
      </c>
      <c r="BJ351" s="429">
        <v>8.6071892744676748E-2</v>
      </c>
    </row>
    <row r="352" spans="1:64" ht="20.25" customHeight="1" x14ac:dyDescent="0.3">
      <c r="A352" s="347" t="s">
        <v>1151</v>
      </c>
      <c r="K352" s="422" t="s">
        <v>1238</v>
      </c>
      <c r="L352" s="423">
        <v>45433</v>
      </c>
      <c r="M352" s="423">
        <v>45475</v>
      </c>
      <c r="N352" s="422">
        <v>8.4700000000000006</v>
      </c>
      <c r="O352" s="422">
        <v>2.2000000000000002</v>
      </c>
      <c r="R352" s="422">
        <v>16</v>
      </c>
      <c r="V352" s="422">
        <v>16</v>
      </c>
      <c r="X352" s="421">
        <v>54</v>
      </c>
      <c r="Y352" s="421">
        <v>28</v>
      </c>
      <c r="Z352" s="421">
        <v>18</v>
      </c>
      <c r="AC352" s="425">
        <v>1.4530000000000001</v>
      </c>
      <c r="AF352" s="427">
        <v>458.74</v>
      </c>
      <c r="AG352" s="444">
        <v>1924</v>
      </c>
      <c r="AI352" s="444">
        <v>9671</v>
      </c>
      <c r="AK352" s="444">
        <v>1164</v>
      </c>
      <c r="AU352" s="428">
        <v>2570.7399999999998</v>
      </c>
      <c r="BD352" s="422">
        <v>1.3822861033009366</v>
      </c>
      <c r="BE352" s="333">
        <f t="shared" si="165"/>
        <v>0.14540747939059892</v>
      </c>
      <c r="BJ352" s="429">
        <v>0.13066654899174199</v>
      </c>
    </row>
    <row r="353" spans="1:62" ht="20.25" customHeight="1" x14ac:dyDescent="0.3">
      <c r="A353" s="347" t="s">
        <v>1152</v>
      </c>
      <c r="K353" s="422" t="s">
        <v>1238</v>
      </c>
      <c r="L353" s="423">
        <v>45433</v>
      </c>
      <c r="M353" s="423">
        <v>45475</v>
      </c>
      <c r="N353" s="422">
        <v>8.11</v>
      </c>
      <c r="O353" s="422">
        <v>41.02</v>
      </c>
      <c r="R353" s="422">
        <v>198.6</v>
      </c>
      <c r="V353" s="422">
        <v>198.6</v>
      </c>
      <c r="X353" s="421">
        <v>20</v>
      </c>
      <c r="Y353" s="421">
        <v>78</v>
      </c>
      <c r="Z353" s="421">
        <v>2</v>
      </c>
      <c r="AC353" s="425">
        <v>2.8530000000000002</v>
      </c>
      <c r="AF353" s="427">
        <v>1513.46</v>
      </c>
      <c r="AG353" s="444">
        <v>55533</v>
      </c>
      <c r="AI353" s="444">
        <v>11539</v>
      </c>
      <c r="AK353" s="444">
        <v>4133</v>
      </c>
      <c r="AU353" s="428">
        <v>74900.17</v>
      </c>
      <c r="BD353" s="422">
        <v>32.244928700657638</v>
      </c>
      <c r="BE353" s="333">
        <f t="shared" si="165"/>
        <v>0.74478055667848919</v>
      </c>
      <c r="BJ353" s="429">
        <v>0.73394291143832746</v>
      </c>
    </row>
    <row r="354" spans="1:62" ht="20.25" customHeight="1" x14ac:dyDescent="0.3">
      <c r="A354" s="347" t="s">
        <v>1153</v>
      </c>
      <c r="K354" s="422" t="s">
        <v>1238</v>
      </c>
      <c r="L354" s="423">
        <v>45433</v>
      </c>
      <c r="M354" s="423">
        <v>45475</v>
      </c>
      <c r="N354" s="422">
        <v>8.4700000000000006</v>
      </c>
      <c r="O354" s="422">
        <v>12.31</v>
      </c>
      <c r="R354" s="422">
        <v>71.150000000000006</v>
      </c>
      <c r="V354" s="422">
        <v>71.150000000000006</v>
      </c>
      <c r="X354" s="421">
        <v>64</v>
      </c>
      <c r="Y354" s="421">
        <v>28</v>
      </c>
      <c r="Z354" s="421">
        <v>8</v>
      </c>
      <c r="AC354" s="425">
        <v>1.754</v>
      </c>
      <c r="AF354" s="427">
        <v>1168.51</v>
      </c>
      <c r="AG354" s="444">
        <v>15982</v>
      </c>
      <c r="AI354" s="444">
        <v>7996</v>
      </c>
      <c r="AK354" s="444">
        <v>2602</v>
      </c>
      <c r="AU354" s="428">
        <v>8888.14</v>
      </c>
      <c r="BD354" s="422">
        <v>11.321203491864932</v>
      </c>
      <c r="BE354" s="333">
        <f t="shared" si="165"/>
        <v>0.5455967059201432</v>
      </c>
      <c r="BJ354" s="429">
        <v>0.53979499525866115</v>
      </c>
    </row>
    <row r="355" spans="1:62" ht="20.25" customHeight="1" x14ac:dyDescent="0.3">
      <c r="A355" s="347" t="s">
        <v>1154</v>
      </c>
      <c r="K355" s="422" t="s">
        <v>1238</v>
      </c>
      <c r="L355" s="423">
        <v>45433</v>
      </c>
      <c r="M355" s="423">
        <v>45475</v>
      </c>
      <c r="N355" s="422">
        <v>8.18</v>
      </c>
      <c r="O355" s="422">
        <v>29.8</v>
      </c>
      <c r="R355" s="422">
        <v>147.6</v>
      </c>
      <c r="V355" s="422">
        <v>147.6</v>
      </c>
      <c r="X355" s="421">
        <v>48</v>
      </c>
      <c r="Y355" s="421">
        <v>40</v>
      </c>
      <c r="Z355" s="421">
        <v>12</v>
      </c>
      <c r="AC355" s="425">
        <v>3</v>
      </c>
      <c r="AF355" s="427">
        <v>1218.24</v>
      </c>
      <c r="AG355" s="444">
        <v>42235</v>
      </c>
      <c r="AI355" s="444">
        <v>11753</v>
      </c>
      <c r="AK355" s="444">
        <v>2712</v>
      </c>
      <c r="AU355" s="428">
        <v>53289.69</v>
      </c>
      <c r="BD355" s="422">
        <v>25.877048895933175</v>
      </c>
      <c r="BE355" s="333">
        <f t="shared" si="165"/>
        <v>0.70291372916840644</v>
      </c>
      <c r="BJ355" s="429">
        <v>0.70131894683948004</v>
      </c>
    </row>
    <row r="356" spans="1:62" ht="20.25" customHeight="1" x14ac:dyDescent="0.3">
      <c r="A356" s="347" t="s">
        <v>1155</v>
      </c>
      <c r="K356" s="422" t="s">
        <v>1238</v>
      </c>
      <c r="L356" s="423">
        <v>45433</v>
      </c>
      <c r="M356" s="423">
        <v>45475</v>
      </c>
      <c r="N356" s="422">
        <v>8.44</v>
      </c>
      <c r="O356" s="422">
        <v>9.4</v>
      </c>
      <c r="R356" s="422">
        <v>52.81</v>
      </c>
      <c r="V356" s="422">
        <v>52.81</v>
      </c>
      <c r="X356" s="421">
        <v>58</v>
      </c>
      <c r="Y356" s="421">
        <v>32</v>
      </c>
      <c r="Z356" s="421">
        <v>10</v>
      </c>
      <c r="AC356" s="425">
        <v>1.8029999999999999</v>
      </c>
      <c r="AF356" s="427">
        <v>1013.1</v>
      </c>
      <c r="AG356" s="444">
        <v>11513</v>
      </c>
      <c r="AI356" s="444">
        <v>7691</v>
      </c>
      <c r="AK356" s="444">
        <v>2521</v>
      </c>
      <c r="AU356" s="428">
        <v>7873.06</v>
      </c>
      <c r="BD356" s="422">
        <v>8.3062008838156824</v>
      </c>
      <c r="BE356" s="333">
        <f t="shared" si="165"/>
        <v>0.48666554345647967</v>
      </c>
      <c r="BJ356" s="429">
        <v>0.46850439514627429</v>
      </c>
    </row>
    <row r="357" spans="1:62" ht="20.25" customHeight="1" x14ac:dyDescent="0.3">
      <c r="A357" s="347" t="s">
        <v>1156</v>
      </c>
      <c r="K357" s="422" t="s">
        <v>1238</v>
      </c>
      <c r="L357" s="423">
        <v>45433</v>
      </c>
      <c r="M357" s="423">
        <v>45475</v>
      </c>
      <c r="N357" s="422">
        <v>8.01</v>
      </c>
      <c r="O357" s="422">
        <v>60.8</v>
      </c>
      <c r="R357" s="422">
        <v>234.7</v>
      </c>
      <c r="V357" s="422">
        <v>234.7</v>
      </c>
      <c r="X357" s="421">
        <v>28</v>
      </c>
      <c r="Y357" s="421">
        <v>68</v>
      </c>
      <c r="Z357" s="421">
        <v>4</v>
      </c>
      <c r="AC357" s="425">
        <v>3.1150000000000002</v>
      </c>
      <c r="AF357" s="427">
        <v>1082.29</v>
      </c>
      <c r="AG357" s="444">
        <v>93028</v>
      </c>
      <c r="AI357" s="444">
        <v>11732</v>
      </c>
      <c r="AK357" s="444">
        <v>4101</v>
      </c>
      <c r="AU357" s="428">
        <v>115249.23</v>
      </c>
      <c r="BD357" s="422">
        <v>53.785559037958656</v>
      </c>
      <c r="BE357" s="333">
        <f t="shared" si="165"/>
        <v>0.84214645373945296</v>
      </c>
      <c r="BJ357" s="429">
        <v>0.82296802127456559</v>
      </c>
    </row>
    <row r="358" spans="1:62" ht="20.25" customHeight="1" x14ac:dyDescent="0.3">
      <c r="A358" s="347" t="s">
        <v>1157</v>
      </c>
      <c r="K358" s="422" t="s">
        <v>1238</v>
      </c>
      <c r="L358" s="423">
        <v>45433</v>
      </c>
      <c r="M358" s="423">
        <v>45475</v>
      </c>
      <c r="N358" s="422">
        <v>8.3000000000000007</v>
      </c>
      <c r="O358" s="422">
        <v>13.3</v>
      </c>
      <c r="R358" s="422">
        <v>65.61</v>
      </c>
      <c r="V358" s="422">
        <v>65.61</v>
      </c>
      <c r="X358" s="421">
        <v>56</v>
      </c>
      <c r="Y358" s="421">
        <v>36</v>
      </c>
      <c r="Z358" s="421">
        <v>8</v>
      </c>
      <c r="AC358" s="425">
        <v>1.679</v>
      </c>
      <c r="AF358" s="427">
        <v>766.25</v>
      </c>
      <c r="AG358" s="444">
        <v>16063</v>
      </c>
      <c r="AI358" s="444">
        <v>7708</v>
      </c>
      <c r="AK358" s="444">
        <v>2293</v>
      </c>
      <c r="AU358" s="428">
        <v>8913.27</v>
      </c>
      <c r="BD358" s="422">
        <v>11.747247965436944</v>
      </c>
      <c r="BE358" s="333">
        <f t="shared" si="165"/>
        <v>0.5526266952147143</v>
      </c>
      <c r="BJ358" s="429">
        <v>0.56106430832197296</v>
      </c>
    </row>
    <row r="359" spans="1:62" ht="20.25" customHeight="1" x14ac:dyDescent="0.3">
      <c r="A359" s="347" t="s">
        <v>1158</v>
      </c>
      <c r="K359" s="422" t="s">
        <v>1238</v>
      </c>
      <c r="L359" s="423">
        <v>45433</v>
      </c>
      <c r="M359" s="423">
        <v>45475</v>
      </c>
      <c r="N359" s="422">
        <v>8.2200000000000006</v>
      </c>
      <c r="O359" s="422">
        <v>32.299999999999997</v>
      </c>
      <c r="R359" s="422">
        <v>154.5</v>
      </c>
      <c r="V359" s="422">
        <v>154.5</v>
      </c>
      <c r="X359" s="421">
        <v>52</v>
      </c>
      <c r="Y359" s="421">
        <v>44</v>
      </c>
      <c r="Z359" s="421">
        <v>4</v>
      </c>
      <c r="AC359" s="425">
        <v>3.63</v>
      </c>
      <c r="AF359" s="427">
        <v>1362.51</v>
      </c>
      <c r="AG359" s="444">
        <v>43845</v>
      </c>
      <c r="AI359" s="444">
        <v>11011</v>
      </c>
      <c r="AK359" s="444">
        <v>2602</v>
      </c>
      <c r="AU359" s="428">
        <v>57476.9</v>
      </c>
      <c r="BD359" s="422">
        <v>27.673030356741343</v>
      </c>
      <c r="BE359" s="333">
        <f t="shared" si="165"/>
        <v>0.71568321555070236</v>
      </c>
      <c r="BJ359" s="429">
        <v>0.71952067062481806</v>
      </c>
    </row>
    <row r="360" spans="1:62" ht="20.25" customHeight="1" x14ac:dyDescent="0.3">
      <c r="A360" s="347" t="s">
        <v>1159</v>
      </c>
      <c r="K360" s="422" t="s">
        <v>1238</v>
      </c>
      <c r="L360" s="423">
        <v>45433</v>
      </c>
      <c r="M360" s="423">
        <v>45475</v>
      </c>
      <c r="N360" s="422">
        <v>8.6300000000000008</v>
      </c>
      <c r="O360" s="422">
        <v>9.16</v>
      </c>
      <c r="R360" s="422">
        <v>49.8</v>
      </c>
      <c r="V360" s="422">
        <v>49.8</v>
      </c>
      <c r="X360" s="421">
        <v>60</v>
      </c>
      <c r="Y360" s="421">
        <v>28</v>
      </c>
      <c r="Z360" s="421">
        <v>12</v>
      </c>
      <c r="AC360" s="425">
        <v>1.7270000000000001</v>
      </c>
      <c r="AF360" s="427">
        <v>1076.79</v>
      </c>
      <c r="AG360" s="444">
        <v>12451</v>
      </c>
      <c r="AI360" s="444">
        <v>6301</v>
      </c>
      <c r="AK360" s="444">
        <v>2139</v>
      </c>
      <c r="AU360" s="428">
        <v>7556.21</v>
      </c>
      <c r="BD360" s="422">
        <v>9.8695163048518744</v>
      </c>
      <c r="BE360" s="333">
        <f t="shared" si="165"/>
        <v>0.51948249592603546</v>
      </c>
      <c r="BJ360" s="429">
        <v>0.53147823811523287</v>
      </c>
    </row>
    <row r="361" spans="1:62" ht="20.25" customHeight="1" x14ac:dyDescent="0.3">
      <c r="A361" s="347" t="s">
        <v>1160</v>
      </c>
      <c r="K361" s="422" t="s">
        <v>1238</v>
      </c>
      <c r="L361" s="423">
        <v>45433</v>
      </c>
      <c r="M361" s="423">
        <v>45475</v>
      </c>
      <c r="N361" s="422">
        <v>8.5500000000000007</v>
      </c>
      <c r="O361" s="422">
        <v>2.0099999999999998</v>
      </c>
      <c r="R361" s="422">
        <v>23.75</v>
      </c>
      <c r="V361" s="422">
        <v>23.75</v>
      </c>
      <c r="X361" s="421">
        <v>24</v>
      </c>
      <c r="Y361" s="421">
        <v>50</v>
      </c>
      <c r="Z361" s="421">
        <v>26</v>
      </c>
      <c r="AC361" s="425">
        <v>1.855</v>
      </c>
      <c r="AF361" s="427">
        <v>536.80999999999995</v>
      </c>
      <c r="AG361" s="444">
        <v>2059</v>
      </c>
      <c r="AI361" s="444">
        <v>9680</v>
      </c>
      <c r="AK361" s="444">
        <v>721</v>
      </c>
      <c r="AU361" s="428">
        <v>2653.51</v>
      </c>
      <c r="BD361" s="422">
        <v>1.520698699055383</v>
      </c>
      <c r="BE361" s="333">
        <f t="shared" si="165"/>
        <v>0.16356803190782326</v>
      </c>
      <c r="BJ361" s="429">
        <v>0.14460032849281113</v>
      </c>
    </row>
    <row r="362" spans="1:62" ht="20.25" customHeight="1" x14ac:dyDescent="0.3">
      <c r="A362" s="347" t="s">
        <v>1161</v>
      </c>
      <c r="K362" s="422" t="s">
        <v>1238</v>
      </c>
      <c r="L362" s="423">
        <v>45433</v>
      </c>
      <c r="M362" s="423">
        <v>45475</v>
      </c>
      <c r="N362" s="422">
        <v>8.18</v>
      </c>
      <c r="O362" s="422">
        <v>7.01</v>
      </c>
      <c r="R362" s="422">
        <v>52.63</v>
      </c>
      <c r="V362" s="422">
        <v>52.63</v>
      </c>
      <c r="X362" s="421">
        <v>32</v>
      </c>
      <c r="Y362" s="421">
        <v>40</v>
      </c>
      <c r="Z362" s="421">
        <v>28</v>
      </c>
      <c r="AC362" s="425">
        <v>2.0019999999999998</v>
      </c>
      <c r="AF362" s="427">
        <v>453.59</v>
      </c>
      <c r="AG362" s="444">
        <v>4915</v>
      </c>
      <c r="AI362" s="444">
        <v>13291</v>
      </c>
      <c r="AK362" s="444">
        <v>1669</v>
      </c>
      <c r="AU362" s="428">
        <v>7143.9</v>
      </c>
      <c r="BD362" s="422">
        <v>3.0028217947569904</v>
      </c>
      <c r="BE362" s="333">
        <f t="shared" si="165"/>
        <v>0.29304483025211925</v>
      </c>
      <c r="BJ362" s="429">
        <v>0.21847210059559755</v>
      </c>
    </row>
    <row r="363" spans="1:62" ht="20.25" customHeight="1" x14ac:dyDescent="0.3">
      <c r="A363" s="347" t="s">
        <v>1162</v>
      </c>
      <c r="K363" s="422" t="s">
        <v>1238</v>
      </c>
      <c r="L363" s="423">
        <v>45433</v>
      </c>
      <c r="M363" s="423">
        <v>45475</v>
      </c>
      <c r="N363" s="422">
        <v>8.36</v>
      </c>
      <c r="O363" s="422">
        <v>32.5</v>
      </c>
      <c r="R363" s="422">
        <v>171.3</v>
      </c>
      <c r="V363" s="422">
        <v>171.3</v>
      </c>
      <c r="X363" s="421">
        <v>52</v>
      </c>
      <c r="Y363" s="421">
        <v>48</v>
      </c>
      <c r="Z363" s="421">
        <v>0</v>
      </c>
      <c r="AC363" s="425">
        <v>3.073</v>
      </c>
      <c r="AF363" s="427">
        <v>1089.44</v>
      </c>
      <c r="AG363" s="444">
        <v>46536</v>
      </c>
      <c r="AI363" s="444">
        <v>10805</v>
      </c>
      <c r="AK363" s="444">
        <v>2318</v>
      </c>
      <c r="AU363" s="428">
        <v>58234.239999999998</v>
      </c>
      <c r="BD363" s="422">
        <v>29.993778647059859</v>
      </c>
      <c r="BE363" s="333">
        <f t="shared" si="165"/>
        <v>0.73100839352225544</v>
      </c>
      <c r="BJ363" s="429">
        <v>0.74122383796708546</v>
      </c>
    </row>
    <row r="364" spans="1:62" ht="20.25" customHeight="1" x14ac:dyDescent="0.3">
      <c r="A364" s="347" t="s">
        <v>1163</v>
      </c>
      <c r="K364" s="422" t="s">
        <v>1238</v>
      </c>
      <c r="L364" s="423">
        <v>45433</v>
      </c>
      <c r="M364" s="423">
        <v>45475</v>
      </c>
      <c r="N364" s="422">
        <v>8.7200000000000006</v>
      </c>
      <c r="O364" s="422">
        <v>11.2</v>
      </c>
      <c r="R364" s="422">
        <v>61.87</v>
      </c>
      <c r="V364" s="422">
        <v>61.87</v>
      </c>
      <c r="X364" s="421">
        <v>56</v>
      </c>
      <c r="Y364" s="421">
        <v>32</v>
      </c>
      <c r="Z364" s="421">
        <v>12</v>
      </c>
      <c r="AC364" s="425">
        <v>2.09</v>
      </c>
      <c r="AF364" s="427">
        <v>912.09</v>
      </c>
      <c r="AG364" s="444">
        <v>11176</v>
      </c>
      <c r="AI364" s="444">
        <v>9842</v>
      </c>
      <c r="AK364" s="444">
        <v>2709</v>
      </c>
      <c r="AU364" s="428">
        <v>8611.2199999999993</v>
      </c>
      <c r="BD364" s="422">
        <v>7.3134891643563389</v>
      </c>
      <c r="BE364" s="333">
        <f t="shared" si="165"/>
        <v>0.46244380615445291</v>
      </c>
      <c r="BJ364" s="429">
        <v>0.41637323802742937</v>
      </c>
    </row>
    <row r="365" spans="1:62" ht="20.25" customHeight="1" x14ac:dyDescent="0.3">
      <c r="A365" s="347" t="s">
        <v>1164</v>
      </c>
      <c r="K365" s="422" t="s">
        <v>1238</v>
      </c>
      <c r="L365" s="423">
        <v>45433</v>
      </c>
      <c r="M365" s="423">
        <v>45475</v>
      </c>
      <c r="N365" s="422">
        <v>8.7100000000000009</v>
      </c>
      <c r="O365" s="422">
        <v>3.01</v>
      </c>
      <c r="R365" s="422">
        <v>30.22</v>
      </c>
      <c r="V365" s="422">
        <v>30.22</v>
      </c>
      <c r="X365" s="421">
        <v>18</v>
      </c>
      <c r="Y365" s="421">
        <v>40</v>
      </c>
      <c r="Z365" s="421">
        <v>42</v>
      </c>
      <c r="AC365" s="425">
        <v>1.9059999999999999</v>
      </c>
      <c r="AF365" s="427">
        <v>324.60000000000002</v>
      </c>
      <c r="AG365" s="444">
        <v>3171</v>
      </c>
      <c r="AI365" s="444">
        <v>8969</v>
      </c>
      <c r="AK365" s="444">
        <v>619</v>
      </c>
      <c r="AU365" s="428">
        <v>3454.08</v>
      </c>
      <c r="BD365" s="422">
        <v>2.4414572831959895</v>
      </c>
      <c r="BE365" s="333">
        <f t="shared" si="165"/>
        <v>0.25366084909720565</v>
      </c>
      <c r="BJ365" s="429">
        <v>0.2222542607893134</v>
      </c>
    </row>
    <row r="366" spans="1:62" ht="20.25" customHeight="1" x14ac:dyDescent="0.3">
      <c r="A366" s="347" t="s">
        <v>1165</v>
      </c>
      <c r="K366" s="422" t="s">
        <v>1238</v>
      </c>
      <c r="L366" s="423">
        <v>45433</v>
      </c>
      <c r="M366" s="423">
        <v>45475</v>
      </c>
      <c r="N366" s="422">
        <v>8.26</v>
      </c>
      <c r="O366" s="422">
        <v>7.01</v>
      </c>
      <c r="R366" s="422">
        <v>40.11</v>
      </c>
      <c r="V366" s="422">
        <v>40.11</v>
      </c>
      <c r="X366" s="421">
        <v>10</v>
      </c>
      <c r="Y366" s="421">
        <v>56</v>
      </c>
      <c r="Z366" s="421">
        <v>34</v>
      </c>
      <c r="AC366" s="425">
        <v>1.8680000000000001</v>
      </c>
      <c r="AF366" s="427">
        <v>173.22</v>
      </c>
      <c r="AG366" s="444">
        <v>4859</v>
      </c>
      <c r="AI366" s="444">
        <v>21041</v>
      </c>
      <c r="AK366" s="444">
        <v>1074</v>
      </c>
      <c r="AU366" s="428">
        <v>4957.08</v>
      </c>
      <c r="BD366" s="422">
        <v>2.4708392121225917</v>
      </c>
      <c r="BE366" s="333">
        <f t="shared" si="165"/>
        <v>0.25593735979257054</v>
      </c>
      <c r="BJ366" s="429">
        <v>0.16238915499022577</v>
      </c>
    </row>
    <row r="367" spans="1:62" ht="20.25" customHeight="1" x14ac:dyDescent="0.3">
      <c r="A367" s="347" t="s">
        <v>1166</v>
      </c>
      <c r="K367" s="422" t="s">
        <v>1238</v>
      </c>
      <c r="L367" s="423">
        <v>45433</v>
      </c>
      <c r="M367" s="423">
        <v>45475</v>
      </c>
      <c r="N367" s="422">
        <v>8.23</v>
      </c>
      <c r="O367" s="422">
        <v>45.07</v>
      </c>
      <c r="R367" s="422">
        <v>218.3</v>
      </c>
      <c r="V367" s="422">
        <v>218.3</v>
      </c>
      <c r="X367" s="421">
        <v>54</v>
      </c>
      <c r="Y367" s="421">
        <v>42</v>
      </c>
      <c r="Z367" s="421">
        <v>4</v>
      </c>
      <c r="AC367" s="425">
        <v>3.6339999999999999</v>
      </c>
      <c r="AF367" s="427">
        <v>1082.1199999999999</v>
      </c>
      <c r="AG367" s="444">
        <v>65777</v>
      </c>
      <c r="AI367" s="444">
        <v>10370</v>
      </c>
      <c r="AK367" s="444">
        <v>2326</v>
      </c>
      <c r="AU367" s="428">
        <v>82938.210000000006</v>
      </c>
      <c r="BD367" s="422">
        <v>43.050656539372063</v>
      </c>
      <c r="BE367" s="333">
        <f t="shared" si="165"/>
        <v>0.79978043470692917</v>
      </c>
      <c r="BJ367" s="429">
        <v>0.80658970744281999</v>
      </c>
    </row>
    <row r="368" spans="1:62" ht="20.25" customHeight="1" x14ac:dyDescent="0.3">
      <c r="A368" s="347" t="s">
        <v>1167</v>
      </c>
      <c r="K368" s="422" t="s">
        <v>1238</v>
      </c>
      <c r="L368" s="423">
        <v>45433</v>
      </c>
      <c r="M368" s="423">
        <v>45475</v>
      </c>
      <c r="N368" s="422">
        <v>8.41</v>
      </c>
      <c r="O368" s="422">
        <v>12.01</v>
      </c>
      <c r="R368" s="422">
        <v>65.900000000000006</v>
      </c>
      <c r="V368" s="422">
        <v>65.900000000000006</v>
      </c>
      <c r="X368" s="421">
        <v>56</v>
      </c>
      <c r="Y368" s="421">
        <v>36</v>
      </c>
      <c r="Z368" s="421">
        <v>8</v>
      </c>
      <c r="AC368" s="425">
        <v>2.004</v>
      </c>
      <c r="AF368" s="427">
        <v>845.67</v>
      </c>
      <c r="AG368" s="444">
        <v>14167</v>
      </c>
      <c r="AI368" s="444">
        <v>7621</v>
      </c>
      <c r="AK368" s="444">
        <v>2219</v>
      </c>
      <c r="AU368" s="428">
        <v>8648.92</v>
      </c>
      <c r="BD368" s="422">
        <v>10.452121778618519</v>
      </c>
      <c r="BE368" s="333">
        <f t="shared" si="165"/>
        <v>0.53039699127485773</v>
      </c>
      <c r="BJ368" s="429">
        <v>0.53308297427655249</v>
      </c>
    </row>
    <row r="369" spans="1:62" ht="20.25" customHeight="1" x14ac:dyDescent="0.3">
      <c r="A369" s="347" t="s">
        <v>1168</v>
      </c>
      <c r="K369" s="422" t="s">
        <v>1238</v>
      </c>
      <c r="L369" s="423">
        <v>45433</v>
      </c>
      <c r="M369" s="423">
        <v>45475</v>
      </c>
      <c r="N369" s="422">
        <v>8.52</v>
      </c>
      <c r="O369" s="422">
        <v>24.01</v>
      </c>
      <c r="R369" s="422">
        <v>180</v>
      </c>
      <c r="V369" s="422">
        <v>180</v>
      </c>
      <c r="X369" s="421">
        <v>30</v>
      </c>
      <c r="Y369" s="421">
        <v>40</v>
      </c>
      <c r="Z369" s="421">
        <v>30</v>
      </c>
      <c r="AC369" s="425">
        <v>2.282</v>
      </c>
      <c r="AF369" s="427">
        <v>737.14</v>
      </c>
      <c r="AG369" s="444">
        <v>31136</v>
      </c>
      <c r="AI369" s="444">
        <v>6755</v>
      </c>
      <c r="AK369" s="444">
        <v>1184</v>
      </c>
      <c r="AU369" s="428">
        <v>39830.89</v>
      </c>
      <c r="BD369" s="422">
        <v>25.931426830708929</v>
      </c>
      <c r="BE369" s="333">
        <f t="shared" si="165"/>
        <v>0.70331320530209684</v>
      </c>
      <c r="BJ369" s="429">
        <v>0.76086392137278658</v>
      </c>
    </row>
    <row r="370" spans="1:62" ht="20.25" customHeight="1" x14ac:dyDescent="0.3">
      <c r="A370" s="347" t="s">
        <v>1169</v>
      </c>
      <c r="K370" s="422" t="s">
        <v>1238</v>
      </c>
      <c r="L370" s="423">
        <v>45433</v>
      </c>
      <c r="M370" s="423">
        <v>45475</v>
      </c>
      <c r="N370" s="422">
        <v>8.69</v>
      </c>
      <c r="O370" s="422">
        <v>7.43</v>
      </c>
      <c r="R370" s="422">
        <v>42.47</v>
      </c>
      <c r="V370" s="422">
        <v>42.47</v>
      </c>
      <c r="X370" s="421">
        <v>36</v>
      </c>
      <c r="Y370" s="421">
        <v>32</v>
      </c>
      <c r="Z370" s="421">
        <v>32</v>
      </c>
      <c r="AC370" s="425">
        <v>1.113</v>
      </c>
      <c r="AF370" s="427">
        <v>481.85</v>
      </c>
      <c r="AG370" s="444">
        <v>9323</v>
      </c>
      <c r="AI370" s="444">
        <v>3792</v>
      </c>
      <c r="AK370" s="444">
        <v>1339</v>
      </c>
      <c r="AU370" s="428">
        <v>9395.92</v>
      </c>
      <c r="BD370" s="422">
        <v>9.4653945931258914</v>
      </c>
      <c r="BE370" s="333">
        <f t="shared" si="165"/>
        <v>0.51152636270790364</v>
      </c>
      <c r="BJ370" s="429">
        <v>0.58639789916279184</v>
      </c>
    </row>
    <row r="371" spans="1:62" ht="20.25" customHeight="1" x14ac:dyDescent="0.3">
      <c r="A371" s="347" t="s">
        <v>1170</v>
      </c>
      <c r="K371" s="422" t="s">
        <v>1238</v>
      </c>
      <c r="L371" s="423">
        <v>45433</v>
      </c>
      <c r="M371" s="423">
        <v>45475</v>
      </c>
      <c r="N371" s="422">
        <v>8.2200000000000006</v>
      </c>
      <c r="O371" s="422">
        <v>35.01</v>
      </c>
      <c r="R371" s="422">
        <v>151.30000000000001</v>
      </c>
      <c r="V371" s="422">
        <v>151.30000000000001</v>
      </c>
      <c r="X371" s="421">
        <v>52</v>
      </c>
      <c r="Y371" s="421">
        <v>44</v>
      </c>
      <c r="Z371" s="421">
        <v>4</v>
      </c>
      <c r="AC371" s="425">
        <v>2.6589999999999998</v>
      </c>
      <c r="AF371" s="427">
        <v>1293.01</v>
      </c>
      <c r="AG371" s="444">
        <v>48930</v>
      </c>
      <c r="AI371" s="444">
        <v>9908</v>
      </c>
      <c r="AK371" s="444">
        <v>3370</v>
      </c>
      <c r="AU371" s="428">
        <v>10600.96</v>
      </c>
      <c r="BD371" s="422">
        <v>30.920283267029227</v>
      </c>
      <c r="BE371" s="333">
        <f t="shared" si="165"/>
        <v>0.73679777685891468</v>
      </c>
      <c r="BJ371" s="429">
        <v>0.74208249502687862</v>
      </c>
    </row>
    <row r="372" spans="1:62" ht="20.25" customHeight="1" x14ac:dyDescent="0.3">
      <c r="A372" s="347" t="s">
        <v>1171</v>
      </c>
      <c r="K372" s="422" t="s">
        <v>1238</v>
      </c>
      <c r="L372" s="423">
        <v>45433</v>
      </c>
      <c r="M372" s="423">
        <v>45475</v>
      </c>
      <c r="N372" s="422">
        <v>8.5399999999999991</v>
      </c>
      <c r="O372" s="422">
        <v>11.01</v>
      </c>
      <c r="R372" s="422">
        <v>53.19</v>
      </c>
      <c r="V372" s="422">
        <v>53.19</v>
      </c>
      <c r="X372" s="421">
        <v>60</v>
      </c>
      <c r="Y372" s="421">
        <v>26</v>
      </c>
      <c r="Z372" s="421">
        <v>14</v>
      </c>
      <c r="AC372" s="425">
        <v>1.671</v>
      </c>
      <c r="AF372" s="427">
        <v>1007.67</v>
      </c>
      <c r="AG372" s="444">
        <v>14532</v>
      </c>
      <c r="AI372" s="444">
        <v>6560</v>
      </c>
      <c r="AK372" s="444">
        <v>2837</v>
      </c>
      <c r="AU372" s="428">
        <v>63565.52</v>
      </c>
      <c r="BD372" s="422">
        <v>10.82413223035376</v>
      </c>
      <c r="BE372" s="333">
        <f t="shared" si="165"/>
        <v>0.53705237379969906</v>
      </c>
      <c r="BJ372" s="429">
        <v>0.54176727470992281</v>
      </c>
    </row>
    <row r="373" spans="1:62" ht="20.25" customHeight="1" x14ac:dyDescent="0.3">
      <c r="A373" s="347" t="s">
        <v>1172</v>
      </c>
      <c r="K373" s="422" t="s">
        <v>1238</v>
      </c>
      <c r="L373" s="423">
        <v>45433</v>
      </c>
      <c r="M373" s="423">
        <v>45475</v>
      </c>
      <c r="N373" s="422">
        <v>8.4600000000000009</v>
      </c>
      <c r="O373" s="422">
        <v>17.3</v>
      </c>
      <c r="R373" s="422">
        <v>121.4</v>
      </c>
      <c r="V373" s="422">
        <v>121.4</v>
      </c>
      <c r="X373" s="421">
        <v>38</v>
      </c>
      <c r="Y373" s="421">
        <v>42</v>
      </c>
      <c r="Z373" s="421">
        <v>20</v>
      </c>
      <c r="AC373" s="425">
        <v>2.23</v>
      </c>
      <c r="AF373" s="427">
        <v>680.96</v>
      </c>
      <c r="AG373" s="444">
        <v>22435</v>
      </c>
      <c r="AI373" s="444">
        <v>8856</v>
      </c>
      <c r="AK373" s="444">
        <v>1937</v>
      </c>
      <c r="AU373" s="428">
        <v>17364.88</v>
      </c>
      <c r="BD373" s="422">
        <v>15.936378620271631</v>
      </c>
      <c r="BE373" s="333">
        <f t="shared" si="165"/>
        <v>0.61066542861662509</v>
      </c>
      <c r="BJ373" s="429">
        <v>0.62898264985956476</v>
      </c>
    </row>
    <row r="374" spans="1:62" ht="20.25" customHeight="1" x14ac:dyDescent="0.3">
      <c r="A374" s="347" t="s">
        <v>1173</v>
      </c>
      <c r="K374" s="422" t="s">
        <v>1238</v>
      </c>
      <c r="L374" s="423">
        <v>45433</v>
      </c>
      <c r="M374" s="423">
        <v>45475</v>
      </c>
      <c r="N374" s="422">
        <v>8.4499999999999993</v>
      </c>
      <c r="O374" s="422">
        <v>11.1</v>
      </c>
      <c r="R374" s="422">
        <v>72.13</v>
      </c>
      <c r="V374" s="422">
        <v>72.13</v>
      </c>
      <c r="X374" s="421">
        <v>40</v>
      </c>
      <c r="Y374" s="421">
        <v>28</v>
      </c>
      <c r="Z374" s="421">
        <v>32</v>
      </c>
      <c r="AC374" s="425">
        <v>1.762</v>
      </c>
      <c r="AF374" s="427">
        <v>611.79</v>
      </c>
      <c r="AG374" s="444">
        <v>12992</v>
      </c>
      <c r="AI374" s="444">
        <v>4646</v>
      </c>
      <c r="AK374" s="444">
        <v>2892</v>
      </c>
      <c r="AU374" s="428">
        <v>30991.200000000001</v>
      </c>
      <c r="BD374" s="422">
        <v>10.653886512810425</v>
      </c>
      <c r="BE374" s="333">
        <f t="shared" si="165"/>
        <v>0.53403548113620514</v>
      </c>
      <c r="BJ374" s="429">
        <v>0.56515824818802174</v>
      </c>
    </row>
    <row r="375" spans="1:62" ht="20.25" customHeight="1" x14ac:dyDescent="0.3">
      <c r="A375" s="347" t="s">
        <v>1174</v>
      </c>
      <c r="K375" s="422" t="s">
        <v>1238</v>
      </c>
      <c r="L375" s="423">
        <v>45433</v>
      </c>
      <c r="M375" s="423">
        <v>45475</v>
      </c>
      <c r="N375" s="422">
        <v>8.91</v>
      </c>
      <c r="O375" s="422">
        <v>6.01</v>
      </c>
      <c r="R375" s="422">
        <v>73.81</v>
      </c>
      <c r="V375" s="422">
        <v>73.81</v>
      </c>
      <c r="X375" s="421">
        <v>18</v>
      </c>
      <c r="Y375" s="421">
        <v>34</v>
      </c>
      <c r="Z375" s="421">
        <v>48</v>
      </c>
      <c r="AC375" s="425">
        <v>1.151</v>
      </c>
      <c r="AF375" s="427">
        <v>182.17</v>
      </c>
      <c r="AG375" s="444">
        <v>8094</v>
      </c>
      <c r="AI375" s="444">
        <v>5756</v>
      </c>
      <c r="AK375" s="444">
        <v>383</v>
      </c>
      <c r="AU375" s="428">
        <v>16246.15</v>
      </c>
      <c r="BD375" s="422">
        <v>7.7913121368144056</v>
      </c>
      <c r="BE375" s="333">
        <f t="shared" si="165"/>
        <v>0.47448766680493942</v>
      </c>
      <c r="BJ375" s="429">
        <v>0.53333566325013648</v>
      </c>
    </row>
    <row r="376" spans="1:62" ht="20.25" customHeight="1" x14ac:dyDescent="0.3">
      <c r="A376" s="347" t="s">
        <v>1175</v>
      </c>
      <c r="K376" s="422" t="s">
        <v>1238</v>
      </c>
      <c r="L376" s="423">
        <v>45433</v>
      </c>
      <c r="M376" s="423">
        <v>45475</v>
      </c>
      <c r="N376" s="422">
        <v>8.58</v>
      </c>
      <c r="O376" s="422">
        <v>8.1300000000000008</v>
      </c>
      <c r="R376" s="422">
        <v>50.8</v>
      </c>
      <c r="V376" s="422">
        <v>50.8</v>
      </c>
      <c r="X376" s="421">
        <v>14</v>
      </c>
      <c r="Y376" s="421">
        <v>40</v>
      </c>
      <c r="Z376" s="421">
        <v>46</v>
      </c>
      <c r="AC376" s="425">
        <v>0.80800000000000005</v>
      </c>
      <c r="AF376" s="427">
        <v>215.64</v>
      </c>
      <c r="AG376" s="444">
        <v>7977</v>
      </c>
      <c r="AI376" s="444">
        <v>13186</v>
      </c>
      <c r="AK376" s="444">
        <v>942</v>
      </c>
      <c r="AU376" s="428">
        <v>9053.0400000000009</v>
      </c>
      <c r="BD376" s="422">
        <v>5.0575660673753244</v>
      </c>
      <c r="BE376" s="333">
        <f t="shared" si="165"/>
        <v>0.39225448271817631</v>
      </c>
      <c r="BJ376" s="429">
        <v>0.33006799317191904</v>
      </c>
    </row>
    <row r="377" spans="1:62" ht="20.25" customHeight="1" x14ac:dyDescent="0.3">
      <c r="A377" s="347" t="s">
        <v>1176</v>
      </c>
      <c r="K377" s="422" t="s">
        <v>1238</v>
      </c>
      <c r="L377" s="423">
        <v>45433</v>
      </c>
      <c r="M377" s="423">
        <v>45475</v>
      </c>
      <c r="N377" s="422">
        <v>8.1300000000000008</v>
      </c>
      <c r="O377" s="422">
        <v>50.51</v>
      </c>
      <c r="R377" s="422">
        <v>226.3</v>
      </c>
      <c r="V377" s="422">
        <v>226.3</v>
      </c>
      <c r="X377" s="421">
        <v>28</v>
      </c>
      <c r="Y377" s="421">
        <v>68</v>
      </c>
      <c r="Z377" s="421">
        <v>4</v>
      </c>
      <c r="AC377" s="425">
        <v>1.774</v>
      </c>
      <c r="AF377" s="427">
        <v>1021.12</v>
      </c>
      <c r="AG377" s="444">
        <v>72445</v>
      </c>
      <c r="AI377" s="444">
        <v>9317</v>
      </c>
      <c r="AK377" s="444">
        <v>3250</v>
      </c>
      <c r="AU377" s="428">
        <v>8672.9699999999993</v>
      </c>
      <c r="BD377" s="422">
        <v>47.017239358741456</v>
      </c>
      <c r="BE377" s="333">
        <f t="shared" si="165"/>
        <v>0.81655287687037725</v>
      </c>
      <c r="BJ377" s="429">
        <v>0.8192063328975141</v>
      </c>
    </row>
    <row r="378" spans="1:62" ht="20.25" customHeight="1" x14ac:dyDescent="0.3">
      <c r="A378" s="347" t="s">
        <v>1177</v>
      </c>
      <c r="K378" s="422" t="s">
        <v>1238</v>
      </c>
      <c r="L378" s="423">
        <v>45433</v>
      </c>
      <c r="M378" s="423">
        <v>45475</v>
      </c>
      <c r="N378" s="422">
        <v>8.4499999999999993</v>
      </c>
      <c r="O378" s="422">
        <v>12.01</v>
      </c>
      <c r="R378" s="422">
        <v>66.98</v>
      </c>
      <c r="V378" s="422">
        <v>66.98</v>
      </c>
      <c r="X378" s="421">
        <v>60</v>
      </c>
      <c r="Y378" s="421">
        <v>28</v>
      </c>
      <c r="Z378" s="421">
        <v>12</v>
      </c>
      <c r="AC378" s="425">
        <v>1.5660000000000001</v>
      </c>
      <c r="AF378" s="427">
        <v>825.48</v>
      </c>
      <c r="AG378" s="444">
        <v>14570</v>
      </c>
      <c r="AI378" s="444">
        <v>7340</v>
      </c>
      <c r="AK378" s="444">
        <v>2456</v>
      </c>
      <c r="AU378" s="428">
        <v>8943.82</v>
      </c>
      <c r="BD378" s="422">
        <v>10.725256405951175</v>
      </c>
      <c r="BE378" s="333">
        <f t="shared" si="165"/>
        <v>0.53530604106174196</v>
      </c>
      <c r="BJ378" s="429">
        <v>0.53925339615910595</v>
      </c>
    </row>
    <row r="379" spans="1:62" ht="20.25" customHeight="1" x14ac:dyDescent="0.3">
      <c r="A379" s="347" t="s">
        <v>1178</v>
      </c>
      <c r="K379" s="422" t="s">
        <v>1238</v>
      </c>
      <c r="L379" s="423">
        <v>45433</v>
      </c>
      <c r="M379" s="423">
        <v>45475</v>
      </c>
      <c r="N379" s="422">
        <v>8.1999999999999993</v>
      </c>
      <c r="O379" s="422">
        <v>48.01</v>
      </c>
      <c r="R379" s="422">
        <v>226.2</v>
      </c>
      <c r="V379" s="422">
        <v>226.2</v>
      </c>
      <c r="X379" s="421">
        <v>52</v>
      </c>
      <c r="Y379" s="421">
        <v>44</v>
      </c>
      <c r="Z379" s="421">
        <v>4</v>
      </c>
      <c r="AC379" s="425">
        <v>3.069</v>
      </c>
      <c r="AF379" s="427">
        <v>1107.22</v>
      </c>
      <c r="AG379" s="444">
        <v>70381</v>
      </c>
      <c r="AI379" s="444">
        <v>9780</v>
      </c>
      <c r="AK379" s="444">
        <v>2635</v>
      </c>
      <c r="AU379" s="428">
        <v>20836.91</v>
      </c>
      <c r="BD379" s="422">
        <v>46.338321818276583</v>
      </c>
      <c r="BE379" s="333">
        <f t="shared" si="165"/>
        <v>0.81378495851499855</v>
      </c>
      <c r="BJ379" s="429">
        <v>0.81845782827791747</v>
      </c>
    </row>
    <row r="380" spans="1:62" ht="20.25" customHeight="1" x14ac:dyDescent="0.3">
      <c r="A380" s="347" t="s">
        <v>1179</v>
      </c>
      <c r="K380" s="422" t="s">
        <v>1238</v>
      </c>
      <c r="L380" s="423">
        <v>45433</v>
      </c>
      <c r="M380" s="423">
        <v>45475</v>
      </c>
      <c r="N380" s="422">
        <v>8.42</v>
      </c>
      <c r="O380" s="422">
        <v>12.2</v>
      </c>
      <c r="R380" s="422">
        <v>71.17</v>
      </c>
      <c r="V380" s="422">
        <v>71.17</v>
      </c>
      <c r="X380" s="421">
        <v>60</v>
      </c>
      <c r="Y380" s="421">
        <v>32</v>
      </c>
      <c r="Z380" s="421">
        <v>8</v>
      </c>
      <c r="AC380" s="425">
        <v>1.607</v>
      </c>
      <c r="AF380" s="427">
        <v>788.46</v>
      </c>
      <c r="AG380" s="444">
        <v>15887</v>
      </c>
      <c r="AI380" s="444">
        <v>7815</v>
      </c>
      <c r="AK380" s="444">
        <v>2745</v>
      </c>
      <c r="AU380" s="428">
        <v>8956.94</v>
      </c>
      <c r="BD380" s="422">
        <v>11.245332476440296</v>
      </c>
      <c r="BE380" s="333">
        <f t="shared" si="165"/>
        <v>0.54431708474496376</v>
      </c>
      <c r="BJ380" s="429">
        <v>0.5425508778430882</v>
      </c>
    </row>
    <row r="381" spans="1:62" ht="20.25" customHeight="1" x14ac:dyDescent="0.3">
      <c r="A381" s="347" t="s">
        <v>1180</v>
      </c>
      <c r="K381" s="422" t="s">
        <v>1238</v>
      </c>
      <c r="L381" s="423">
        <v>45433</v>
      </c>
      <c r="M381" s="423">
        <v>45475</v>
      </c>
      <c r="N381" s="422">
        <v>8.44</v>
      </c>
      <c r="O381" s="422">
        <v>10.01</v>
      </c>
      <c r="R381" s="422">
        <v>53.86</v>
      </c>
      <c r="V381" s="422">
        <v>53.86</v>
      </c>
      <c r="X381" s="421">
        <v>56</v>
      </c>
      <c r="Y381" s="421">
        <v>40</v>
      </c>
      <c r="Z381" s="421">
        <v>4</v>
      </c>
      <c r="AC381" s="425">
        <v>2.9039999999999999</v>
      </c>
      <c r="AF381" s="427">
        <v>1418.12</v>
      </c>
      <c r="AG381" s="444">
        <v>13315</v>
      </c>
      <c r="AI381" s="444">
        <v>9400</v>
      </c>
      <c r="AK381" s="444">
        <v>1663</v>
      </c>
      <c r="AU381" s="428">
        <v>8388.42</v>
      </c>
      <c r="BD381" s="422">
        <v>9.3919674859171245</v>
      </c>
      <c r="BE381" s="333">
        <f t="shared" si="165"/>
        <v>0.51004436866616598</v>
      </c>
      <c r="BJ381" s="429">
        <v>0.48926004087463476</v>
      </c>
    </row>
    <row r="382" spans="1:62" ht="20.25" customHeight="1" x14ac:dyDescent="0.3">
      <c r="A382" s="347" t="s">
        <v>1181</v>
      </c>
      <c r="K382" s="422" t="s">
        <v>1238</v>
      </c>
      <c r="L382" s="423">
        <v>45433</v>
      </c>
      <c r="M382" s="423">
        <v>45475</v>
      </c>
      <c r="N382" s="422">
        <v>8.52</v>
      </c>
      <c r="O382" s="422">
        <v>8.3000000000000007</v>
      </c>
      <c r="R382" s="422">
        <v>42.52</v>
      </c>
      <c r="V382" s="422">
        <v>42.52</v>
      </c>
      <c r="X382" s="421">
        <v>60</v>
      </c>
      <c r="Y382" s="421">
        <v>26</v>
      </c>
      <c r="Z382" s="421">
        <v>14</v>
      </c>
      <c r="AC382" s="425">
        <v>1.792</v>
      </c>
      <c r="AF382" s="427">
        <v>1091.32</v>
      </c>
      <c r="AG382" s="444">
        <v>11349</v>
      </c>
      <c r="AI382" s="444">
        <v>6457</v>
      </c>
      <c r="AK382" s="444">
        <v>2335</v>
      </c>
      <c r="AU382" s="428">
        <v>7205.57</v>
      </c>
      <c r="BD382" s="422">
        <v>8.7951513512236481</v>
      </c>
      <c r="BE382" s="333">
        <f t="shared" si="165"/>
        <v>0.49755037167219907</v>
      </c>
      <c r="BJ382" s="429">
        <v>0.49756761778052955</v>
      </c>
    </row>
    <row r="383" spans="1:62" ht="20.25" customHeight="1" x14ac:dyDescent="0.3">
      <c r="A383" s="347" t="s">
        <v>1182</v>
      </c>
      <c r="K383" s="422" t="s">
        <v>1238</v>
      </c>
      <c r="L383" s="423">
        <v>45433</v>
      </c>
      <c r="M383" s="423">
        <v>45475</v>
      </c>
      <c r="N383" s="422">
        <v>8.24</v>
      </c>
      <c r="O383" s="422">
        <v>38.01</v>
      </c>
      <c r="R383" s="422">
        <v>189.7</v>
      </c>
      <c r="V383" s="422">
        <v>189.7</v>
      </c>
      <c r="X383" s="421">
        <v>60</v>
      </c>
      <c r="Y383" s="421">
        <v>36</v>
      </c>
      <c r="Z383" s="421">
        <v>4</v>
      </c>
      <c r="AC383" s="425">
        <v>2.8969999999999998</v>
      </c>
      <c r="AF383" s="427">
        <v>1391.95</v>
      </c>
      <c r="AG383" s="444">
        <v>54764</v>
      </c>
      <c r="AI383" s="444">
        <v>9471</v>
      </c>
      <c r="AK383" s="444">
        <v>3000</v>
      </c>
      <c r="AU383" s="428">
        <v>9528.9</v>
      </c>
      <c r="BD383" s="422">
        <v>35.793263210249052</v>
      </c>
      <c r="BE383" s="333">
        <f t="shared" si="165"/>
        <v>0.76464767037986203</v>
      </c>
      <c r="BJ383" s="429">
        <v>0.77369894819007856</v>
      </c>
    </row>
    <row r="384" spans="1:62" ht="20.25" customHeight="1" x14ac:dyDescent="0.3">
      <c r="A384" s="347" t="s">
        <v>1183</v>
      </c>
      <c r="K384" s="422" t="s">
        <v>1238</v>
      </c>
      <c r="L384" s="423">
        <v>45433</v>
      </c>
      <c r="M384" s="423">
        <v>45475</v>
      </c>
      <c r="N384" s="422">
        <v>8.51</v>
      </c>
      <c r="O384" s="422">
        <v>12.3</v>
      </c>
      <c r="R384" s="422">
        <v>61</v>
      </c>
      <c r="V384" s="422">
        <v>61</v>
      </c>
      <c r="X384" s="421">
        <v>60</v>
      </c>
      <c r="Y384" s="421">
        <v>30</v>
      </c>
      <c r="Z384" s="421">
        <v>10</v>
      </c>
      <c r="AC384" s="425">
        <v>1.5529999999999999</v>
      </c>
      <c r="AF384" s="427">
        <v>1031.1199999999999</v>
      </c>
      <c r="AG384" s="444">
        <v>15032</v>
      </c>
      <c r="AI384" s="444">
        <v>6766</v>
      </c>
      <c r="AK384" s="444">
        <v>2359</v>
      </c>
      <c r="AU384" s="428">
        <v>8611.19</v>
      </c>
      <c r="BD384" s="422">
        <v>11.449117619074119</v>
      </c>
      <c r="BE384" s="333">
        <f t="shared" si="165"/>
        <v>0.54773477980588614</v>
      </c>
      <c r="BJ384" s="429">
        <v>0.56023926788470579</v>
      </c>
    </row>
    <row r="385" spans="1:62" ht="20.25" customHeight="1" x14ac:dyDescent="0.3">
      <c r="A385" s="347" t="s">
        <v>1184</v>
      </c>
      <c r="K385" s="422" t="s">
        <v>1238</v>
      </c>
      <c r="L385" s="423">
        <v>45433</v>
      </c>
      <c r="M385" s="423">
        <v>45475</v>
      </c>
      <c r="N385" s="422">
        <v>8.4</v>
      </c>
      <c r="O385" s="422">
        <v>23.01</v>
      </c>
      <c r="R385" s="422">
        <v>128</v>
      </c>
      <c r="V385" s="422">
        <v>128</v>
      </c>
      <c r="X385" s="421">
        <v>60</v>
      </c>
      <c r="Y385" s="421">
        <v>30</v>
      </c>
      <c r="Z385" s="421">
        <v>10</v>
      </c>
      <c r="AC385" s="425">
        <v>2.74</v>
      </c>
      <c r="AF385" s="427">
        <v>1347.76</v>
      </c>
      <c r="AG385" s="444">
        <v>33255</v>
      </c>
      <c r="AI385" s="444">
        <v>9649</v>
      </c>
      <c r="AK385" s="444">
        <v>2227</v>
      </c>
      <c r="AU385" s="428">
        <v>18362.2</v>
      </c>
      <c r="BD385" s="422">
        <v>22.486436810376375</v>
      </c>
      <c r="BE385" s="333">
        <f t="shared" si="165"/>
        <v>0.67618721430962181</v>
      </c>
      <c r="BJ385" s="429">
        <v>0.68919821080838128</v>
      </c>
    </row>
    <row r="386" spans="1:62" ht="20.25" customHeight="1" x14ac:dyDescent="0.3">
      <c r="A386" s="347" t="s">
        <v>1185</v>
      </c>
      <c r="K386" s="422" t="s">
        <v>1238</v>
      </c>
      <c r="L386" s="423">
        <v>45433</v>
      </c>
      <c r="M386" s="423">
        <v>45475</v>
      </c>
      <c r="N386" s="422">
        <v>8.61</v>
      </c>
      <c r="O386" s="422">
        <v>8.1999999999999993</v>
      </c>
      <c r="R386" s="422">
        <v>47.17</v>
      </c>
      <c r="V386" s="422">
        <v>47.17</v>
      </c>
      <c r="X386" s="421">
        <v>60</v>
      </c>
      <c r="Y386" s="421">
        <v>26</v>
      </c>
      <c r="Z386" s="421">
        <v>14</v>
      </c>
      <c r="AC386" s="425">
        <v>1.522</v>
      </c>
      <c r="AF386" s="427">
        <v>1145.1500000000001</v>
      </c>
      <c r="AG386" s="444">
        <v>10172</v>
      </c>
      <c r="AI386" s="444">
        <v>6630</v>
      </c>
      <c r="AK386" s="444">
        <v>2216</v>
      </c>
      <c r="AU386" s="428">
        <v>36140.25</v>
      </c>
      <c r="BD386" s="422">
        <v>7.8799102815034701</v>
      </c>
      <c r="BE386" s="333">
        <f t="shared" si="165"/>
        <v>0.47663943341516601</v>
      </c>
      <c r="BJ386" s="429">
        <v>0.46927829209277439</v>
      </c>
    </row>
    <row r="387" spans="1:62" ht="20.25" customHeight="1" x14ac:dyDescent="0.3">
      <c r="A387" s="347" t="s">
        <v>1186</v>
      </c>
      <c r="K387" s="422" t="s">
        <v>1238</v>
      </c>
      <c r="L387" s="423">
        <v>45433</v>
      </c>
      <c r="M387" s="423">
        <v>45475</v>
      </c>
      <c r="N387" s="422">
        <v>8.16</v>
      </c>
      <c r="O387" s="422">
        <v>42.4</v>
      </c>
      <c r="R387" s="422">
        <v>210.7</v>
      </c>
      <c r="V387" s="422">
        <v>210.7</v>
      </c>
      <c r="X387" s="421">
        <v>28</v>
      </c>
      <c r="Y387" s="421">
        <v>66</v>
      </c>
      <c r="Z387" s="421">
        <v>6</v>
      </c>
      <c r="AC387" s="425">
        <v>3.081</v>
      </c>
      <c r="AF387" s="427">
        <v>1057.26</v>
      </c>
      <c r="AG387" s="444">
        <v>60667</v>
      </c>
      <c r="AI387" s="444">
        <v>10548</v>
      </c>
      <c r="AK387" s="444">
        <v>4001</v>
      </c>
      <c r="AU387" s="428">
        <v>12431.06</v>
      </c>
      <c r="BD387" s="422">
        <v>36.487532583478512</v>
      </c>
      <c r="BE387" s="333">
        <f t="shared" si="165"/>
        <v>0.76830351073365788</v>
      </c>
      <c r="BJ387" s="429">
        <v>0.76602283229884593</v>
      </c>
    </row>
    <row r="388" spans="1:62" ht="20.25" customHeight="1" x14ac:dyDescent="0.3">
      <c r="A388" s="347" t="s">
        <v>1187</v>
      </c>
      <c r="K388" s="422" t="s">
        <v>1238</v>
      </c>
      <c r="L388" s="423">
        <v>45433</v>
      </c>
      <c r="M388" s="423">
        <v>45475</v>
      </c>
      <c r="N388" s="422">
        <v>8.34</v>
      </c>
      <c r="O388" s="422">
        <v>13.1</v>
      </c>
      <c r="R388" s="422">
        <v>71.33</v>
      </c>
      <c r="V388" s="422">
        <v>71.33</v>
      </c>
      <c r="X388" s="421">
        <v>56</v>
      </c>
      <c r="Y388" s="421">
        <v>28</v>
      </c>
      <c r="Z388" s="421">
        <v>16</v>
      </c>
      <c r="AC388" s="425">
        <v>1.752</v>
      </c>
      <c r="AF388" s="427">
        <v>872.64</v>
      </c>
      <c r="AG388" s="444">
        <v>14352</v>
      </c>
      <c r="AI388" s="444">
        <v>7713</v>
      </c>
      <c r="AK388" s="444">
        <v>2617</v>
      </c>
      <c r="AU388" s="428">
        <v>64552.4</v>
      </c>
      <c r="BD388" s="422">
        <v>10.283300672289124</v>
      </c>
      <c r="BE388" s="333">
        <f t="shared" si="165"/>
        <v>0.52729820064277855</v>
      </c>
      <c r="BJ388" s="429">
        <v>0.52203194309866963</v>
      </c>
    </row>
    <row r="389" spans="1:62" ht="20.25" customHeight="1" x14ac:dyDescent="0.3">
      <c r="A389" s="347" t="s">
        <v>1188</v>
      </c>
      <c r="K389" s="422" t="s">
        <v>1238</v>
      </c>
      <c r="L389" s="423">
        <v>45433</v>
      </c>
      <c r="M389" s="423">
        <v>45475</v>
      </c>
      <c r="N389" s="422">
        <v>8.41</v>
      </c>
      <c r="O389" s="422">
        <v>13.1</v>
      </c>
      <c r="R389" s="422">
        <v>98.67</v>
      </c>
      <c r="V389" s="422">
        <v>98.67</v>
      </c>
      <c r="X389" s="421">
        <v>44</v>
      </c>
      <c r="Y389" s="421">
        <v>44</v>
      </c>
      <c r="Z389" s="421">
        <v>12</v>
      </c>
      <c r="AC389" s="425">
        <v>2.254</v>
      </c>
      <c r="AF389" s="427">
        <v>1200.06</v>
      </c>
      <c r="AG389" s="444">
        <v>17809</v>
      </c>
      <c r="AI389" s="444">
        <v>8261</v>
      </c>
      <c r="AK389" s="444">
        <v>1473</v>
      </c>
      <c r="AU389" s="428">
        <v>18995.009999999998</v>
      </c>
      <c r="BD389" s="422">
        <v>13.389534209554043</v>
      </c>
      <c r="BE389" s="333">
        <f t="shared" si="165"/>
        <v>0.57752828281661694</v>
      </c>
      <c r="BJ389" s="429">
        <v>0.59340318136548187</v>
      </c>
    </row>
    <row r="390" spans="1:62" ht="20.25" customHeight="1" x14ac:dyDescent="0.3">
      <c r="A390" s="347" t="s">
        <v>1189</v>
      </c>
      <c r="K390" s="422" t="s">
        <v>1238</v>
      </c>
      <c r="L390" s="423">
        <v>45433</v>
      </c>
      <c r="M390" s="423">
        <v>45475</v>
      </c>
      <c r="N390" s="422">
        <v>8.2200000000000006</v>
      </c>
      <c r="O390" s="422">
        <v>9.6</v>
      </c>
      <c r="R390" s="422">
        <v>58.1</v>
      </c>
      <c r="V390" s="422">
        <v>58.1</v>
      </c>
      <c r="X390" s="421">
        <v>52</v>
      </c>
      <c r="Y390" s="421">
        <v>22</v>
      </c>
      <c r="Z390" s="421">
        <v>26</v>
      </c>
      <c r="AC390" s="425">
        <v>1.3680000000000001</v>
      </c>
      <c r="AF390" s="427">
        <v>880.34</v>
      </c>
      <c r="AG390" s="444">
        <v>12635</v>
      </c>
      <c r="AI390" s="444">
        <v>10298</v>
      </c>
      <c r="AK390" s="444">
        <v>2496</v>
      </c>
      <c r="AU390" s="428">
        <v>1355.97</v>
      </c>
      <c r="BD390" s="422">
        <v>8.2200560695968914</v>
      </c>
      <c r="BE390" s="333">
        <f t="shared" si="165"/>
        <v>0.48468160884014605</v>
      </c>
      <c r="BJ390" s="429">
        <v>0.44400995305855961</v>
      </c>
    </row>
    <row r="391" spans="1:62" ht="20.25" customHeight="1" x14ac:dyDescent="0.3">
      <c r="A391" s="347" t="s">
        <v>1190</v>
      </c>
      <c r="K391" s="422" t="s">
        <v>1238</v>
      </c>
      <c r="L391" s="423">
        <v>45433</v>
      </c>
      <c r="M391" s="423">
        <v>45475</v>
      </c>
      <c r="N391" s="422">
        <v>8.16</v>
      </c>
      <c r="O391" s="422">
        <v>29.1</v>
      </c>
      <c r="R391" s="422">
        <v>183.6</v>
      </c>
      <c r="V391" s="422">
        <v>183.6</v>
      </c>
      <c r="X391" s="421">
        <v>52</v>
      </c>
      <c r="Y391" s="421">
        <v>42</v>
      </c>
      <c r="Z391" s="421">
        <v>6</v>
      </c>
      <c r="AC391" s="425">
        <v>2.7629999999999999</v>
      </c>
      <c r="AF391" s="427">
        <v>1234.78</v>
      </c>
      <c r="AG391" s="444">
        <v>50422</v>
      </c>
      <c r="AI391" s="444">
        <v>10538</v>
      </c>
      <c r="AK391" s="444">
        <v>2008</v>
      </c>
      <c r="AU391" s="428">
        <v>54012.9</v>
      </c>
      <c r="BD391" s="422">
        <v>33.33826495901166</v>
      </c>
      <c r="BE391" s="333">
        <f t="shared" si="165"/>
        <v>0.75112612042847238</v>
      </c>
      <c r="BJ391" s="429">
        <v>0.76406559914428396</v>
      </c>
    </row>
    <row r="392" spans="1:62" ht="20.25" customHeight="1" x14ac:dyDescent="0.3">
      <c r="A392" s="347" t="s">
        <v>1191</v>
      </c>
      <c r="K392" s="422" t="s">
        <v>1238</v>
      </c>
      <c r="L392" s="423">
        <v>45433</v>
      </c>
      <c r="M392" s="423">
        <v>45475</v>
      </c>
      <c r="N392" s="422">
        <v>8.2799999999999994</v>
      </c>
      <c r="O392" s="422">
        <v>9.1</v>
      </c>
      <c r="R392" s="422">
        <v>63.14</v>
      </c>
      <c r="V392" s="422">
        <v>63.14</v>
      </c>
      <c r="X392" s="421">
        <v>58</v>
      </c>
      <c r="Y392" s="421">
        <v>34</v>
      </c>
      <c r="Z392" s="421">
        <v>8</v>
      </c>
      <c r="AC392" s="425">
        <v>1.58</v>
      </c>
      <c r="AF392" s="427">
        <v>957.7</v>
      </c>
      <c r="AG392" s="444">
        <v>13580</v>
      </c>
      <c r="AI392" s="444">
        <v>7752</v>
      </c>
      <c r="AK392" s="444">
        <v>2503</v>
      </c>
      <c r="AU392" s="428">
        <v>1266.31</v>
      </c>
      <c r="BD392" s="422">
        <v>9.7817541307188289</v>
      </c>
      <c r="BE392" s="333">
        <f t="shared" si="165"/>
        <v>0.51778273276535647</v>
      </c>
      <c r="BJ392" s="429">
        <v>0.50967694525197027</v>
      </c>
    </row>
    <row r="393" spans="1:62" ht="20.25" customHeight="1" x14ac:dyDescent="0.3">
      <c r="A393" s="347" t="s">
        <v>1192</v>
      </c>
      <c r="K393" s="422" t="s">
        <v>1238</v>
      </c>
      <c r="L393" s="423">
        <v>45433</v>
      </c>
      <c r="M393" s="423">
        <v>45475</v>
      </c>
      <c r="N393" s="422">
        <v>8.09</v>
      </c>
      <c r="O393" s="422">
        <v>20</v>
      </c>
      <c r="R393" s="422">
        <v>112</v>
      </c>
      <c r="V393" s="422">
        <v>112</v>
      </c>
      <c r="X393" s="421">
        <v>58</v>
      </c>
      <c r="Y393" s="421">
        <v>38</v>
      </c>
      <c r="Z393" s="421">
        <v>4</v>
      </c>
      <c r="AC393" s="425">
        <v>2.7320000000000002</v>
      </c>
      <c r="AF393" s="427">
        <v>1251.6300000000001</v>
      </c>
      <c r="AG393" s="444">
        <v>25047</v>
      </c>
      <c r="AI393" s="444">
        <v>11583</v>
      </c>
      <c r="AK393" s="444">
        <v>2547</v>
      </c>
      <c r="AU393" s="428">
        <v>33862.120000000003</v>
      </c>
      <c r="BD393" s="422">
        <v>15.547375763848933</v>
      </c>
      <c r="BE393" s="333">
        <f t="shared" si="165"/>
        <v>0.60596262157004355</v>
      </c>
      <c r="BJ393" s="429">
        <v>0.5877628532570881</v>
      </c>
    </row>
    <row r="394" spans="1:62" ht="20.25" customHeight="1" x14ac:dyDescent="0.3">
      <c r="A394" s="347" t="s">
        <v>1193</v>
      </c>
      <c r="K394" s="422" t="s">
        <v>1238</v>
      </c>
      <c r="L394" s="423">
        <v>45433</v>
      </c>
      <c r="M394" s="423">
        <v>45475</v>
      </c>
      <c r="N394" s="422">
        <v>8.3699999999999992</v>
      </c>
      <c r="O394" s="422">
        <v>8.6</v>
      </c>
      <c r="R394" s="422">
        <v>43.84</v>
      </c>
      <c r="V394" s="422">
        <v>43.84</v>
      </c>
      <c r="X394" s="421">
        <v>60</v>
      </c>
      <c r="Y394" s="421">
        <v>24</v>
      </c>
      <c r="Z394" s="421">
        <v>16</v>
      </c>
      <c r="AC394" s="425">
        <v>1.5209999999999999</v>
      </c>
      <c r="AF394" s="427">
        <v>1149.5</v>
      </c>
      <c r="AG394" s="444">
        <v>11183</v>
      </c>
      <c r="AI394" s="444">
        <v>6742</v>
      </c>
      <c r="AK394" s="444">
        <v>2401</v>
      </c>
      <c r="AU394" s="428">
        <v>1016.15</v>
      </c>
      <c r="BD394" s="422">
        <v>8.502994681515986</v>
      </c>
      <c r="BE394" s="333">
        <f t="shared" si="165"/>
        <v>0.49112162473991727</v>
      </c>
      <c r="BJ394" s="429">
        <v>0.48414722727139814</v>
      </c>
    </row>
    <row r="395" spans="1:62" ht="20.25" customHeight="1" x14ac:dyDescent="0.3">
      <c r="A395" s="347" t="s">
        <v>1194</v>
      </c>
      <c r="K395" s="422" t="s">
        <v>1238</v>
      </c>
      <c r="L395" s="423">
        <v>45433</v>
      </c>
      <c r="M395" s="423">
        <v>45475</v>
      </c>
      <c r="N395" s="422">
        <v>8.08</v>
      </c>
      <c r="O395" s="422">
        <v>15.1</v>
      </c>
      <c r="R395" s="422">
        <v>125.7</v>
      </c>
      <c r="V395" s="422">
        <v>125.7</v>
      </c>
      <c r="X395" s="421">
        <v>42</v>
      </c>
      <c r="Y395" s="421">
        <v>32</v>
      </c>
      <c r="Z395" s="421">
        <v>26</v>
      </c>
      <c r="AC395" s="425">
        <v>2.093</v>
      </c>
      <c r="AF395" s="427">
        <v>1032.1400000000001</v>
      </c>
      <c r="AG395" s="444">
        <v>20086</v>
      </c>
      <c r="AI395" s="444">
        <v>5798</v>
      </c>
      <c r="AK395" s="444">
        <v>2035</v>
      </c>
      <c r="AU395" s="428">
        <v>2233.91</v>
      </c>
      <c r="BD395" s="422">
        <v>16.508320452475768</v>
      </c>
      <c r="BE395" s="333">
        <f t="shared" si="165"/>
        <v>0.61737541885102099</v>
      </c>
      <c r="BJ395" s="429">
        <v>0.6625589088273488</v>
      </c>
    </row>
    <row r="396" spans="1:62" ht="20.25" customHeight="1" x14ac:dyDescent="0.3">
      <c r="A396" s="347" t="s">
        <v>1195</v>
      </c>
      <c r="K396" s="422" t="s">
        <v>1238</v>
      </c>
      <c r="L396" s="423">
        <v>45433</v>
      </c>
      <c r="M396" s="423">
        <v>45475</v>
      </c>
      <c r="N396" s="422">
        <v>8.06</v>
      </c>
      <c r="O396" s="422">
        <v>13</v>
      </c>
      <c r="R396" s="422">
        <v>84.25</v>
      </c>
      <c r="V396" s="422">
        <v>84.25</v>
      </c>
      <c r="X396" s="421">
        <v>36</v>
      </c>
      <c r="Y396" s="421">
        <v>36</v>
      </c>
      <c r="Z396" s="421">
        <v>28</v>
      </c>
      <c r="AC396" s="425">
        <v>1.6659999999999999</v>
      </c>
      <c r="AF396" s="427">
        <v>942.98</v>
      </c>
      <c r="AG396" s="444">
        <v>14445</v>
      </c>
      <c r="AI396" s="444">
        <v>6719</v>
      </c>
      <c r="AK396" s="444">
        <v>2863</v>
      </c>
      <c r="AU396" s="428">
        <v>1807.43</v>
      </c>
      <c r="BD396" s="422">
        <v>10.660749819687814</v>
      </c>
      <c r="BE396" s="333">
        <f t="shared" si="165"/>
        <v>0.53415803423291597</v>
      </c>
      <c r="BJ396" s="429">
        <v>0.53679325895701269</v>
      </c>
    </row>
    <row r="397" spans="1:62" ht="20.25" customHeight="1" x14ac:dyDescent="0.3">
      <c r="A397" s="347" t="s">
        <v>1196</v>
      </c>
      <c r="K397" s="422" t="s">
        <v>1238</v>
      </c>
      <c r="L397" s="423">
        <v>45433</v>
      </c>
      <c r="M397" s="423">
        <v>45475</v>
      </c>
      <c r="N397" s="422">
        <v>7.82</v>
      </c>
      <c r="O397" s="422">
        <v>68</v>
      </c>
      <c r="R397" s="422">
        <v>224.7</v>
      </c>
      <c r="V397" s="422">
        <v>224.7</v>
      </c>
      <c r="X397" s="421">
        <v>32</v>
      </c>
      <c r="Y397" s="421">
        <v>66</v>
      </c>
      <c r="Z397" s="421">
        <v>2</v>
      </c>
      <c r="AC397" s="425">
        <v>3.3940000000000001</v>
      </c>
      <c r="AF397" s="427">
        <v>1000.52</v>
      </c>
      <c r="AG397" s="444">
        <v>101642</v>
      </c>
      <c r="AI397" s="444">
        <v>14766</v>
      </c>
      <c r="AK397" s="444">
        <v>6633</v>
      </c>
      <c r="AU397" s="428">
        <v>131012.18</v>
      </c>
      <c r="BD397" s="422">
        <v>50.099022756478057</v>
      </c>
      <c r="BE397" s="333">
        <f t="shared" si="165"/>
        <v>0.82863448583856514</v>
      </c>
      <c r="BJ397" s="429">
        <v>0.78881056698875707</v>
      </c>
    </row>
    <row r="398" spans="1:62" ht="20.25" customHeight="1" x14ac:dyDescent="0.3">
      <c r="A398" s="347" t="s">
        <v>1197</v>
      </c>
      <c r="K398" s="422" t="s">
        <v>1238</v>
      </c>
      <c r="L398" s="423">
        <v>45433</v>
      </c>
      <c r="M398" s="423">
        <v>45475</v>
      </c>
      <c r="N398" s="422">
        <v>8.2100000000000009</v>
      </c>
      <c r="O398" s="422">
        <v>11.1</v>
      </c>
      <c r="R398" s="422">
        <v>65.38</v>
      </c>
      <c r="V398" s="422">
        <v>65.38</v>
      </c>
      <c r="X398" s="421">
        <v>54</v>
      </c>
      <c r="Y398" s="421">
        <v>38</v>
      </c>
      <c r="Z398" s="421">
        <v>8</v>
      </c>
      <c r="AC398" s="425">
        <v>1.4590000000000001</v>
      </c>
      <c r="AF398" s="427">
        <v>1026.4100000000001</v>
      </c>
      <c r="AG398" s="444">
        <v>31272</v>
      </c>
      <c r="AI398" s="444">
        <v>6149</v>
      </c>
      <c r="AK398" s="444">
        <v>2022</v>
      </c>
      <c r="AU398" s="428">
        <v>1564.63</v>
      </c>
      <c r="BD398" s="422">
        <v>25.21979379042001</v>
      </c>
      <c r="BE398" s="333">
        <f t="shared" si="165"/>
        <v>0.69801782802004164</v>
      </c>
      <c r="BJ398" s="429">
        <v>0.74694300630809018</v>
      </c>
    </row>
    <row r="399" spans="1:62" ht="20.25" customHeight="1" x14ac:dyDescent="0.3">
      <c r="A399" s="347" t="s">
        <v>1198</v>
      </c>
      <c r="K399" s="422" t="s">
        <v>1238</v>
      </c>
      <c r="L399" s="423">
        <v>45433</v>
      </c>
      <c r="M399" s="423">
        <v>45475</v>
      </c>
      <c r="N399" s="422">
        <v>8.2100000000000009</v>
      </c>
      <c r="O399" s="422">
        <v>20.3</v>
      </c>
      <c r="R399" s="422">
        <v>142.30000000000001</v>
      </c>
      <c r="V399" s="422">
        <v>142.30000000000001</v>
      </c>
      <c r="X399" s="421">
        <v>44</v>
      </c>
      <c r="Y399" s="421">
        <v>42</v>
      </c>
      <c r="Z399" s="421">
        <v>14</v>
      </c>
      <c r="AC399" s="425">
        <v>2.1160000000000001</v>
      </c>
      <c r="AF399" s="427">
        <v>653.72</v>
      </c>
      <c r="AG399" s="444">
        <v>15432</v>
      </c>
      <c r="AI399" s="444">
        <v>7877</v>
      </c>
      <c r="AK399" s="444">
        <v>2511</v>
      </c>
      <c r="AU399" s="428">
        <v>35545.589999999997</v>
      </c>
      <c r="BD399" s="422">
        <v>11.049002190194537</v>
      </c>
      <c r="BE399" s="333">
        <f t="shared" si="165"/>
        <v>0.5409653256650625</v>
      </c>
      <c r="BJ399" s="429">
        <v>0.54248267755014212</v>
      </c>
    </row>
    <row r="400" spans="1:62" ht="20.25" customHeight="1" x14ac:dyDescent="0.3">
      <c r="A400" s="347" t="s">
        <v>1199</v>
      </c>
      <c r="K400" s="422" t="s">
        <v>1238</v>
      </c>
      <c r="L400" s="423">
        <v>45433</v>
      </c>
      <c r="M400" s="423">
        <v>45475</v>
      </c>
      <c r="N400" s="422">
        <v>8.07</v>
      </c>
      <c r="O400" s="422">
        <v>11.3</v>
      </c>
      <c r="R400" s="422">
        <v>58.66</v>
      </c>
      <c r="V400" s="422">
        <v>58.66</v>
      </c>
      <c r="X400" s="421">
        <v>34</v>
      </c>
      <c r="Y400" s="421">
        <v>52</v>
      </c>
      <c r="Z400" s="421">
        <v>14</v>
      </c>
      <c r="AC400" s="425">
        <v>1.6439999999999999</v>
      </c>
      <c r="AF400" s="427">
        <v>599.63</v>
      </c>
      <c r="AG400" s="444">
        <v>11532</v>
      </c>
      <c r="AI400" s="444">
        <v>7205</v>
      </c>
      <c r="AK400" s="444">
        <v>3163</v>
      </c>
      <c r="AU400" s="428">
        <v>1399.11</v>
      </c>
      <c r="BD400" s="422">
        <v>8.1729666673417807</v>
      </c>
      <c r="BE400" s="333">
        <f t="shared" si="165"/>
        <v>0.48358832201436053</v>
      </c>
      <c r="BJ400" s="429">
        <v>0.46555337428800836</v>
      </c>
    </row>
    <row r="401" spans="1:62" ht="20.25" customHeight="1" x14ac:dyDescent="0.3">
      <c r="A401" s="347" t="s">
        <v>1200</v>
      </c>
      <c r="K401" s="422" t="s">
        <v>1238</v>
      </c>
      <c r="L401" s="423">
        <v>45433</v>
      </c>
      <c r="M401" s="423">
        <v>45475</v>
      </c>
      <c r="N401" s="422">
        <v>8.36</v>
      </c>
      <c r="O401" s="422">
        <v>13.5</v>
      </c>
      <c r="R401" s="422">
        <v>146</v>
      </c>
      <c r="V401" s="422">
        <v>146</v>
      </c>
      <c r="X401" s="421">
        <v>32</v>
      </c>
      <c r="Y401" s="421">
        <v>28</v>
      </c>
      <c r="Z401" s="421">
        <v>40</v>
      </c>
      <c r="AC401" s="425">
        <v>1.7110000000000001</v>
      </c>
      <c r="AF401" s="427">
        <v>665.78</v>
      </c>
      <c r="AG401" s="444">
        <v>17903</v>
      </c>
      <c r="AI401" s="444">
        <v>4961</v>
      </c>
      <c r="AK401" s="444">
        <v>1185</v>
      </c>
      <c r="AU401" s="428">
        <v>2052.0500000000002</v>
      </c>
      <c r="BD401" s="422">
        <v>16.811707935506583</v>
      </c>
      <c r="BE401" s="333">
        <f t="shared" si="165"/>
        <v>0.62084097613919509</v>
      </c>
      <c r="BJ401" s="429">
        <v>0.69777761171521857</v>
      </c>
    </row>
    <row r="402" spans="1:62" ht="20.25" customHeight="1" x14ac:dyDescent="0.3">
      <c r="A402" s="347" t="s">
        <v>1201</v>
      </c>
      <c r="K402" s="422" t="s">
        <v>1238</v>
      </c>
      <c r="L402" s="423">
        <v>45433</v>
      </c>
      <c r="M402" s="423">
        <v>45475</v>
      </c>
      <c r="N402" s="422">
        <v>8.32</v>
      </c>
      <c r="O402" s="422">
        <v>8.9</v>
      </c>
      <c r="R402" s="422">
        <v>71.56</v>
      </c>
      <c r="V402" s="422">
        <v>71.56</v>
      </c>
      <c r="X402" s="421">
        <v>46</v>
      </c>
      <c r="Y402" s="421">
        <v>20</v>
      </c>
      <c r="Z402" s="421">
        <v>34</v>
      </c>
      <c r="AC402" s="425">
        <v>1.3080000000000001</v>
      </c>
      <c r="AF402" s="427">
        <v>523.21</v>
      </c>
      <c r="AG402" s="444">
        <v>11117</v>
      </c>
      <c r="AI402" s="444">
        <v>5492</v>
      </c>
      <c r="AK402" s="444">
        <v>2301</v>
      </c>
      <c r="AU402" s="428">
        <v>1170.95</v>
      </c>
      <c r="BD402" s="422">
        <v>9.1033411095226047</v>
      </c>
      <c r="BE402" s="333">
        <f t="shared" si="165"/>
        <v>0.50410447764611066</v>
      </c>
      <c r="BJ402" s="429">
        <v>0.52731343413215515</v>
      </c>
    </row>
    <row r="403" spans="1:62" ht="20.25" customHeight="1" x14ac:dyDescent="0.3">
      <c r="A403" s="347" t="s">
        <v>1202</v>
      </c>
      <c r="K403" s="422" t="s">
        <v>1238</v>
      </c>
      <c r="L403" s="423">
        <v>45433</v>
      </c>
      <c r="M403" s="423">
        <v>45475</v>
      </c>
      <c r="N403" s="422">
        <v>8.01</v>
      </c>
      <c r="O403" s="422">
        <v>16.600000000000001</v>
      </c>
      <c r="R403" s="422">
        <v>102.5</v>
      </c>
      <c r="V403" s="422">
        <v>102.5</v>
      </c>
      <c r="X403" s="421">
        <v>52</v>
      </c>
      <c r="Y403" s="421">
        <v>38</v>
      </c>
      <c r="Z403" s="421">
        <v>10</v>
      </c>
      <c r="AC403" s="425">
        <v>2.2629999999999999</v>
      </c>
      <c r="AF403" s="427">
        <v>1349.83</v>
      </c>
      <c r="AG403" s="444">
        <v>22045</v>
      </c>
      <c r="AI403" s="444">
        <v>11425</v>
      </c>
      <c r="AK403" s="444">
        <v>2680</v>
      </c>
      <c r="AU403" s="428">
        <v>28673.61</v>
      </c>
      <c r="BD403" s="422">
        <v>13.671831459737509</v>
      </c>
      <c r="BE403" s="333">
        <f t="shared" si="165"/>
        <v>0.58149874876889784</v>
      </c>
      <c r="BJ403" s="429">
        <v>0.55519953247605214</v>
      </c>
    </row>
    <row r="404" spans="1:62" ht="20.25" customHeight="1" x14ac:dyDescent="0.3">
      <c r="A404" s="347" t="s">
        <v>1203</v>
      </c>
      <c r="K404" s="422" t="s">
        <v>1238</v>
      </c>
      <c r="L404" s="423">
        <v>45433</v>
      </c>
      <c r="M404" s="423">
        <v>45475</v>
      </c>
      <c r="N404" s="422">
        <v>8.5399999999999991</v>
      </c>
      <c r="O404" s="422">
        <v>5.7</v>
      </c>
      <c r="R404" s="422">
        <v>33.93</v>
      </c>
      <c r="V404" s="422">
        <v>33.93</v>
      </c>
      <c r="X404" s="421">
        <v>64</v>
      </c>
      <c r="Y404" s="421">
        <v>26</v>
      </c>
      <c r="Z404" s="421">
        <v>10</v>
      </c>
      <c r="AC404" s="425">
        <v>1.472</v>
      </c>
      <c r="AF404" s="427">
        <v>1346.94</v>
      </c>
      <c r="AG404" s="444">
        <v>7607</v>
      </c>
      <c r="AI404" s="444">
        <v>7356</v>
      </c>
      <c r="AK404" s="444">
        <v>2121</v>
      </c>
      <c r="AU404" s="428">
        <v>778.43</v>
      </c>
      <c r="BD404" s="422">
        <v>5.7205079165892476</v>
      </c>
      <c r="BE404" s="333">
        <f t="shared" ref="BE404:BE438" si="166">0.1903*LN(BD404)+0.0838</f>
        <v>0.41569416091006306</v>
      </c>
      <c r="BJ404" s="429">
        <v>0.38223651053035518</v>
      </c>
    </row>
    <row r="405" spans="1:62" ht="20.25" customHeight="1" x14ac:dyDescent="0.3">
      <c r="A405" s="347" t="s">
        <v>1204</v>
      </c>
      <c r="K405" s="422" t="s">
        <v>1238</v>
      </c>
      <c r="L405" s="423">
        <v>45433</v>
      </c>
      <c r="M405" s="423">
        <v>45475</v>
      </c>
      <c r="N405" s="422">
        <v>8.06</v>
      </c>
      <c r="O405" s="422">
        <v>20.399999999999999</v>
      </c>
      <c r="R405" s="422">
        <v>119.2</v>
      </c>
      <c r="V405" s="422">
        <v>119.2</v>
      </c>
      <c r="X405" s="421">
        <v>54</v>
      </c>
      <c r="Y405" s="421">
        <v>42</v>
      </c>
      <c r="Z405" s="421">
        <v>4</v>
      </c>
      <c r="AC405" s="425">
        <v>3.0230000000000001</v>
      </c>
      <c r="AF405" s="427">
        <v>1429.18</v>
      </c>
      <c r="AG405" s="444">
        <v>25959</v>
      </c>
      <c r="AI405" s="444">
        <v>12043</v>
      </c>
      <c r="AK405" s="444">
        <v>3509</v>
      </c>
      <c r="AU405" s="428">
        <v>35612.53</v>
      </c>
      <c r="BD405" s="422">
        <v>15.233842521659184</v>
      </c>
      <c r="BE405" s="333">
        <f t="shared" si="166"/>
        <v>0.60208574840493223</v>
      </c>
      <c r="BJ405" s="429">
        <v>0.56887205900871307</v>
      </c>
    </row>
    <row r="406" spans="1:62" ht="20.25" customHeight="1" x14ac:dyDescent="0.3">
      <c r="A406" s="347" t="s">
        <v>1205</v>
      </c>
      <c r="K406" s="422" t="s">
        <v>1238</v>
      </c>
      <c r="L406" s="423">
        <v>45433</v>
      </c>
      <c r="M406" s="423">
        <v>45475</v>
      </c>
      <c r="N406" s="422">
        <v>8.39</v>
      </c>
      <c r="O406" s="422">
        <v>7.5</v>
      </c>
      <c r="R406" s="422">
        <v>47.7</v>
      </c>
      <c r="V406" s="422">
        <v>47.7</v>
      </c>
      <c r="X406" s="421">
        <v>58</v>
      </c>
      <c r="Y406" s="421">
        <v>26</v>
      </c>
      <c r="Z406" s="421">
        <v>16</v>
      </c>
      <c r="AC406" s="425">
        <v>1.506</v>
      </c>
      <c r="AF406" s="427">
        <v>1288.01</v>
      </c>
      <c r="AG406" s="444">
        <v>11037</v>
      </c>
      <c r="AI406" s="444">
        <v>12032</v>
      </c>
      <c r="AK406" s="444">
        <v>3290</v>
      </c>
      <c r="AU406" s="428">
        <v>947.51</v>
      </c>
      <c r="BD406" s="422">
        <v>6.5381936389886084</v>
      </c>
      <c r="BE406" s="333">
        <f t="shared" si="166"/>
        <v>0.44111887409007128</v>
      </c>
      <c r="BJ406" s="429">
        <v>0.36463805015701106</v>
      </c>
    </row>
    <row r="407" spans="1:62" ht="20.25" customHeight="1" x14ac:dyDescent="0.3">
      <c r="A407" s="347" t="s">
        <v>1206</v>
      </c>
      <c r="K407" s="422" t="s">
        <v>1238</v>
      </c>
      <c r="L407" s="423">
        <v>45433</v>
      </c>
      <c r="M407" s="423">
        <v>45475</v>
      </c>
      <c r="N407" s="422">
        <v>8.01</v>
      </c>
      <c r="O407" s="422">
        <v>42.9</v>
      </c>
      <c r="R407" s="422">
        <v>231.2</v>
      </c>
      <c r="V407" s="422">
        <v>231.2</v>
      </c>
      <c r="X407" s="421">
        <v>32</v>
      </c>
      <c r="Y407" s="421">
        <v>40</v>
      </c>
      <c r="Z407" s="421">
        <v>28</v>
      </c>
      <c r="AC407" s="425">
        <v>2.726</v>
      </c>
      <c r="AF407" s="427">
        <v>520.39</v>
      </c>
      <c r="AG407" s="444">
        <v>51677</v>
      </c>
      <c r="AI407" s="444">
        <v>13207</v>
      </c>
      <c r="AK407" s="444">
        <v>4494</v>
      </c>
      <c r="AU407" s="428">
        <v>81953.009999999995</v>
      </c>
      <c r="BD407" s="422">
        <v>28.283083871418881</v>
      </c>
      <c r="BE407" s="333">
        <f t="shared" si="166"/>
        <v>0.71983281691019596</v>
      </c>
      <c r="BJ407" s="429">
        <v>0.70254713710578387</v>
      </c>
    </row>
    <row r="408" spans="1:62" ht="20.25" customHeight="1" x14ac:dyDescent="0.3">
      <c r="A408" s="347" t="s">
        <v>1207</v>
      </c>
      <c r="K408" s="422" t="s">
        <v>1238</v>
      </c>
      <c r="L408" s="423">
        <v>45433</v>
      </c>
      <c r="M408" s="423">
        <v>45475</v>
      </c>
      <c r="N408" s="422">
        <v>8.4700000000000006</v>
      </c>
      <c r="O408" s="422">
        <v>5.6</v>
      </c>
      <c r="R408" s="422">
        <v>58.62</v>
      </c>
      <c r="V408" s="422">
        <v>58.62</v>
      </c>
      <c r="X408" s="421">
        <v>32</v>
      </c>
      <c r="Y408" s="421">
        <v>22</v>
      </c>
      <c r="Z408" s="421">
        <v>46</v>
      </c>
      <c r="AC408" s="425">
        <v>1.026</v>
      </c>
      <c r="AF408" s="427">
        <v>250.27</v>
      </c>
      <c r="AG408" s="444">
        <v>6691</v>
      </c>
      <c r="AI408" s="444">
        <v>6545</v>
      </c>
      <c r="AK408" s="444">
        <v>1188</v>
      </c>
      <c r="AU408" s="428">
        <v>795.56</v>
      </c>
      <c r="BD408" s="422">
        <v>5.6416323757378031</v>
      </c>
      <c r="BE408" s="333">
        <f t="shared" si="166"/>
        <v>0.41305200790722224</v>
      </c>
      <c r="BJ408" s="429">
        <v>0.42002132323620028</v>
      </c>
    </row>
    <row r="409" spans="1:62" ht="20.25" customHeight="1" x14ac:dyDescent="0.3">
      <c r="A409" s="347" t="s">
        <v>1208</v>
      </c>
      <c r="K409" s="422" t="s">
        <v>1238</v>
      </c>
      <c r="L409" s="423">
        <v>45433</v>
      </c>
      <c r="M409" s="423">
        <v>45475</v>
      </c>
      <c r="N409" s="422">
        <v>8.11</v>
      </c>
      <c r="O409" s="422">
        <v>47.2</v>
      </c>
      <c r="R409" s="422">
        <v>241.5</v>
      </c>
      <c r="V409" s="422">
        <v>241.5</v>
      </c>
      <c r="X409" s="421">
        <v>26</v>
      </c>
      <c r="Y409" s="421">
        <v>58</v>
      </c>
      <c r="Z409" s="421">
        <v>16</v>
      </c>
      <c r="AC409" s="425">
        <v>2.62</v>
      </c>
      <c r="AF409" s="427">
        <v>1097.33</v>
      </c>
      <c r="AG409" s="444">
        <v>74798</v>
      </c>
      <c r="AI409" s="444">
        <v>11587</v>
      </c>
      <c r="AK409" s="444">
        <v>4070</v>
      </c>
      <c r="AU409" s="428">
        <v>86774.43</v>
      </c>
      <c r="BD409" s="422">
        <v>43.480820619893407</v>
      </c>
      <c r="BE409" s="333">
        <f t="shared" si="166"/>
        <v>0.80167248374040101</v>
      </c>
      <c r="BJ409" s="429">
        <v>0.79058220502680343</v>
      </c>
    </row>
    <row r="410" spans="1:62" ht="20.25" customHeight="1" x14ac:dyDescent="0.3">
      <c r="A410" s="347" t="s">
        <v>1209</v>
      </c>
      <c r="K410" s="422" t="s">
        <v>1238</v>
      </c>
      <c r="L410" s="423">
        <v>45433</v>
      </c>
      <c r="M410" s="423">
        <v>45475</v>
      </c>
      <c r="N410" s="422">
        <v>8.31</v>
      </c>
      <c r="O410" s="422">
        <v>14</v>
      </c>
      <c r="R410" s="422">
        <v>77.97</v>
      </c>
      <c r="V410" s="422">
        <v>77.97</v>
      </c>
      <c r="X410" s="421">
        <v>50</v>
      </c>
      <c r="Y410" s="421">
        <v>34</v>
      </c>
      <c r="Z410" s="421">
        <v>16</v>
      </c>
      <c r="AC410" s="425">
        <v>1.5780000000000001</v>
      </c>
      <c r="AF410" s="427">
        <v>806.28</v>
      </c>
      <c r="AG410" s="444">
        <v>14599</v>
      </c>
      <c r="AI410" s="444">
        <v>7598</v>
      </c>
      <c r="AK410" s="444">
        <v>2348</v>
      </c>
      <c r="AU410" s="428">
        <v>1745.24</v>
      </c>
      <c r="BD410" s="422">
        <v>10.693078175511204</v>
      </c>
      <c r="BE410" s="333">
        <f t="shared" si="166"/>
        <v>0.53473423919389873</v>
      </c>
      <c r="BJ410" s="429">
        <v>0.53762349926584796</v>
      </c>
    </row>
    <row r="411" spans="1:62" ht="20.25" customHeight="1" x14ac:dyDescent="0.3">
      <c r="A411" s="347" t="s">
        <v>1210</v>
      </c>
      <c r="K411" s="422" t="s">
        <v>1238</v>
      </c>
      <c r="L411" s="423">
        <v>45433</v>
      </c>
      <c r="M411" s="423">
        <v>45475</v>
      </c>
      <c r="N411" s="422">
        <v>8.36</v>
      </c>
      <c r="O411" s="422">
        <v>17.7</v>
      </c>
      <c r="R411" s="422">
        <v>131.6</v>
      </c>
      <c r="V411" s="422">
        <v>131.6</v>
      </c>
      <c r="X411" s="421">
        <v>36</v>
      </c>
      <c r="Y411" s="421">
        <v>44</v>
      </c>
      <c r="Z411" s="421">
        <v>20</v>
      </c>
      <c r="AC411" s="425">
        <v>2.0150000000000001</v>
      </c>
      <c r="AF411" s="427">
        <v>533.24</v>
      </c>
      <c r="AG411" s="444">
        <v>21676</v>
      </c>
      <c r="AI411" s="444">
        <v>4644</v>
      </c>
      <c r="AK411" s="444">
        <v>3024</v>
      </c>
      <c r="AU411" s="428">
        <v>26913.69</v>
      </c>
      <c r="BD411" s="422">
        <v>17.591842659700315</v>
      </c>
      <c r="BE411" s="333">
        <f t="shared" si="166"/>
        <v>0.62947293937069804</v>
      </c>
      <c r="BJ411" s="429">
        <v>0.68117599251078276</v>
      </c>
    </row>
    <row r="412" spans="1:62" ht="20.25" customHeight="1" x14ac:dyDescent="0.3">
      <c r="A412" s="347" t="s">
        <v>1211</v>
      </c>
      <c r="K412" s="422" t="s">
        <v>1238</v>
      </c>
      <c r="L412" s="423">
        <v>45433</v>
      </c>
      <c r="M412" s="423">
        <v>45475</v>
      </c>
      <c r="N412" s="422">
        <v>8.42</v>
      </c>
      <c r="O412" s="422">
        <v>8.3000000000000007</v>
      </c>
      <c r="R412" s="422">
        <v>49.26</v>
      </c>
      <c r="V412" s="422">
        <v>49.26</v>
      </c>
      <c r="X412" s="421">
        <v>42</v>
      </c>
      <c r="Y412" s="421">
        <v>32</v>
      </c>
      <c r="Z412" s="421">
        <v>26</v>
      </c>
      <c r="AC412" s="425">
        <v>1.3560000000000001</v>
      </c>
      <c r="AF412" s="427">
        <v>422.81</v>
      </c>
      <c r="AG412" s="444">
        <v>9527</v>
      </c>
      <c r="AI412" s="444">
        <v>4064</v>
      </c>
      <c r="AK412" s="444">
        <v>2386</v>
      </c>
      <c r="AU412" s="428">
        <v>947.42</v>
      </c>
      <c r="BD412" s="422">
        <v>8.4654421484874014</v>
      </c>
      <c r="BE412" s="333">
        <f t="shared" si="166"/>
        <v>0.49027932455943946</v>
      </c>
      <c r="BJ412" s="429">
        <v>0.52998529024920249</v>
      </c>
    </row>
    <row r="413" spans="1:62" ht="20.25" customHeight="1" x14ac:dyDescent="0.3">
      <c r="A413" s="347" t="s">
        <v>1212</v>
      </c>
      <c r="K413" s="422" t="s">
        <v>1238</v>
      </c>
      <c r="L413" s="423">
        <v>45433</v>
      </c>
      <c r="M413" s="423">
        <v>45475</v>
      </c>
      <c r="N413" s="422">
        <v>8.07</v>
      </c>
      <c r="O413" s="422">
        <v>1.8</v>
      </c>
      <c r="R413" s="422">
        <v>7.38</v>
      </c>
      <c r="V413" s="422">
        <v>7.38</v>
      </c>
      <c r="X413" s="421">
        <v>54</v>
      </c>
      <c r="Y413" s="421">
        <v>38</v>
      </c>
      <c r="Z413" s="421">
        <v>8</v>
      </c>
      <c r="AC413" s="425">
        <v>2.7389999999999999</v>
      </c>
      <c r="AF413" s="427">
        <v>600.91999999999996</v>
      </c>
      <c r="AG413" s="444">
        <v>1399</v>
      </c>
      <c r="AI413" s="444">
        <v>7258</v>
      </c>
      <c r="AK413" s="444">
        <v>1257</v>
      </c>
      <c r="AU413" s="428">
        <v>105.45</v>
      </c>
      <c r="BD413" s="422">
        <v>1.1253641726991537</v>
      </c>
      <c r="BE413" s="333">
        <f t="shared" si="166"/>
        <v>0.10627570355226819</v>
      </c>
      <c r="BJ413" s="429">
        <v>0.11891712605671784</v>
      </c>
    </row>
    <row r="414" spans="1:62" ht="20.25" customHeight="1" x14ac:dyDescent="0.3">
      <c r="A414" s="347" t="s">
        <v>1213</v>
      </c>
      <c r="K414" s="422" t="s">
        <v>1238</v>
      </c>
      <c r="L414" s="423">
        <v>45433</v>
      </c>
      <c r="M414" s="423">
        <v>45475</v>
      </c>
      <c r="N414" s="422">
        <v>8.39</v>
      </c>
      <c r="O414" s="422">
        <v>3.6</v>
      </c>
      <c r="R414" s="422">
        <v>21.53</v>
      </c>
      <c r="V414" s="422">
        <v>21.53</v>
      </c>
      <c r="X414" s="421">
        <v>52</v>
      </c>
      <c r="Y414" s="421">
        <v>38</v>
      </c>
      <c r="Z414" s="421">
        <v>10</v>
      </c>
      <c r="AC414" s="425">
        <v>1.6739999999999999</v>
      </c>
      <c r="AF414" s="427">
        <v>707.66</v>
      </c>
      <c r="AG414" s="444">
        <v>4753</v>
      </c>
      <c r="AI414" s="444">
        <v>7100</v>
      </c>
      <c r="AK414" s="444">
        <v>1158</v>
      </c>
      <c r="AU414" s="428">
        <v>329.12</v>
      </c>
      <c r="BD414" s="422">
        <v>3.8876794822066674</v>
      </c>
      <c r="BE414" s="333">
        <f t="shared" si="166"/>
        <v>0.34219170837788343</v>
      </c>
      <c r="BJ414" s="429">
        <v>0.31982004968081007</v>
      </c>
    </row>
    <row r="415" spans="1:62" ht="20.25" customHeight="1" x14ac:dyDescent="0.3">
      <c r="A415" s="347" t="s">
        <v>1214</v>
      </c>
      <c r="K415" s="422" t="s">
        <v>1238</v>
      </c>
      <c r="L415" s="423">
        <v>45433</v>
      </c>
      <c r="M415" s="423">
        <v>45475</v>
      </c>
      <c r="N415" s="422">
        <v>8.31</v>
      </c>
      <c r="O415" s="422">
        <v>13.2</v>
      </c>
      <c r="R415" s="422">
        <v>84.05</v>
      </c>
      <c r="V415" s="422">
        <v>84.05</v>
      </c>
      <c r="X415" s="421">
        <v>52</v>
      </c>
      <c r="Y415" s="421">
        <v>40</v>
      </c>
      <c r="Z415" s="421">
        <v>8</v>
      </c>
      <c r="AC415" s="425">
        <v>2.0409999999999999</v>
      </c>
      <c r="AF415" s="427">
        <v>1384.25</v>
      </c>
      <c r="AG415" s="444">
        <v>16378</v>
      </c>
      <c r="AI415" s="444">
        <v>10557</v>
      </c>
      <c r="AK415" s="444">
        <v>1778</v>
      </c>
      <c r="AU415" s="428">
        <v>1835.03</v>
      </c>
      <c r="BD415" s="422">
        <v>10.953111683947981</v>
      </c>
      <c r="BE415" s="333">
        <f t="shared" si="166"/>
        <v>0.53930656878561467</v>
      </c>
      <c r="BJ415" s="429">
        <v>0.5164404376775118</v>
      </c>
    </row>
    <row r="416" spans="1:62" ht="20.25" customHeight="1" x14ac:dyDescent="0.3">
      <c r="A416" s="347" t="s">
        <v>1215</v>
      </c>
      <c r="K416" s="422" t="s">
        <v>1238</v>
      </c>
      <c r="L416" s="423">
        <v>45433</v>
      </c>
      <c r="M416" s="423">
        <v>45475</v>
      </c>
      <c r="N416" s="422">
        <v>8.52</v>
      </c>
      <c r="O416" s="422">
        <v>10.7</v>
      </c>
      <c r="R416" s="422">
        <v>60.08</v>
      </c>
      <c r="V416" s="422">
        <v>60.08</v>
      </c>
      <c r="X416" s="421">
        <v>62</v>
      </c>
      <c r="Y416" s="421">
        <v>28</v>
      </c>
      <c r="Z416" s="421">
        <v>10</v>
      </c>
      <c r="AC416" s="425">
        <v>1.2929999999999999</v>
      </c>
      <c r="AF416" s="427">
        <v>1195.02</v>
      </c>
      <c r="AG416" s="444">
        <v>13083</v>
      </c>
      <c r="AI416" s="444">
        <v>6515</v>
      </c>
      <c r="AK416" s="444">
        <v>2310</v>
      </c>
      <c r="AU416" s="428">
        <v>1318.62</v>
      </c>
      <c r="BD416" s="422">
        <v>10.126820044970536</v>
      </c>
      <c r="BE416" s="333">
        <f t="shared" si="166"/>
        <v>0.52438015353587042</v>
      </c>
      <c r="BJ416" s="429">
        <v>0.53103150200791316</v>
      </c>
    </row>
    <row r="417" spans="1:62" ht="20.25" customHeight="1" x14ac:dyDescent="0.3">
      <c r="A417" s="347" t="s">
        <v>1216</v>
      </c>
      <c r="K417" s="422" t="s">
        <v>1238</v>
      </c>
      <c r="L417" s="423">
        <v>45433</v>
      </c>
      <c r="M417" s="423">
        <v>45475</v>
      </c>
      <c r="N417" s="422">
        <v>8.1</v>
      </c>
      <c r="O417" s="422">
        <v>62.9</v>
      </c>
      <c r="R417" s="422">
        <v>241.8</v>
      </c>
      <c r="V417" s="422">
        <v>241.8</v>
      </c>
      <c r="X417" s="421">
        <v>32</v>
      </c>
      <c r="Y417" s="421">
        <v>66</v>
      </c>
      <c r="Z417" s="421">
        <v>2</v>
      </c>
      <c r="AC417" s="425">
        <v>3.7909999999999999</v>
      </c>
      <c r="AF417" s="427">
        <v>1057.0899999999999</v>
      </c>
      <c r="AG417" s="444">
        <v>101915</v>
      </c>
      <c r="AI417" s="444">
        <v>11428</v>
      </c>
      <c r="AK417" s="444">
        <v>2754</v>
      </c>
      <c r="AU417" s="428">
        <v>118874.89</v>
      </c>
      <c r="BD417" s="422">
        <v>62.985848177409473</v>
      </c>
      <c r="BE417" s="333">
        <f t="shared" si="166"/>
        <v>0.87219578614085269</v>
      </c>
      <c r="BJ417" s="429">
        <v>0.85283823470560993</v>
      </c>
    </row>
    <row r="418" spans="1:62" ht="20.25" customHeight="1" x14ac:dyDescent="0.3">
      <c r="A418" s="347" t="s">
        <v>1217</v>
      </c>
      <c r="K418" s="422" t="s">
        <v>1238</v>
      </c>
      <c r="L418" s="423">
        <v>45433</v>
      </c>
      <c r="M418" s="423">
        <v>45475</v>
      </c>
      <c r="N418" s="422">
        <v>8.31</v>
      </c>
      <c r="O418" s="422">
        <v>11.4</v>
      </c>
      <c r="R418" s="422">
        <v>66.790000000000006</v>
      </c>
      <c r="V418" s="422">
        <v>66.790000000000006</v>
      </c>
      <c r="X418" s="421">
        <v>46</v>
      </c>
      <c r="Y418" s="421">
        <v>42</v>
      </c>
      <c r="Z418" s="421">
        <v>12</v>
      </c>
      <c r="AC418" s="425">
        <v>1.4810000000000001</v>
      </c>
      <c r="AF418" s="427">
        <v>818.69</v>
      </c>
      <c r="AG418" s="444">
        <v>11895</v>
      </c>
      <c r="AI418" s="444">
        <v>7851</v>
      </c>
      <c r="AK418" s="444">
        <v>1912</v>
      </c>
      <c r="AU418" s="428">
        <v>1352.35</v>
      </c>
      <c r="BD418" s="422">
        <v>8.8576097991445124</v>
      </c>
      <c r="BE418" s="333">
        <f t="shared" si="166"/>
        <v>0.49889700431925699</v>
      </c>
      <c r="BJ418" s="429">
        <v>0.49422157017917751</v>
      </c>
    </row>
    <row r="419" spans="1:62" ht="20.25" customHeight="1" x14ac:dyDescent="0.3">
      <c r="A419" s="347" t="s">
        <v>1218</v>
      </c>
      <c r="K419" s="422" t="s">
        <v>1238</v>
      </c>
      <c r="L419" s="423">
        <v>45433</v>
      </c>
      <c r="M419" s="423">
        <v>45475</v>
      </c>
      <c r="N419" s="422">
        <v>8.09</v>
      </c>
      <c r="O419" s="422">
        <v>63.3</v>
      </c>
      <c r="R419" s="422">
        <v>240.2</v>
      </c>
      <c r="V419" s="422">
        <v>240.2</v>
      </c>
      <c r="X419" s="421">
        <v>30</v>
      </c>
      <c r="Y419" s="421">
        <v>66</v>
      </c>
      <c r="Z419" s="421">
        <v>4</v>
      </c>
      <c r="AC419" s="425">
        <v>3.1760000000000002</v>
      </c>
      <c r="AF419" s="427">
        <v>1322.88</v>
      </c>
      <c r="AG419" s="444">
        <v>83005</v>
      </c>
      <c r="AI419" s="444">
        <v>10489</v>
      </c>
      <c r="AK419" s="444">
        <v>4547</v>
      </c>
      <c r="AU419" s="428">
        <v>117871.8</v>
      </c>
      <c r="BD419" s="422">
        <v>48.872252643830691</v>
      </c>
      <c r="BE419" s="333">
        <f t="shared" si="166"/>
        <v>0.82391662586003389</v>
      </c>
      <c r="BJ419" s="429">
        <v>0.80992398622822204</v>
      </c>
    </row>
    <row r="420" spans="1:62" ht="20.25" customHeight="1" x14ac:dyDescent="0.3">
      <c r="A420" s="347" t="s">
        <v>1219</v>
      </c>
      <c r="K420" s="422" t="s">
        <v>1238</v>
      </c>
      <c r="L420" s="423">
        <v>45433</v>
      </c>
      <c r="M420" s="423">
        <v>45475</v>
      </c>
      <c r="N420" s="422">
        <v>8.34</v>
      </c>
      <c r="O420" s="422">
        <v>13.3</v>
      </c>
      <c r="R420" s="422">
        <v>73.77</v>
      </c>
      <c r="V420" s="422">
        <v>73.77</v>
      </c>
      <c r="X420" s="421">
        <v>58</v>
      </c>
      <c r="Y420" s="421">
        <v>30</v>
      </c>
      <c r="Z420" s="421">
        <v>12</v>
      </c>
      <c r="AC420" s="425">
        <v>1.5860000000000001</v>
      </c>
      <c r="AF420" s="427">
        <v>987.23</v>
      </c>
      <c r="AG420" s="444">
        <v>14788</v>
      </c>
      <c r="AI420" s="444">
        <v>6808</v>
      </c>
      <c r="AK420" s="444">
        <v>2972</v>
      </c>
      <c r="AU420" s="428">
        <v>1824.52</v>
      </c>
      <c r="BD420" s="422">
        <v>10.793255122772949</v>
      </c>
      <c r="BE420" s="333">
        <f t="shared" si="166"/>
        <v>0.53650874496309564</v>
      </c>
      <c r="BJ420" s="429">
        <v>0.5368051911623074</v>
      </c>
    </row>
    <row r="421" spans="1:62" ht="20.25" customHeight="1" x14ac:dyDescent="0.3">
      <c r="A421" s="347" t="s">
        <v>1220</v>
      </c>
      <c r="K421" s="422" t="s">
        <v>1238</v>
      </c>
      <c r="L421" s="423">
        <v>45433</v>
      </c>
      <c r="M421" s="423">
        <v>45475</v>
      </c>
      <c r="N421" s="422">
        <v>7.92</v>
      </c>
      <c r="O421" s="422">
        <v>75.900000000000006</v>
      </c>
      <c r="R421" s="422">
        <v>233</v>
      </c>
      <c r="V421" s="422">
        <v>233</v>
      </c>
      <c r="X421" s="421">
        <v>34</v>
      </c>
      <c r="Y421" s="421">
        <v>62</v>
      </c>
      <c r="Z421" s="421">
        <v>4</v>
      </c>
      <c r="AC421" s="425">
        <v>3.9980000000000002</v>
      </c>
      <c r="AF421" s="427">
        <v>1394.58</v>
      </c>
      <c r="AG421" s="444">
        <v>120133</v>
      </c>
      <c r="AI421" s="444">
        <v>11716</v>
      </c>
      <c r="AK421" s="444">
        <v>8187</v>
      </c>
      <c r="AU421" s="428">
        <v>143402.35999999999</v>
      </c>
      <c r="BD421" s="422">
        <v>60.344077788827413</v>
      </c>
      <c r="BE421" s="333">
        <f t="shared" si="166"/>
        <v>0.86404195305512521</v>
      </c>
      <c r="BJ421" s="429">
        <v>0.81935428036894797</v>
      </c>
    </row>
    <row r="422" spans="1:62" ht="20.25" customHeight="1" x14ac:dyDescent="0.3">
      <c r="A422" s="347" t="s">
        <v>1221</v>
      </c>
      <c r="K422" s="422" t="s">
        <v>1238</v>
      </c>
      <c r="L422" s="423">
        <v>45433</v>
      </c>
      <c r="M422" s="423">
        <v>45475</v>
      </c>
      <c r="N422" s="422">
        <v>8.35</v>
      </c>
      <c r="O422" s="422">
        <v>13.4</v>
      </c>
      <c r="R422" s="422">
        <v>64.28</v>
      </c>
      <c r="V422" s="422">
        <v>64.28</v>
      </c>
      <c r="X422" s="421">
        <v>58</v>
      </c>
      <c r="Y422" s="421">
        <v>34</v>
      </c>
      <c r="Z422" s="421">
        <v>8</v>
      </c>
      <c r="AC422" s="425">
        <v>1.4870000000000001</v>
      </c>
      <c r="AF422" s="427">
        <v>924</v>
      </c>
      <c r="AG422" s="444">
        <v>15053</v>
      </c>
      <c r="AI422" s="444">
        <v>7522</v>
      </c>
      <c r="AK422" s="444">
        <v>2772</v>
      </c>
      <c r="AU422" s="428">
        <v>1681.14</v>
      </c>
      <c r="BD422" s="422">
        <v>10.774000218718394</v>
      </c>
      <c r="BE422" s="333">
        <f t="shared" si="166"/>
        <v>0.53616895121956187</v>
      </c>
      <c r="BJ422" s="429">
        <v>0.53276700664646071</v>
      </c>
    </row>
    <row r="423" spans="1:62" ht="20.25" customHeight="1" x14ac:dyDescent="0.3">
      <c r="A423" s="347" t="s">
        <v>1222</v>
      </c>
      <c r="K423" s="422" t="s">
        <v>1238</v>
      </c>
      <c r="L423" s="423">
        <v>45433</v>
      </c>
      <c r="M423" s="423">
        <v>45475</v>
      </c>
      <c r="N423" s="422">
        <v>8.09</v>
      </c>
      <c r="O423" s="422">
        <v>61.5</v>
      </c>
      <c r="R423" s="422">
        <v>240.2</v>
      </c>
      <c r="V423" s="422">
        <v>240.2</v>
      </c>
      <c r="X423" s="421">
        <v>28</v>
      </c>
      <c r="Y423" s="421">
        <v>68</v>
      </c>
      <c r="Z423" s="421">
        <v>4</v>
      </c>
      <c r="AC423" s="425">
        <v>3.5259999999999998</v>
      </c>
      <c r="AF423" s="427">
        <v>1549.25</v>
      </c>
      <c r="AG423" s="444">
        <v>94059</v>
      </c>
      <c r="AI423" s="444">
        <v>11980</v>
      </c>
      <c r="AK423" s="444">
        <v>4221</v>
      </c>
      <c r="AU423" s="428">
        <v>113544.52</v>
      </c>
      <c r="BD423" s="422">
        <v>53.745982220353014</v>
      </c>
      <c r="BE423" s="333">
        <f t="shared" si="166"/>
        <v>0.84200637449121962</v>
      </c>
      <c r="BJ423" s="429">
        <v>0.81906424605252504</v>
      </c>
    </row>
    <row r="424" spans="1:62" ht="20.25" customHeight="1" x14ac:dyDescent="0.3">
      <c r="A424" s="347" t="s">
        <v>1223</v>
      </c>
      <c r="K424" s="422" t="s">
        <v>1238</v>
      </c>
      <c r="L424" s="423">
        <v>45433</v>
      </c>
      <c r="M424" s="423">
        <v>45475</v>
      </c>
      <c r="N424" s="422">
        <v>8.42</v>
      </c>
      <c r="O424" s="422">
        <v>11.2</v>
      </c>
      <c r="R424" s="422">
        <v>59.18</v>
      </c>
      <c r="V424" s="422">
        <v>59.18</v>
      </c>
      <c r="X424" s="421">
        <v>60</v>
      </c>
      <c r="Y424" s="421">
        <v>30</v>
      </c>
      <c r="Z424" s="421">
        <v>10</v>
      </c>
      <c r="AC424" s="425">
        <v>1.42</v>
      </c>
      <c r="AF424" s="427">
        <v>1091.75</v>
      </c>
      <c r="AG424" s="444">
        <v>13493</v>
      </c>
      <c r="AI424" s="444">
        <v>6713</v>
      </c>
      <c r="AK424" s="444">
        <v>2337</v>
      </c>
      <c r="AU424" s="428">
        <v>1320.92</v>
      </c>
      <c r="BD424" s="422">
        <v>10.319961903596175</v>
      </c>
      <c r="BE424" s="333">
        <f t="shared" si="166"/>
        <v>0.52797543704213523</v>
      </c>
      <c r="BJ424" s="429">
        <v>0.53459298580177006</v>
      </c>
    </row>
    <row r="425" spans="1:62" ht="20.25" customHeight="1" x14ac:dyDescent="0.3">
      <c r="A425" s="347" t="s">
        <v>1224</v>
      </c>
      <c r="K425" s="422" t="s">
        <v>1238</v>
      </c>
      <c r="L425" s="423">
        <v>45433</v>
      </c>
      <c r="M425" s="423">
        <v>45475</v>
      </c>
      <c r="N425" s="422">
        <v>8.44</v>
      </c>
      <c r="O425" s="422">
        <v>9.3000000000000007</v>
      </c>
      <c r="R425" s="422">
        <v>52.75</v>
      </c>
      <c r="V425" s="422">
        <v>52.75</v>
      </c>
      <c r="X425" s="421">
        <v>52</v>
      </c>
      <c r="Y425" s="421">
        <v>32</v>
      </c>
      <c r="Z425" s="421">
        <v>16</v>
      </c>
      <c r="AC425" s="425">
        <v>1.1830000000000001</v>
      </c>
      <c r="AF425" s="427">
        <v>1019.21</v>
      </c>
      <c r="AG425" s="444">
        <v>10878</v>
      </c>
      <c r="AI425" s="444">
        <v>5514</v>
      </c>
      <c r="AK425" s="444">
        <v>2301</v>
      </c>
      <c r="AU425" s="428">
        <v>989.18</v>
      </c>
      <c r="BD425" s="422">
        <v>8.8963772511707209</v>
      </c>
      <c r="BE425" s="333">
        <f t="shared" si="166"/>
        <v>0.49972808049669354</v>
      </c>
      <c r="BJ425" s="429">
        <v>0.51325586044495963</v>
      </c>
    </row>
    <row r="426" spans="1:62" ht="20.25" customHeight="1" x14ac:dyDescent="0.3">
      <c r="A426" s="347" t="s">
        <v>1225</v>
      </c>
      <c r="K426" s="422" t="s">
        <v>1238</v>
      </c>
      <c r="L426" s="423">
        <v>45433</v>
      </c>
      <c r="M426" s="423">
        <v>45475</v>
      </c>
      <c r="N426" s="422">
        <v>8.34</v>
      </c>
      <c r="O426" s="422">
        <v>19.7</v>
      </c>
      <c r="R426" s="422">
        <v>149.69999999999999</v>
      </c>
      <c r="V426" s="422">
        <v>149.69999999999999</v>
      </c>
      <c r="X426" s="421">
        <v>40</v>
      </c>
      <c r="Y426" s="421">
        <v>44</v>
      </c>
      <c r="Z426" s="421">
        <v>16</v>
      </c>
      <c r="AC426" s="425">
        <v>2.5880000000000001</v>
      </c>
      <c r="AF426" s="427">
        <v>1075.8</v>
      </c>
      <c r="AG426" s="444">
        <v>26194</v>
      </c>
      <c r="AI426" s="444">
        <v>10196</v>
      </c>
      <c r="AK426" s="444">
        <v>1494</v>
      </c>
      <c r="AU426" s="428">
        <v>33580</v>
      </c>
      <c r="BD426" s="422">
        <v>18.049027682508946</v>
      </c>
      <c r="BE426" s="333">
        <f t="shared" si="166"/>
        <v>0.63435537245595019</v>
      </c>
      <c r="BJ426" s="429">
        <v>0.64693162369812873</v>
      </c>
    </row>
    <row r="427" spans="1:62" ht="20.25" customHeight="1" x14ac:dyDescent="0.3">
      <c r="A427" s="347" t="s">
        <v>1226</v>
      </c>
      <c r="K427" s="422" t="s">
        <v>1238</v>
      </c>
      <c r="L427" s="423">
        <v>45433</v>
      </c>
      <c r="M427" s="423">
        <v>45475</v>
      </c>
      <c r="N427" s="422">
        <v>8.25</v>
      </c>
      <c r="O427" s="422">
        <v>53.8</v>
      </c>
      <c r="R427" s="422">
        <v>241.5</v>
      </c>
      <c r="V427" s="422">
        <v>241.5</v>
      </c>
      <c r="X427" s="421">
        <v>28</v>
      </c>
      <c r="Y427" s="421">
        <v>68</v>
      </c>
      <c r="Z427" s="421">
        <v>4</v>
      </c>
      <c r="AC427" s="425">
        <v>3.4649999999999999</v>
      </c>
      <c r="AF427" s="427">
        <v>1551.86</v>
      </c>
      <c r="AG427" s="444">
        <v>71674</v>
      </c>
      <c r="AI427" s="444">
        <v>11109</v>
      </c>
      <c r="AK427" s="444">
        <v>3579</v>
      </c>
      <c r="AU427" s="428">
        <v>97586.74</v>
      </c>
      <c r="BD427" s="422">
        <v>43.141637062786863</v>
      </c>
      <c r="BE427" s="333">
        <f t="shared" si="166"/>
        <v>0.80018217828080307</v>
      </c>
      <c r="BJ427" s="429">
        <v>0.79196285386334508</v>
      </c>
    </row>
    <row r="428" spans="1:62" ht="20.25" customHeight="1" x14ac:dyDescent="0.3">
      <c r="A428" s="347" t="s">
        <v>1227</v>
      </c>
      <c r="K428" s="422" t="s">
        <v>1238</v>
      </c>
      <c r="L428" s="423">
        <v>45433</v>
      </c>
      <c r="M428" s="423">
        <v>45475</v>
      </c>
      <c r="N428" s="422">
        <v>8.48</v>
      </c>
      <c r="O428" s="422">
        <v>11.4</v>
      </c>
      <c r="R428" s="422">
        <v>54.44</v>
      </c>
      <c r="V428" s="422">
        <v>54.44</v>
      </c>
      <c r="X428" s="421">
        <v>60</v>
      </c>
      <c r="Y428" s="421">
        <v>30</v>
      </c>
      <c r="Z428" s="421">
        <v>10</v>
      </c>
      <c r="AC428" s="425">
        <v>1.4239999999999999</v>
      </c>
      <c r="AF428" s="427">
        <v>1223.68</v>
      </c>
      <c r="AG428" s="444">
        <v>13909</v>
      </c>
      <c r="AI428" s="444">
        <v>6326</v>
      </c>
      <c r="AK428" s="444">
        <v>2939</v>
      </c>
      <c r="AU428" s="428">
        <v>1413.02</v>
      </c>
      <c r="BD428" s="422">
        <v>10.405897816473427</v>
      </c>
      <c r="BE428" s="333">
        <f t="shared" si="166"/>
        <v>0.52955353302068409</v>
      </c>
      <c r="BJ428" s="429">
        <v>0.53006189722481301</v>
      </c>
    </row>
    <row r="429" spans="1:62" ht="20.25" customHeight="1" x14ac:dyDescent="0.3">
      <c r="A429" s="347" t="s">
        <v>1228</v>
      </c>
      <c r="K429" s="422" t="s">
        <v>1238</v>
      </c>
      <c r="L429" s="423">
        <v>45433</v>
      </c>
      <c r="M429" s="423">
        <v>45475</v>
      </c>
      <c r="N429" s="422">
        <v>8.44</v>
      </c>
      <c r="O429" s="422">
        <v>10</v>
      </c>
      <c r="R429" s="422">
        <v>108.6</v>
      </c>
      <c r="V429" s="422">
        <v>108.6</v>
      </c>
      <c r="X429" s="421">
        <v>20</v>
      </c>
      <c r="Y429" s="421">
        <v>32</v>
      </c>
      <c r="Z429" s="421">
        <v>48</v>
      </c>
      <c r="AC429" s="425">
        <v>1.095</v>
      </c>
      <c r="AF429" s="427">
        <v>1484.38</v>
      </c>
      <c r="AG429" s="444">
        <v>33019</v>
      </c>
      <c r="AI429" s="444">
        <v>11451</v>
      </c>
      <c r="AK429" s="444">
        <v>3769</v>
      </c>
      <c r="AU429" s="428">
        <v>1463.78</v>
      </c>
      <c r="BD429" s="422">
        <v>19.510420522471872</v>
      </c>
      <c r="BE429" s="333">
        <f t="shared" si="166"/>
        <v>0.64917153924739113</v>
      </c>
      <c r="BJ429" s="429">
        <v>0.62925329201007807</v>
      </c>
    </row>
    <row r="430" spans="1:62" ht="20.25" customHeight="1" x14ac:dyDescent="0.3">
      <c r="A430" s="347" t="s">
        <v>1229</v>
      </c>
      <c r="K430" s="422" t="s">
        <v>1238</v>
      </c>
      <c r="L430" s="423">
        <v>45433</v>
      </c>
      <c r="M430" s="423">
        <v>45475</v>
      </c>
      <c r="N430" s="422">
        <v>8.31</v>
      </c>
      <c r="O430" s="422">
        <v>9.8000000000000007</v>
      </c>
      <c r="R430" s="422">
        <v>99.46</v>
      </c>
      <c r="V430" s="422">
        <v>99.46</v>
      </c>
      <c r="X430" s="421">
        <v>22</v>
      </c>
      <c r="Y430" s="421">
        <v>28</v>
      </c>
      <c r="Z430" s="421">
        <v>50</v>
      </c>
      <c r="AC430" s="425">
        <v>0.83799999999999997</v>
      </c>
      <c r="AF430" s="427">
        <v>1335.46</v>
      </c>
      <c r="AG430" s="444">
        <v>13664</v>
      </c>
      <c r="AI430" s="444">
        <v>6502</v>
      </c>
      <c r="AK430" s="444">
        <v>2706</v>
      </c>
      <c r="AU430" s="428">
        <v>1352.73</v>
      </c>
      <c r="BD430" s="422">
        <v>10.295945840216621</v>
      </c>
      <c r="BE430" s="333">
        <f t="shared" si="166"/>
        <v>0.52753206496409788</v>
      </c>
      <c r="BJ430" s="429">
        <v>0.52746029881914025</v>
      </c>
    </row>
    <row r="431" spans="1:62" ht="20.25" customHeight="1" x14ac:dyDescent="0.3">
      <c r="A431" s="347" t="s">
        <v>1230</v>
      </c>
      <c r="K431" s="422" t="s">
        <v>1238</v>
      </c>
      <c r="L431" s="423">
        <v>45433</v>
      </c>
      <c r="M431" s="423">
        <v>45475</v>
      </c>
      <c r="N431" s="422">
        <v>8.01</v>
      </c>
      <c r="O431" s="422">
        <v>63.2</v>
      </c>
      <c r="R431" s="422">
        <v>238</v>
      </c>
      <c r="V431" s="422">
        <v>238</v>
      </c>
      <c r="X431" s="421">
        <v>26</v>
      </c>
      <c r="Y431" s="421">
        <v>70</v>
      </c>
      <c r="Z431" s="421">
        <v>4</v>
      </c>
      <c r="AC431" s="425">
        <v>3.5019999999999998</v>
      </c>
      <c r="AF431" s="427">
        <v>384.63</v>
      </c>
      <c r="AG431" s="444">
        <v>7961</v>
      </c>
      <c r="AI431" s="444">
        <v>10628</v>
      </c>
      <c r="AK431" s="444">
        <v>2200</v>
      </c>
      <c r="AU431" s="428">
        <v>118352.36</v>
      </c>
      <c r="BD431" s="422">
        <v>5.1946205970772903</v>
      </c>
      <c r="BE431" s="333">
        <f t="shared" si="166"/>
        <v>0.39734276909332344</v>
      </c>
      <c r="BJ431" s="429">
        <v>0.34070434795856908</v>
      </c>
    </row>
    <row r="432" spans="1:62" ht="20.25" customHeight="1" x14ac:dyDescent="0.3">
      <c r="A432" s="347" t="s">
        <v>1231</v>
      </c>
      <c r="K432" s="422" t="s">
        <v>1238</v>
      </c>
      <c r="L432" s="423">
        <v>45433</v>
      </c>
      <c r="M432" s="423">
        <v>45475</v>
      </c>
      <c r="N432" s="422">
        <v>8.39</v>
      </c>
      <c r="O432" s="422">
        <v>10.5</v>
      </c>
      <c r="R432" s="422">
        <v>58.04</v>
      </c>
      <c r="V432" s="422">
        <v>58.04</v>
      </c>
      <c r="X432" s="421">
        <v>60</v>
      </c>
      <c r="Y432" s="421">
        <v>30</v>
      </c>
      <c r="Z432" s="421">
        <v>10</v>
      </c>
      <c r="AC432" s="425">
        <v>1.429</v>
      </c>
      <c r="AF432" s="427">
        <v>549.08000000000004</v>
      </c>
      <c r="AG432" s="444">
        <v>11749</v>
      </c>
      <c r="AI432" s="444">
        <v>5643</v>
      </c>
      <c r="AK432" s="444">
        <v>1405</v>
      </c>
      <c r="AU432" s="428">
        <v>1463.36</v>
      </c>
      <c r="BD432" s="422">
        <v>10.290495335955645</v>
      </c>
      <c r="BE432" s="333">
        <f t="shared" si="166"/>
        <v>0.52743129660144372</v>
      </c>
      <c r="BJ432" s="429">
        <v>0.57256417101544277</v>
      </c>
    </row>
    <row r="433" spans="1:62" ht="20.25" customHeight="1" x14ac:dyDescent="0.3">
      <c r="A433" s="347" t="s">
        <v>1232</v>
      </c>
      <c r="K433" s="422" t="s">
        <v>1238</v>
      </c>
      <c r="L433" s="423">
        <v>45433</v>
      </c>
      <c r="M433" s="423">
        <v>45475</v>
      </c>
      <c r="N433" s="422">
        <v>8.1</v>
      </c>
      <c r="O433" s="422">
        <v>58.1</v>
      </c>
      <c r="R433" s="422">
        <v>224.3</v>
      </c>
      <c r="V433" s="422">
        <v>224.3</v>
      </c>
      <c r="X433" s="421">
        <v>28</v>
      </c>
      <c r="Y433" s="421">
        <v>64</v>
      </c>
      <c r="Z433" s="421">
        <v>8</v>
      </c>
      <c r="AC433" s="425">
        <v>3.5470000000000002</v>
      </c>
      <c r="AF433" s="427">
        <v>514.66999999999996</v>
      </c>
      <c r="AG433" s="444">
        <v>9996</v>
      </c>
      <c r="AI433" s="444">
        <v>7501</v>
      </c>
      <c r="AK433" s="444">
        <v>1662</v>
      </c>
      <c r="AU433" s="428">
        <v>106052.05</v>
      </c>
      <c r="BD433" s="422">
        <v>7.7035480991695779</v>
      </c>
      <c r="BE433" s="333">
        <f t="shared" si="166"/>
        <v>0.47233189712167428</v>
      </c>
      <c r="BJ433" s="429">
        <v>0.47157808275156898</v>
      </c>
    </row>
    <row r="434" spans="1:62" ht="20.25" customHeight="1" x14ac:dyDescent="0.3">
      <c r="A434" s="347" t="s">
        <v>1233</v>
      </c>
      <c r="K434" s="422" t="s">
        <v>1238</v>
      </c>
      <c r="L434" s="423">
        <v>45433</v>
      </c>
      <c r="M434" s="423">
        <v>45475</v>
      </c>
      <c r="N434" s="422">
        <v>8.44</v>
      </c>
      <c r="O434" s="422">
        <v>11.9</v>
      </c>
      <c r="R434" s="422">
        <v>48.91</v>
      </c>
      <c r="V434" s="422">
        <v>48.91</v>
      </c>
      <c r="X434" s="421">
        <v>60</v>
      </c>
      <c r="Y434" s="421">
        <v>28</v>
      </c>
      <c r="Z434" s="421">
        <v>12</v>
      </c>
      <c r="AC434" s="425">
        <v>1.7889999999999999</v>
      </c>
      <c r="AF434" s="427">
        <v>1602.27</v>
      </c>
      <c r="AG434" s="444">
        <v>85824</v>
      </c>
      <c r="AI434" s="444">
        <v>13442</v>
      </c>
      <c r="AK434" s="444">
        <v>5300</v>
      </c>
      <c r="AU434" s="428">
        <v>1496.76</v>
      </c>
      <c r="BD434" s="422">
        <v>45.416658725131136</v>
      </c>
      <c r="BE434" s="333">
        <f t="shared" si="166"/>
        <v>0.80996176799399344</v>
      </c>
      <c r="BJ434" s="429">
        <v>0.78081516137248708</v>
      </c>
    </row>
    <row r="435" spans="1:62" ht="20.25" customHeight="1" x14ac:dyDescent="0.3">
      <c r="A435" s="347" t="s">
        <v>1234</v>
      </c>
      <c r="K435" s="422" t="s">
        <v>1238</v>
      </c>
      <c r="L435" s="423">
        <v>45433</v>
      </c>
      <c r="M435" s="423">
        <v>45475</v>
      </c>
      <c r="N435" s="422">
        <v>8.18</v>
      </c>
      <c r="O435" s="422">
        <v>25.6</v>
      </c>
      <c r="R435" s="422">
        <v>150</v>
      </c>
      <c r="V435" s="422">
        <v>150</v>
      </c>
      <c r="X435" s="421">
        <v>58</v>
      </c>
      <c r="Y435" s="421">
        <v>36</v>
      </c>
      <c r="Z435" s="421">
        <v>6</v>
      </c>
      <c r="AC435" s="425">
        <v>2.5409999999999999</v>
      </c>
      <c r="AF435" s="427">
        <v>1206.7</v>
      </c>
      <c r="AG435" s="444">
        <v>14306</v>
      </c>
      <c r="AI435" s="444">
        <v>7907</v>
      </c>
      <c r="AK435" s="444">
        <v>2918</v>
      </c>
      <c r="AU435" s="428">
        <v>44579.65</v>
      </c>
      <c r="BD435" s="422">
        <v>9.9845609598521321</v>
      </c>
      <c r="BE435" s="333">
        <f t="shared" si="166"/>
        <v>0.52168791122573199</v>
      </c>
      <c r="BJ435" s="429">
        <v>0.5047218713345647</v>
      </c>
    </row>
    <row r="436" spans="1:62" ht="20.25" customHeight="1" x14ac:dyDescent="0.3">
      <c r="A436" s="347" t="s">
        <v>1235</v>
      </c>
      <c r="K436" s="422" t="s">
        <v>1238</v>
      </c>
      <c r="L436" s="423">
        <v>45433</v>
      </c>
      <c r="M436" s="423">
        <v>45475</v>
      </c>
      <c r="N436" s="422">
        <v>8.52</v>
      </c>
      <c r="O436" s="422">
        <v>10.6</v>
      </c>
      <c r="R436" s="422">
        <v>51.2</v>
      </c>
      <c r="V436" s="422">
        <v>51.2</v>
      </c>
      <c r="X436" s="421">
        <v>62</v>
      </c>
      <c r="Y436" s="421">
        <v>28</v>
      </c>
      <c r="Z436" s="421">
        <v>10</v>
      </c>
      <c r="AC436" s="425">
        <v>1.321</v>
      </c>
      <c r="AF436" s="427">
        <v>1620.92</v>
      </c>
      <c r="AG436" s="444">
        <v>84543</v>
      </c>
      <c r="AI436" s="444">
        <v>12433</v>
      </c>
      <c r="AK436" s="444">
        <v>5112</v>
      </c>
      <c r="AU436" s="428">
        <v>1333.11</v>
      </c>
      <c r="BD436" s="422">
        <v>46.170293584300325</v>
      </c>
      <c r="BE436" s="333">
        <f t="shared" si="166"/>
        <v>0.81309365407917411</v>
      </c>
      <c r="BJ436" s="429">
        <v>0.78834766947565849</v>
      </c>
    </row>
    <row r="437" spans="1:62" ht="20.25" customHeight="1" x14ac:dyDescent="0.3">
      <c r="A437" s="347" t="s">
        <v>1236</v>
      </c>
      <c r="K437" s="422" t="s">
        <v>1238</v>
      </c>
      <c r="L437" s="423">
        <v>45433</v>
      </c>
      <c r="M437" s="423">
        <v>45475</v>
      </c>
      <c r="N437" s="422">
        <v>8.14</v>
      </c>
      <c r="O437" s="422">
        <v>8.3000000000000007</v>
      </c>
      <c r="R437" s="422">
        <v>51.06</v>
      </c>
      <c r="V437" s="422">
        <v>51.06</v>
      </c>
      <c r="X437" s="421">
        <v>48</v>
      </c>
      <c r="Y437" s="421">
        <v>40</v>
      </c>
      <c r="Z437" s="421">
        <v>12</v>
      </c>
      <c r="AC437" s="425">
        <v>1.8420000000000001</v>
      </c>
      <c r="AF437" s="427">
        <v>1245.83</v>
      </c>
      <c r="AG437" s="444">
        <v>15100</v>
      </c>
      <c r="AI437" s="444">
        <v>6545</v>
      </c>
      <c r="AK437" s="444">
        <v>2677</v>
      </c>
      <c r="AU437" s="428">
        <v>1158.03</v>
      </c>
      <c r="BD437" s="422">
        <v>11.376487767462095</v>
      </c>
      <c r="BE437" s="333">
        <f t="shared" si="166"/>
        <v>0.54652372694008733</v>
      </c>
      <c r="BJ437" s="429">
        <v>0.5534120898290551</v>
      </c>
    </row>
    <row r="438" spans="1:62" ht="20.25" customHeight="1" x14ac:dyDescent="0.3">
      <c r="A438" s="347" t="s">
        <v>1237</v>
      </c>
      <c r="K438" s="422" t="s">
        <v>1238</v>
      </c>
      <c r="L438" s="423">
        <v>45433</v>
      </c>
      <c r="M438" s="423">
        <v>45475</v>
      </c>
      <c r="N438" s="422">
        <v>8.23</v>
      </c>
      <c r="O438" s="422">
        <v>19</v>
      </c>
      <c r="R438" s="422">
        <v>150</v>
      </c>
      <c r="V438" s="422">
        <v>150</v>
      </c>
      <c r="X438" s="421">
        <v>28</v>
      </c>
      <c r="Y438" s="421">
        <v>50</v>
      </c>
      <c r="Z438" s="421">
        <v>22</v>
      </c>
      <c r="AC438" s="425">
        <v>1.903</v>
      </c>
      <c r="AF438" s="427">
        <v>370.37</v>
      </c>
      <c r="AG438" s="444">
        <v>23937</v>
      </c>
      <c r="AI438" s="444">
        <v>8221</v>
      </c>
      <c r="AK438" s="444">
        <v>1183</v>
      </c>
      <c r="AU438" s="428">
        <v>33786.5</v>
      </c>
      <c r="BD438" s="422">
        <v>18.39645843907153</v>
      </c>
      <c r="BE438" s="333">
        <f t="shared" si="166"/>
        <v>0.63798369974179214</v>
      </c>
      <c r="BJ438" s="429">
        <v>0.68190467040491287</v>
      </c>
    </row>
  </sheetData>
  <autoFilter ref="A1:AX438" xr:uid="{00000000-0001-0000-0000-000000000000}"/>
  <sortState xmlns:xlrd2="http://schemas.microsoft.com/office/spreadsheetml/2017/richdata2" ref="A2:A235">
    <sortCondition ref="A1:A235"/>
  </sortState>
  <phoneticPr fontId="4" type="noConversion"/>
  <conditionalFormatting sqref="C167:D175">
    <cfRule type="duplicateValues" dxfId="3" priority="3"/>
  </conditionalFormatting>
  <conditionalFormatting sqref="C176:D176">
    <cfRule type="duplicateValues" dxfId="2" priority="2"/>
  </conditionalFormatting>
  <conditionalFormatting sqref="C177:D180">
    <cfRule type="duplicateValues" dxfId="1" priority="1"/>
  </conditionalFormatting>
  <conditionalFormatting sqref="AW92:AW114 AX115:AX141">
    <cfRule type="cellIs" dxfId="0" priority="4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4"/>
  <sheetViews>
    <sheetView topLeftCell="J1" zoomScale="115" zoomScaleNormal="115" workbookViewId="0">
      <selection activeCell="N1" sqref="N1:N1048576"/>
    </sheetView>
  </sheetViews>
  <sheetFormatPr baseColWidth="10" defaultColWidth="11.44140625" defaultRowHeight="15.6" x14ac:dyDescent="0.3"/>
  <cols>
    <col min="1" max="1" width="35" customWidth="1"/>
    <col min="2" max="2" width="22.21875" customWidth="1"/>
    <col min="11" max="11" width="14.6640625" customWidth="1"/>
    <col min="12" max="12" width="17.77734375" customWidth="1"/>
    <col min="14" max="14" width="12.5546875" style="333" bestFit="1" customWidth="1"/>
    <col min="15" max="15" width="10.77734375" style="382"/>
    <col min="16" max="16" width="69.6640625" customWidth="1"/>
    <col min="18" max="18" width="15.77734375" customWidth="1"/>
    <col min="22" max="22" width="10.77734375" style="382"/>
    <col min="23" max="23" width="17.21875" customWidth="1"/>
  </cols>
  <sheetData>
    <row r="1" spans="1:23" ht="31.2" x14ac:dyDescent="0.3">
      <c r="A1" s="380" t="s">
        <v>68</v>
      </c>
      <c r="B1" s="380" t="s">
        <v>993</v>
      </c>
      <c r="C1" s="380" t="s">
        <v>69</v>
      </c>
      <c r="D1" s="380" t="s">
        <v>994</v>
      </c>
      <c r="E1" s="380" t="s">
        <v>70</v>
      </c>
      <c r="F1" s="380" t="s">
        <v>995</v>
      </c>
      <c r="G1" s="385" t="s">
        <v>67</v>
      </c>
      <c r="H1" s="385"/>
      <c r="I1" s="385"/>
      <c r="J1" s="380" t="s">
        <v>1118</v>
      </c>
      <c r="K1" s="380" t="s">
        <v>1116</v>
      </c>
      <c r="L1" s="380" t="s">
        <v>1114</v>
      </c>
      <c r="M1" s="380" t="s">
        <v>1115</v>
      </c>
      <c r="N1" s="19"/>
      <c r="O1" s="381" t="s">
        <v>996</v>
      </c>
      <c r="P1" s="380" t="s">
        <v>1124</v>
      </c>
      <c r="Q1" s="380" t="s">
        <v>1119</v>
      </c>
      <c r="R1" s="380" t="s">
        <v>1117</v>
      </c>
      <c r="S1" s="380" t="s">
        <v>1120</v>
      </c>
      <c r="T1" s="380" t="s">
        <v>1121</v>
      </c>
      <c r="U1" s="382"/>
      <c r="V1" s="381" t="s">
        <v>1122</v>
      </c>
      <c r="W1" s="380" t="s">
        <v>1123</v>
      </c>
    </row>
    <row r="2" spans="1:23" x14ac:dyDescent="0.3">
      <c r="A2" s="34">
        <v>420</v>
      </c>
      <c r="B2" s="35">
        <v>311.59800000000001</v>
      </c>
      <c r="C2" s="31">
        <v>10522</v>
      </c>
      <c r="D2" s="34">
        <v>7520.0734000000002</v>
      </c>
      <c r="E2" s="35">
        <v>1092</v>
      </c>
      <c r="F2" s="31">
        <v>658.476</v>
      </c>
      <c r="G2" s="31">
        <v>421.24</v>
      </c>
      <c r="H2" s="31"/>
      <c r="I2" s="31"/>
      <c r="J2" s="382">
        <f>(G2*0.83/10)/39.1</f>
        <v>0.89419232736572873</v>
      </c>
      <c r="K2" s="382">
        <f>(A2*0.7419/10)/23</f>
        <v>1.3547739130434784</v>
      </c>
      <c r="L2" s="382">
        <f>((C2*40/56)/10)/20</f>
        <v>37.578571428571429</v>
      </c>
      <c r="M2" s="382">
        <f>(E2*0.603/10)/12.15</f>
        <v>5.4195555555555552</v>
      </c>
      <c r="N2" s="250"/>
      <c r="O2" s="382">
        <f t="shared" ref="O2:O65" si="0">(K2/((L2+M2)/2)^0.5)</f>
        <v>0.29218441984239585</v>
      </c>
      <c r="P2" s="382" t="str">
        <f>IF(O2 &lt; 10, "Sol non sodique – Faible risque de dispersion, perméabilité normale",
IF(O2 &lt;= 18, "Sol modérément sodique – Risque modéré de sodicité",
IF(O2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" s="382">
        <f>(G2*0.8301)/391</f>
        <v>0.8943000613810741</v>
      </c>
      <c r="R2" s="382">
        <f>(A2*0.74)/229.9</f>
        <v>1.3518921270117443</v>
      </c>
      <c r="S2" s="382">
        <f>C2*0.7147/200.4</f>
        <v>37.525316367265468</v>
      </c>
      <c r="T2" s="382">
        <f>E2*0.00354</f>
        <v>3.8656800000000002</v>
      </c>
      <c r="U2" s="382"/>
      <c r="V2" s="383">
        <f>R2/(Q2+R2+S2+T2)</f>
        <v>3.0980275580481893E-2</v>
      </c>
      <c r="W2" s="386" t="str">
        <f>IF(V2 &lt; 15%, "None to slight",
IF(V2 &lt; 30%, "Light to moderate",
IF(V2 &lt; 50%, "Moderate to high",
IF(V2 &lt; 70%, "High to very high",
"Extremely high"))))</f>
        <v>None to slight</v>
      </c>
    </row>
    <row r="3" spans="1:23" x14ac:dyDescent="0.3">
      <c r="A3" s="34">
        <v>3906</v>
      </c>
      <c r="B3" s="35">
        <v>2897.8614000000002</v>
      </c>
      <c r="C3" s="31">
        <v>12079</v>
      </c>
      <c r="D3" s="34">
        <v>8632.8613000000005</v>
      </c>
      <c r="E3" s="35">
        <v>2284</v>
      </c>
      <c r="F3" s="31">
        <v>1377.252</v>
      </c>
      <c r="G3" s="31">
        <v>389.5</v>
      </c>
      <c r="H3" s="31"/>
      <c r="I3" s="31"/>
      <c r="J3" s="382">
        <f t="shared" ref="J3:J66" si="1">(G3*0.83/10)/39.1</f>
        <v>0.82681585677749359</v>
      </c>
      <c r="K3" s="382">
        <f t="shared" ref="K3:K66" si="2">(A3*0.7419/10)/23</f>
        <v>12.59939739130435</v>
      </c>
      <c r="L3" s="382">
        <f t="shared" ref="L3:L66" si="3">((C3*40/56)/10)/20</f>
        <v>43.13928571428572</v>
      </c>
      <c r="M3" s="382">
        <f t="shared" ref="M3:M66" si="4">(E3*0.603/10)/12.15</f>
        <v>11.335407407407407</v>
      </c>
      <c r="N3" s="250"/>
      <c r="O3" s="382">
        <f t="shared" si="0"/>
        <v>2.4141673699025303</v>
      </c>
      <c r="P3" s="382" t="str">
        <f t="shared" ref="P3:P66" si="5">IF(O3 &lt; 10, "Sol non sodique – Faible risque de dispersion, perméabilité normale",
IF(O3 &lt;= 18, "Sol modérément sodique – Risque modéré de sodicité",
IF(O3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3" s="382">
        <f t="shared" ref="Q3:Q66" si="6">(G3*0.8301)/391</f>
        <v>0.82691547314577996</v>
      </c>
      <c r="R3" s="382">
        <f t="shared" ref="R3:R66" si="7">(A3*0.74)/229.9</f>
        <v>12.572596781209221</v>
      </c>
      <c r="S3" s="382">
        <f t="shared" ref="S3:S66" si="8">C3*0.7147/200.4</f>
        <v>43.078150199600799</v>
      </c>
      <c r="T3" s="382">
        <f t="shared" ref="T3:T66" si="9">E3*0.00354</f>
        <v>8.0853599999999997</v>
      </c>
      <c r="U3" s="382"/>
      <c r="V3" s="383">
        <f t="shared" ref="V3:V66" si="10">R3/(Q3+R3+S3+T3)</f>
        <v>0.19473370829526421</v>
      </c>
      <c r="W3" s="386" t="str">
        <f t="shared" ref="W3:W66" si="11">IF(V3 &lt; 15%, "None to slight",
IF(V3 &lt; 30%, "Light to moderate",
IF(V3 &lt; 50%, "Moderate to high",
IF(V3 &lt; 70%, "High to very high",
"Extremely high"))))</f>
        <v>Light to moderate</v>
      </c>
    </row>
    <row r="4" spans="1:23" x14ac:dyDescent="0.3">
      <c r="A4" s="34">
        <v>220</v>
      </c>
      <c r="B4" s="35">
        <v>163.21799999999999</v>
      </c>
      <c r="C4" s="31">
        <v>10257</v>
      </c>
      <c r="D4" s="34">
        <v>7330.6778999999997</v>
      </c>
      <c r="E4" s="35">
        <v>764</v>
      </c>
      <c r="F4" s="31">
        <v>460.69200000000001</v>
      </c>
      <c r="G4" s="31">
        <v>405.94</v>
      </c>
      <c r="H4" s="31"/>
      <c r="I4" s="31"/>
      <c r="J4" s="382">
        <f t="shared" si="1"/>
        <v>0.86171406649616356</v>
      </c>
      <c r="K4" s="382">
        <f t="shared" si="2"/>
        <v>0.7096434782608696</v>
      </c>
      <c r="L4" s="382">
        <f t="shared" si="3"/>
        <v>36.632142857142853</v>
      </c>
      <c r="M4" s="382">
        <f t="shared" si="4"/>
        <v>3.7917037037037038</v>
      </c>
      <c r="N4" s="250"/>
      <c r="O4" s="382">
        <f t="shared" si="0"/>
        <v>0.15784702294256675</v>
      </c>
      <c r="P4" s="382" t="str">
        <f t="shared" si="5"/>
        <v>Sol non sodique – Faible risque de dispersion, perméabilité normale</v>
      </c>
      <c r="Q4" s="382">
        <f t="shared" si="6"/>
        <v>0.86181788746803056</v>
      </c>
      <c r="R4" s="382">
        <f t="shared" si="7"/>
        <v>0.70813397129186606</v>
      </c>
      <c r="S4" s="382">
        <f t="shared" si="8"/>
        <v>36.580229041916162</v>
      </c>
      <c r="T4" s="382">
        <f t="shared" si="9"/>
        <v>2.7045600000000003</v>
      </c>
      <c r="U4" s="382"/>
      <c r="V4" s="383">
        <f t="shared" si="10"/>
        <v>1.7332969336739765E-2</v>
      </c>
      <c r="W4" s="386" t="str">
        <f t="shared" si="11"/>
        <v>None to slight</v>
      </c>
    </row>
    <row r="5" spans="1:23" x14ac:dyDescent="0.3">
      <c r="A5" s="34">
        <v>94</v>
      </c>
      <c r="B5" s="35">
        <v>69.738600000000005</v>
      </c>
      <c r="C5" s="31">
        <v>10217</v>
      </c>
      <c r="D5" s="34">
        <v>7302.0898999999999</v>
      </c>
      <c r="E5" s="35">
        <v>529</v>
      </c>
      <c r="F5" s="31">
        <v>318.98699999999997</v>
      </c>
      <c r="G5" s="31">
        <v>415.69</v>
      </c>
      <c r="H5" s="31"/>
      <c r="I5" s="31"/>
      <c r="J5" s="382">
        <f t="shared" si="1"/>
        <v>0.8824109974424551</v>
      </c>
      <c r="K5" s="382">
        <f t="shared" si="2"/>
        <v>0.30321130434782612</v>
      </c>
      <c r="L5" s="382">
        <f t="shared" si="3"/>
        <v>36.489285714285714</v>
      </c>
      <c r="M5" s="382">
        <f t="shared" si="4"/>
        <v>2.625407407407407</v>
      </c>
      <c r="N5" s="250"/>
      <c r="O5" s="382">
        <f t="shared" si="0"/>
        <v>6.8563096428042453E-2</v>
      </c>
      <c r="P5" s="382" t="str">
        <f t="shared" si="5"/>
        <v>Sol non sodique – Faible risque de dispersion, perméabilité normale</v>
      </c>
      <c r="Q5" s="382">
        <f t="shared" si="6"/>
        <v>0.88251731202046024</v>
      </c>
      <c r="R5" s="382">
        <f t="shared" si="7"/>
        <v>0.30256633318834275</v>
      </c>
      <c r="S5" s="382">
        <f t="shared" si="8"/>
        <v>36.437574351297407</v>
      </c>
      <c r="T5" s="382">
        <f t="shared" si="9"/>
        <v>1.87266</v>
      </c>
      <c r="U5" s="382"/>
      <c r="V5" s="383">
        <f t="shared" si="10"/>
        <v>7.6608152190370512E-3</v>
      </c>
      <c r="W5" s="386" t="str">
        <f t="shared" si="11"/>
        <v>None to slight</v>
      </c>
    </row>
    <row r="6" spans="1:23" x14ac:dyDescent="0.3">
      <c r="A6" s="34">
        <v>304</v>
      </c>
      <c r="B6" s="35">
        <v>225.5376</v>
      </c>
      <c r="C6" s="31">
        <v>10593</v>
      </c>
      <c r="D6" s="34">
        <v>7570.8171000000002</v>
      </c>
      <c r="E6" s="35">
        <v>735</v>
      </c>
      <c r="F6" s="31">
        <v>443.20499999999998</v>
      </c>
      <c r="G6" s="31">
        <v>591.29</v>
      </c>
      <c r="H6" s="31"/>
      <c r="I6" s="31"/>
      <c r="J6" s="382">
        <f t="shared" si="1"/>
        <v>1.2551680306905368</v>
      </c>
      <c r="K6" s="382">
        <f t="shared" si="2"/>
        <v>0.98059826086956525</v>
      </c>
      <c r="L6" s="382">
        <f t="shared" si="3"/>
        <v>37.832142857142856</v>
      </c>
      <c r="M6" s="382">
        <f t="shared" si="4"/>
        <v>3.6477777777777773</v>
      </c>
      <c r="N6" s="250"/>
      <c r="O6" s="382">
        <f t="shared" si="0"/>
        <v>0.21532138176730525</v>
      </c>
      <c r="P6" s="382" t="str">
        <f t="shared" si="5"/>
        <v>Sol non sodique – Faible risque de dispersion, perméabilité normale</v>
      </c>
      <c r="Q6" s="382">
        <f t="shared" si="6"/>
        <v>1.2553192557544757</v>
      </c>
      <c r="R6" s="382">
        <f t="shared" si="7"/>
        <v>0.97851239669421486</v>
      </c>
      <c r="S6" s="382">
        <f t="shared" si="8"/>
        <v>37.778528443113771</v>
      </c>
      <c r="T6" s="382">
        <f t="shared" si="9"/>
        <v>2.6019000000000001</v>
      </c>
      <c r="U6" s="382"/>
      <c r="V6" s="383">
        <f t="shared" si="10"/>
        <v>2.296208814842499E-2</v>
      </c>
      <c r="W6" s="386" t="str">
        <f t="shared" si="11"/>
        <v>None to slight</v>
      </c>
    </row>
    <row r="7" spans="1:23" x14ac:dyDescent="0.3">
      <c r="A7" s="34">
        <v>44</v>
      </c>
      <c r="B7" s="35">
        <v>32.643599999999999</v>
      </c>
      <c r="C7" s="31">
        <v>72969</v>
      </c>
      <c r="D7" s="34">
        <v>52150.944300000003</v>
      </c>
      <c r="E7" s="35">
        <v>52</v>
      </c>
      <c r="F7" s="31">
        <v>31.355999999999998</v>
      </c>
      <c r="G7" s="31">
        <v>168.16</v>
      </c>
      <c r="H7" s="31"/>
      <c r="I7" s="31"/>
      <c r="J7" s="382">
        <f t="shared" si="1"/>
        <v>0.35696368286445013</v>
      </c>
      <c r="K7" s="382">
        <f t="shared" si="2"/>
        <v>0.14192869565217392</v>
      </c>
      <c r="L7" s="382">
        <f t="shared" si="3"/>
        <v>260.6035714285714</v>
      </c>
      <c r="M7" s="382">
        <f t="shared" si="4"/>
        <v>0.25807407407407407</v>
      </c>
      <c r="N7" s="250"/>
      <c r="O7" s="382">
        <f t="shared" si="0"/>
        <v>1.2427394777138381E-2</v>
      </c>
      <c r="P7" s="382" t="str">
        <f t="shared" si="5"/>
        <v>Sol non sodique – Faible risque de dispersion, perméabilité normale</v>
      </c>
      <c r="Q7" s="382">
        <f t="shared" si="6"/>
        <v>0.35700669053708434</v>
      </c>
      <c r="R7" s="382">
        <f t="shared" si="7"/>
        <v>0.14162679425837321</v>
      </c>
      <c r="S7" s="382">
        <f t="shared" si="8"/>
        <v>260.23425299401197</v>
      </c>
      <c r="T7" s="382">
        <f t="shared" si="9"/>
        <v>0.18408000000000002</v>
      </c>
      <c r="U7" s="382"/>
      <c r="V7" s="383">
        <f>R7/(Q7+R7+S7+T7)</f>
        <v>5.4280408119752009E-4</v>
      </c>
      <c r="W7" s="386" t="str">
        <f t="shared" si="11"/>
        <v>None to slight</v>
      </c>
    </row>
    <row r="8" spans="1:23" x14ac:dyDescent="0.3">
      <c r="A8" s="34">
        <v>3865</v>
      </c>
      <c r="B8" s="35">
        <v>2867.4434999999999</v>
      </c>
      <c r="C8" s="31">
        <v>12028</v>
      </c>
      <c r="D8" s="34">
        <v>8596.4115999999995</v>
      </c>
      <c r="E8" s="35">
        <v>1802</v>
      </c>
      <c r="F8" s="31">
        <v>1086.606</v>
      </c>
      <c r="G8" s="31">
        <v>1409.09</v>
      </c>
      <c r="H8" s="31"/>
      <c r="I8" s="31"/>
      <c r="J8" s="382">
        <f t="shared" si="1"/>
        <v>2.9911629156010227</v>
      </c>
      <c r="K8" s="382">
        <f t="shared" si="2"/>
        <v>12.467145652173913</v>
      </c>
      <c r="L8" s="382">
        <f t="shared" si="3"/>
        <v>42.957142857142856</v>
      </c>
      <c r="M8" s="382">
        <f t="shared" si="4"/>
        <v>8.9432592592592588</v>
      </c>
      <c r="N8" s="250"/>
      <c r="O8" s="382">
        <f t="shared" si="0"/>
        <v>2.4473533064947657</v>
      </c>
      <c r="P8" s="382" t="str">
        <f t="shared" si="5"/>
        <v>Sol non sodique – Faible risque de dispersion, perméabilité normale</v>
      </c>
      <c r="Q8" s="382">
        <f t="shared" si="6"/>
        <v>2.9915232966751915</v>
      </c>
      <c r="R8" s="382">
        <f t="shared" si="7"/>
        <v>12.440626359286645</v>
      </c>
      <c r="S8" s="382">
        <f t="shared" si="8"/>
        <v>42.896265469061873</v>
      </c>
      <c r="T8" s="382">
        <f t="shared" si="9"/>
        <v>6.3790800000000001</v>
      </c>
      <c r="U8" s="382"/>
      <c r="V8" s="383">
        <f t="shared" si="10"/>
        <v>0.19225943355170305</v>
      </c>
      <c r="W8" s="386" t="str">
        <f t="shared" si="11"/>
        <v>Light to moderate</v>
      </c>
    </row>
    <row r="9" spans="1:23" x14ac:dyDescent="0.3">
      <c r="A9" s="34">
        <v>4174</v>
      </c>
      <c r="B9" s="35">
        <v>3096.6905999999999</v>
      </c>
      <c r="C9" s="31">
        <v>9839</v>
      </c>
      <c r="D9" s="34">
        <v>7031.9332999999997</v>
      </c>
      <c r="E9" s="35">
        <v>1391</v>
      </c>
      <c r="F9" s="31">
        <v>838.77300000000002</v>
      </c>
      <c r="G9" s="31">
        <v>1220.69</v>
      </c>
      <c r="H9" s="31"/>
      <c r="I9" s="31"/>
      <c r="J9" s="382">
        <f t="shared" si="1"/>
        <v>2.5912345268542198</v>
      </c>
      <c r="K9" s="382">
        <f t="shared" si="2"/>
        <v>13.463872173913044</v>
      </c>
      <c r="L9" s="382">
        <f t="shared" si="3"/>
        <v>35.13928571428572</v>
      </c>
      <c r="M9" s="382">
        <f t="shared" si="4"/>
        <v>6.9034814814814816</v>
      </c>
      <c r="N9" s="250"/>
      <c r="O9" s="382">
        <f t="shared" si="0"/>
        <v>2.936563058617224</v>
      </c>
      <c r="P9" s="382" t="str">
        <f t="shared" si="5"/>
        <v>Sol non sodique – Faible risque de dispersion, perméabilité normale</v>
      </c>
      <c r="Q9" s="382">
        <f t="shared" si="6"/>
        <v>2.5915467237851662</v>
      </c>
      <c r="R9" s="382">
        <f t="shared" si="7"/>
        <v>13.435232709873857</v>
      </c>
      <c r="S9" s="382">
        <f t="shared" si="8"/>
        <v>35.089487524950094</v>
      </c>
      <c r="T9" s="382">
        <f t="shared" si="9"/>
        <v>4.9241400000000004</v>
      </c>
      <c r="U9" s="382"/>
      <c r="V9" s="383">
        <f t="shared" si="10"/>
        <v>0.23974188338419786</v>
      </c>
      <c r="W9" s="386" t="str">
        <f t="shared" si="11"/>
        <v>Light to moderate</v>
      </c>
    </row>
    <row r="10" spans="1:23" x14ac:dyDescent="0.3">
      <c r="A10" s="34">
        <v>38096</v>
      </c>
      <c r="B10" s="35">
        <v>28263.422399999999</v>
      </c>
      <c r="C10" s="31">
        <v>15558</v>
      </c>
      <c r="D10" s="34">
        <v>11119.302600000001</v>
      </c>
      <c r="E10" s="35">
        <v>3995</v>
      </c>
      <c r="F10" s="31">
        <v>2408.9850000000001</v>
      </c>
      <c r="G10" s="31">
        <v>1578.14</v>
      </c>
      <c r="H10" s="31"/>
      <c r="I10" s="31"/>
      <c r="J10" s="382">
        <f t="shared" si="1"/>
        <v>3.3500158567774929</v>
      </c>
      <c r="K10" s="382">
        <f t="shared" si="2"/>
        <v>122.8844452173913</v>
      </c>
      <c r="L10" s="382">
        <f t="shared" si="3"/>
        <v>55.56428571428571</v>
      </c>
      <c r="M10" s="382">
        <f t="shared" si="4"/>
        <v>19.827037037037037</v>
      </c>
      <c r="N10" s="250"/>
      <c r="O10" s="382">
        <f t="shared" si="0"/>
        <v>20.014798832115265</v>
      </c>
      <c r="P10" s="382" t="str">
        <f t="shared" si="5"/>
        <v>Sol sodique – Risque élevé de dispersion, structure du sol détériorée</v>
      </c>
      <c r="Q10" s="382">
        <f t="shared" si="6"/>
        <v>3.3504194731457804</v>
      </c>
      <c r="R10" s="382">
        <f t="shared" si="7"/>
        <v>122.62305350152241</v>
      </c>
      <c r="S10" s="382">
        <f t="shared" si="8"/>
        <v>55.485541916167669</v>
      </c>
      <c r="T10" s="382">
        <f t="shared" si="9"/>
        <v>14.142300000000001</v>
      </c>
      <c r="U10" s="382"/>
      <c r="V10" s="383">
        <f t="shared" si="10"/>
        <v>0.62690301223157796</v>
      </c>
      <c r="W10" s="386" t="str">
        <f t="shared" si="11"/>
        <v>High to very high</v>
      </c>
    </row>
    <row r="11" spans="1:23" x14ac:dyDescent="0.3">
      <c r="A11" s="34">
        <v>12310</v>
      </c>
      <c r="B11" s="35">
        <v>9132.7890000000007</v>
      </c>
      <c r="C11" s="31">
        <v>11845</v>
      </c>
      <c r="D11" s="34">
        <v>8465.6214999999993</v>
      </c>
      <c r="E11" s="35">
        <v>2177</v>
      </c>
      <c r="F11" s="31">
        <v>1312.731</v>
      </c>
      <c r="G11" s="31">
        <v>1560.86</v>
      </c>
      <c r="H11" s="31"/>
      <c r="I11" s="31"/>
      <c r="J11" s="382">
        <f t="shared" si="1"/>
        <v>3.3133345268542196</v>
      </c>
      <c r="K11" s="382">
        <f t="shared" si="2"/>
        <v>39.707778260869567</v>
      </c>
      <c r="L11" s="382">
        <f t="shared" si="3"/>
        <v>42.303571428571431</v>
      </c>
      <c r="M11" s="382">
        <f t="shared" si="4"/>
        <v>10.80437037037037</v>
      </c>
      <c r="N11" s="250"/>
      <c r="O11" s="382">
        <f t="shared" si="0"/>
        <v>7.7056778842050262</v>
      </c>
      <c r="P11" s="382" t="str">
        <f t="shared" si="5"/>
        <v>Sol non sodique – Faible risque de dispersion, perméabilité normale</v>
      </c>
      <c r="Q11" s="382">
        <f t="shared" si="6"/>
        <v>3.3137337237851661</v>
      </c>
      <c r="R11" s="382">
        <f t="shared" si="7"/>
        <v>39.623314484558499</v>
      </c>
      <c r="S11" s="382">
        <f t="shared" si="8"/>
        <v>42.243620259481034</v>
      </c>
      <c r="T11" s="382">
        <f t="shared" si="9"/>
        <v>7.7065800000000007</v>
      </c>
      <c r="U11" s="382"/>
      <c r="V11" s="383">
        <f t="shared" si="10"/>
        <v>0.42657431604601415</v>
      </c>
      <c r="W11" s="386" t="str">
        <f t="shared" si="11"/>
        <v>Moderate to high</v>
      </c>
    </row>
    <row r="12" spans="1:23" ht="16.2" thickBot="1" x14ac:dyDescent="0.35">
      <c r="A12" s="34">
        <v>212</v>
      </c>
      <c r="B12" s="35">
        <v>157.28280000000001</v>
      </c>
      <c r="C12" s="31">
        <v>10176</v>
      </c>
      <c r="D12" s="34">
        <v>7272.7871999999998</v>
      </c>
      <c r="E12" s="35">
        <v>585</v>
      </c>
      <c r="F12" s="31">
        <v>352.755</v>
      </c>
      <c r="G12" s="31">
        <v>613.69000000000005</v>
      </c>
      <c r="H12" s="31"/>
      <c r="I12" s="31"/>
      <c r="J12" s="382">
        <f t="shared" si="1"/>
        <v>1.3027179028132991</v>
      </c>
      <c r="K12" s="382">
        <f t="shared" si="2"/>
        <v>0.68383826086956534</v>
      </c>
      <c r="L12" s="382">
        <f t="shared" si="3"/>
        <v>36.342857142857142</v>
      </c>
      <c r="M12" s="382">
        <f t="shared" si="4"/>
        <v>2.9033333333333333</v>
      </c>
      <c r="N12" s="250"/>
      <c r="O12" s="382">
        <f t="shared" si="0"/>
        <v>0.15437239433389269</v>
      </c>
      <c r="P12" s="382" t="str">
        <f t="shared" si="5"/>
        <v>Sol non sodique – Faible risque de dispersion, perméabilité normale</v>
      </c>
      <c r="Q12" s="382">
        <f t="shared" si="6"/>
        <v>1.3028748567774937</v>
      </c>
      <c r="R12" s="382">
        <f t="shared" si="7"/>
        <v>0.68238364506307081</v>
      </c>
      <c r="S12" s="382">
        <f t="shared" si="8"/>
        <v>36.291353293413174</v>
      </c>
      <c r="T12" s="382">
        <f t="shared" si="9"/>
        <v>2.0709</v>
      </c>
      <c r="U12" s="382"/>
      <c r="V12" s="383">
        <f t="shared" si="10"/>
        <v>1.6912657427944362E-2</v>
      </c>
      <c r="W12" s="386" t="str">
        <f t="shared" si="11"/>
        <v>None to slight</v>
      </c>
    </row>
    <row r="13" spans="1:23" x14ac:dyDescent="0.3">
      <c r="A13" s="71">
        <v>49</v>
      </c>
      <c r="B13" s="71">
        <v>36.353099999999998</v>
      </c>
      <c r="C13" s="71">
        <v>2915</v>
      </c>
      <c r="D13" s="71">
        <v>2083.3505</v>
      </c>
      <c r="E13" s="71">
        <v>643</v>
      </c>
      <c r="F13" s="71">
        <v>387.72899999999998</v>
      </c>
      <c r="G13" s="71">
        <v>407.09</v>
      </c>
      <c r="H13" s="71"/>
      <c r="I13" s="71"/>
      <c r="J13" s="382">
        <f t="shared" si="1"/>
        <v>0.86415524296675184</v>
      </c>
      <c r="K13" s="382">
        <f t="shared" si="2"/>
        <v>0.15805695652173912</v>
      </c>
      <c r="L13" s="382">
        <f t="shared" si="3"/>
        <v>10.410714285714286</v>
      </c>
      <c r="M13" s="382">
        <f t="shared" si="4"/>
        <v>3.1911851851851849</v>
      </c>
      <c r="N13" s="241"/>
      <c r="O13" s="382">
        <f t="shared" si="0"/>
        <v>6.0607843638566701E-2</v>
      </c>
      <c r="P13" s="382" t="str">
        <f t="shared" si="5"/>
        <v>Sol non sodique – Faible risque de dispersion, perméabilité normale</v>
      </c>
      <c r="Q13" s="382">
        <f t="shared" si="6"/>
        <v>0.86425935805626586</v>
      </c>
      <c r="R13" s="382">
        <f t="shared" si="7"/>
        <v>0.15772074815137016</v>
      </c>
      <c r="S13" s="382">
        <f t="shared" si="8"/>
        <v>10.395960578842315</v>
      </c>
      <c r="T13" s="382">
        <f t="shared" si="9"/>
        <v>2.2762199999999999</v>
      </c>
      <c r="U13" s="382"/>
      <c r="V13" s="383">
        <f t="shared" si="10"/>
        <v>1.1517372388039484E-2</v>
      </c>
      <c r="W13" s="386" t="str">
        <f t="shared" si="11"/>
        <v>None to slight</v>
      </c>
    </row>
    <row r="14" spans="1:23" x14ac:dyDescent="0.3">
      <c r="A14" s="71">
        <v>62</v>
      </c>
      <c r="B14" s="71">
        <v>45.997799999999998</v>
      </c>
      <c r="C14" s="71">
        <v>2826</v>
      </c>
      <c r="D14" s="71">
        <v>2019.7421999999999</v>
      </c>
      <c r="E14" s="71">
        <v>611</v>
      </c>
      <c r="F14" s="71">
        <v>368.43299999999999</v>
      </c>
      <c r="G14" s="71">
        <v>375.3</v>
      </c>
      <c r="H14" s="71"/>
      <c r="I14" s="71"/>
      <c r="J14" s="382">
        <f t="shared" si="1"/>
        <v>0.79667263427109958</v>
      </c>
      <c r="K14" s="382">
        <f t="shared" si="2"/>
        <v>0.19999043478260869</v>
      </c>
      <c r="L14" s="382">
        <f t="shared" si="3"/>
        <v>10.092857142857143</v>
      </c>
      <c r="M14" s="382">
        <f t="shared" si="4"/>
        <v>3.0323703703703702</v>
      </c>
      <c r="N14" s="251"/>
      <c r="O14" s="382">
        <f t="shared" si="0"/>
        <v>7.8067595335109943E-2</v>
      </c>
      <c r="P14" s="382" t="str">
        <f t="shared" si="5"/>
        <v>Sol non sodique – Faible risque de dispersion, perméabilité normale</v>
      </c>
      <c r="Q14" s="382">
        <f t="shared" si="6"/>
        <v>0.79676861892583117</v>
      </c>
      <c r="R14" s="382">
        <f t="shared" si="7"/>
        <v>0.19956502827316225</v>
      </c>
      <c r="S14" s="382">
        <f t="shared" si="8"/>
        <v>10.078553892215568</v>
      </c>
      <c r="T14" s="382">
        <f t="shared" si="9"/>
        <v>2.1629400000000003</v>
      </c>
      <c r="U14" s="382"/>
      <c r="V14" s="383">
        <f t="shared" si="10"/>
        <v>1.5075360944155942E-2</v>
      </c>
      <c r="W14" s="386" t="str">
        <f t="shared" si="11"/>
        <v>None to slight</v>
      </c>
    </row>
    <row r="15" spans="1:23" x14ac:dyDescent="0.3">
      <c r="A15" s="71">
        <v>76</v>
      </c>
      <c r="B15" s="71">
        <v>56.384399999999999</v>
      </c>
      <c r="C15" s="71">
        <v>3615</v>
      </c>
      <c r="D15" s="71">
        <v>2583.6405</v>
      </c>
      <c r="E15" s="71">
        <v>597</v>
      </c>
      <c r="F15" s="71">
        <v>359.99099999999999</v>
      </c>
      <c r="G15" s="71">
        <v>442.52</v>
      </c>
      <c r="H15" s="71"/>
      <c r="I15" s="71"/>
      <c r="J15" s="382">
        <f t="shared" si="1"/>
        <v>0.93936470588235277</v>
      </c>
      <c r="K15" s="382">
        <f t="shared" si="2"/>
        <v>0.24514956521739131</v>
      </c>
      <c r="L15" s="382">
        <f t="shared" si="3"/>
        <v>12.910714285714286</v>
      </c>
      <c r="M15" s="382">
        <f t="shared" si="4"/>
        <v>2.9628888888888887</v>
      </c>
      <c r="N15" s="251"/>
      <c r="O15" s="382">
        <f t="shared" si="0"/>
        <v>8.7017853381699262E-2</v>
      </c>
      <c r="P15" s="382" t="str">
        <f t="shared" si="5"/>
        <v>Sol non sodique – Faible risque de dispersion, perméabilité normale</v>
      </c>
      <c r="Q15" s="382">
        <f t="shared" si="6"/>
        <v>0.93947788235294116</v>
      </c>
      <c r="R15" s="382">
        <f t="shared" si="7"/>
        <v>0.24462809917355371</v>
      </c>
      <c r="S15" s="382">
        <f t="shared" si="8"/>
        <v>12.892417664670658</v>
      </c>
      <c r="T15" s="382">
        <f t="shared" si="9"/>
        <v>2.1133800000000003</v>
      </c>
      <c r="U15" s="382"/>
      <c r="V15" s="383">
        <f t="shared" si="10"/>
        <v>1.5109916928444132E-2</v>
      </c>
      <c r="W15" s="386" t="str">
        <f t="shared" si="11"/>
        <v>None to slight</v>
      </c>
    </row>
    <row r="16" spans="1:23" ht="16.2" thickBot="1" x14ac:dyDescent="0.35">
      <c r="A16" s="71">
        <v>42</v>
      </c>
      <c r="B16" s="71">
        <v>31.159800000000001</v>
      </c>
      <c r="C16" s="71">
        <v>2064</v>
      </c>
      <c r="D16" s="71">
        <v>1475.1407999999999</v>
      </c>
      <c r="E16" s="71">
        <v>462</v>
      </c>
      <c r="F16" s="71">
        <v>278.58600000000001</v>
      </c>
      <c r="G16" s="71">
        <v>323.76</v>
      </c>
      <c r="H16" s="71"/>
      <c r="I16" s="71"/>
      <c r="J16" s="382">
        <f t="shared" si="1"/>
        <v>0.68726547314578001</v>
      </c>
      <c r="K16" s="382">
        <f t="shared" si="2"/>
        <v>0.13547739130434783</v>
      </c>
      <c r="L16" s="382">
        <f t="shared" si="3"/>
        <v>7.371428571428571</v>
      </c>
      <c r="M16" s="382">
        <f t="shared" si="4"/>
        <v>2.2928888888888892</v>
      </c>
      <c r="N16" s="251"/>
      <c r="O16" s="382">
        <f t="shared" si="0"/>
        <v>6.1630576406068935E-2</v>
      </c>
      <c r="P16" s="382" t="str">
        <f t="shared" si="5"/>
        <v>Sol non sodique – Faible risque de dispersion, perméabilité normale</v>
      </c>
      <c r="Q16" s="382">
        <f t="shared" si="6"/>
        <v>0.68734827621483374</v>
      </c>
      <c r="R16" s="382">
        <f t="shared" si="7"/>
        <v>0.1351892127011744</v>
      </c>
      <c r="S16" s="382">
        <f t="shared" si="8"/>
        <v>7.360982035928143</v>
      </c>
      <c r="T16" s="382">
        <f t="shared" si="9"/>
        <v>1.63548</v>
      </c>
      <c r="U16" s="382"/>
      <c r="V16" s="383">
        <f t="shared" si="10"/>
        <v>1.376812498657496E-2</v>
      </c>
      <c r="W16" s="386" t="str">
        <f t="shared" si="11"/>
        <v>None to slight</v>
      </c>
    </row>
    <row r="17" spans="1:23" x14ac:dyDescent="0.3">
      <c r="A17" s="71">
        <v>110464</v>
      </c>
      <c r="B17" s="71">
        <v>81953.241599999994</v>
      </c>
      <c r="C17" s="71">
        <v>19615</v>
      </c>
      <c r="D17" s="71">
        <v>14018.8405</v>
      </c>
      <c r="E17" s="71">
        <v>9460</v>
      </c>
      <c r="F17" s="71">
        <v>5704.38</v>
      </c>
      <c r="G17" s="71">
        <v>804.47</v>
      </c>
      <c r="H17" s="71"/>
      <c r="I17" s="71"/>
      <c r="J17" s="382">
        <f t="shared" si="1"/>
        <v>1.7076984654731457</v>
      </c>
      <c r="K17" s="382">
        <f t="shared" si="2"/>
        <v>356.31844173913044</v>
      </c>
      <c r="L17" s="382">
        <f t="shared" si="3"/>
        <v>70.053571428571431</v>
      </c>
      <c r="M17" s="382">
        <f t="shared" si="4"/>
        <v>46.949629629629626</v>
      </c>
      <c r="N17" s="241"/>
      <c r="O17" s="382">
        <f t="shared" si="0"/>
        <v>46.585893169869188</v>
      </c>
      <c r="P17" s="382" t="str">
        <f t="shared" si="5"/>
        <v>Sol très sodique – Très haut risque de dispersion, dégradation sévère</v>
      </c>
      <c r="Q17" s="382">
        <f t="shared" si="6"/>
        <v>1.7079042122762147</v>
      </c>
      <c r="R17" s="382">
        <f t="shared" si="7"/>
        <v>355.56050456720311</v>
      </c>
      <c r="S17" s="382">
        <f t="shared" si="8"/>
        <v>69.954293912175643</v>
      </c>
      <c r="T17" s="382">
        <f t="shared" si="9"/>
        <v>33.488399999999999</v>
      </c>
      <c r="U17" s="382"/>
      <c r="V17" s="383">
        <f t="shared" si="10"/>
        <v>0.77176456675317606</v>
      </c>
      <c r="W17" s="386" t="str">
        <f t="shared" si="11"/>
        <v>Extremely high</v>
      </c>
    </row>
    <row r="18" spans="1:23" ht="16.2" thickBot="1" x14ac:dyDescent="0.35">
      <c r="A18" s="71">
        <v>111341</v>
      </c>
      <c r="B18" s="71">
        <v>82603.887900000002</v>
      </c>
      <c r="C18" s="71">
        <v>12400</v>
      </c>
      <c r="D18" s="71">
        <v>8862.2800000000007</v>
      </c>
      <c r="E18" s="71">
        <v>6092</v>
      </c>
      <c r="F18" s="71">
        <v>3673.4759999999997</v>
      </c>
      <c r="G18" s="71">
        <v>985.88</v>
      </c>
      <c r="H18" s="71"/>
      <c r="I18" s="71"/>
      <c r="J18" s="382">
        <f t="shared" si="1"/>
        <v>2.0927887468030688</v>
      </c>
      <c r="K18" s="382">
        <f t="shared" si="2"/>
        <v>359.14733869565219</v>
      </c>
      <c r="L18" s="382">
        <f t="shared" si="3"/>
        <v>44.285714285714285</v>
      </c>
      <c r="M18" s="382">
        <f t="shared" si="4"/>
        <v>30.234370370370364</v>
      </c>
      <c r="N18" s="251"/>
      <c r="O18" s="382">
        <f t="shared" si="0"/>
        <v>58.83706231903308</v>
      </c>
      <c r="P18" s="382" t="str">
        <f t="shared" si="5"/>
        <v>Sol très sodique – Très haut risque de dispersion, dégradation sévère</v>
      </c>
      <c r="Q18" s="382">
        <f t="shared" si="6"/>
        <v>2.0930408900255753</v>
      </c>
      <c r="R18" s="382">
        <f t="shared" si="7"/>
        <v>358.38338408003477</v>
      </c>
      <c r="S18" s="382">
        <f t="shared" si="8"/>
        <v>44.222954091816369</v>
      </c>
      <c r="T18" s="382">
        <f t="shared" si="9"/>
        <v>21.56568</v>
      </c>
      <c r="U18" s="382"/>
      <c r="V18" s="383">
        <f t="shared" si="10"/>
        <v>0.84075242964732844</v>
      </c>
      <c r="W18" s="386" t="str">
        <f t="shared" si="11"/>
        <v>Extremely high</v>
      </c>
    </row>
    <row r="19" spans="1:23" ht="16.2" thickBot="1" x14ac:dyDescent="0.35">
      <c r="A19" s="97">
        <v>186</v>
      </c>
      <c r="B19" s="31">
        <v>137.99340000000001</v>
      </c>
      <c r="C19" s="97">
        <v>3923</v>
      </c>
      <c r="D19" s="31">
        <v>2803.7681000000002</v>
      </c>
      <c r="E19" s="97">
        <v>943</v>
      </c>
      <c r="F19" s="31">
        <v>568.62900000000002</v>
      </c>
      <c r="G19" s="97">
        <v>381.34</v>
      </c>
      <c r="H19" s="97"/>
      <c r="I19" s="97"/>
      <c r="J19" s="382">
        <f t="shared" si="1"/>
        <v>0.8094941176470587</v>
      </c>
      <c r="K19" s="382">
        <f t="shared" si="2"/>
        <v>0.59997130434782608</v>
      </c>
      <c r="L19" s="382">
        <f t="shared" si="3"/>
        <v>14.010714285714286</v>
      </c>
      <c r="M19" s="382">
        <f t="shared" si="4"/>
        <v>4.6800740740740743</v>
      </c>
      <c r="N19" s="238"/>
      <c r="O19" s="382">
        <f t="shared" si="0"/>
        <v>0.19625994245287587</v>
      </c>
      <c r="P19" s="382" t="str">
        <f t="shared" si="5"/>
        <v>Sol non sodique – Faible risque de dispersion, perméabilité normale</v>
      </c>
      <c r="Q19" s="382">
        <f t="shared" si="6"/>
        <v>0.80959164705882347</v>
      </c>
      <c r="R19" s="382">
        <f t="shared" si="7"/>
        <v>0.59869508481948663</v>
      </c>
      <c r="S19" s="382">
        <f t="shared" si="8"/>
        <v>13.990858782435131</v>
      </c>
      <c r="T19" s="382">
        <f t="shared" si="9"/>
        <v>3.3382200000000002</v>
      </c>
      <c r="U19" s="382"/>
      <c r="V19" s="383">
        <f t="shared" si="10"/>
        <v>3.1951934991188834E-2</v>
      </c>
      <c r="W19" s="386" t="str">
        <f t="shared" si="11"/>
        <v>None to slight</v>
      </c>
    </row>
    <row r="20" spans="1:23" ht="16.2" thickBot="1" x14ac:dyDescent="0.35">
      <c r="A20" s="97">
        <v>182</v>
      </c>
      <c r="B20" s="31">
        <v>135.0258</v>
      </c>
      <c r="C20" s="97">
        <v>3728</v>
      </c>
      <c r="D20" s="31">
        <v>2664.4016000000001</v>
      </c>
      <c r="E20" s="97">
        <v>1058</v>
      </c>
      <c r="F20" s="31">
        <v>637.97399999999993</v>
      </c>
      <c r="G20" s="97">
        <v>303.86</v>
      </c>
      <c r="H20" s="97"/>
      <c r="I20" s="97"/>
      <c r="J20" s="382">
        <f t="shared" si="1"/>
        <v>0.64502250639386183</v>
      </c>
      <c r="K20" s="382">
        <f t="shared" si="2"/>
        <v>0.5870686956521739</v>
      </c>
      <c r="L20" s="382">
        <f t="shared" si="3"/>
        <v>13.314285714285713</v>
      </c>
      <c r="M20" s="382">
        <f t="shared" si="4"/>
        <v>5.2508148148148139</v>
      </c>
      <c r="N20" s="238"/>
      <c r="O20" s="382">
        <f t="shared" si="0"/>
        <v>0.19268826587374935</v>
      </c>
      <c r="P20" s="382" t="str">
        <f t="shared" si="5"/>
        <v>Sol non sodique – Faible risque de dispersion, perméabilité normale</v>
      </c>
      <c r="Q20" s="382">
        <f t="shared" si="6"/>
        <v>0.64510021994884914</v>
      </c>
      <c r="R20" s="382">
        <f t="shared" si="7"/>
        <v>0.58581992170508923</v>
      </c>
      <c r="S20" s="382">
        <f t="shared" si="8"/>
        <v>13.295417165668663</v>
      </c>
      <c r="T20" s="382">
        <f t="shared" si="9"/>
        <v>3.74532</v>
      </c>
      <c r="U20" s="382"/>
      <c r="V20" s="383">
        <f t="shared" si="10"/>
        <v>3.2061674091835905E-2</v>
      </c>
      <c r="W20" s="386" t="str">
        <f t="shared" si="11"/>
        <v>None to slight</v>
      </c>
    </row>
    <row r="21" spans="1:23" ht="16.2" thickBot="1" x14ac:dyDescent="0.35">
      <c r="A21" s="97">
        <v>107</v>
      </c>
      <c r="B21" s="31">
        <v>79.383300000000006</v>
      </c>
      <c r="C21" s="97">
        <v>4021</v>
      </c>
      <c r="D21" s="31">
        <v>2873.8087</v>
      </c>
      <c r="E21" s="97">
        <v>840</v>
      </c>
      <c r="F21" s="31">
        <v>506.52</v>
      </c>
      <c r="G21" s="97">
        <v>293.56</v>
      </c>
      <c r="H21" s="97"/>
      <c r="I21" s="97"/>
      <c r="J21" s="382">
        <f t="shared" si="1"/>
        <v>0.62315805626598453</v>
      </c>
      <c r="K21" s="382">
        <f t="shared" si="2"/>
        <v>0.34514478260869569</v>
      </c>
      <c r="L21" s="382">
        <f t="shared" si="3"/>
        <v>14.360714285714286</v>
      </c>
      <c r="M21" s="382">
        <f t="shared" si="4"/>
        <v>4.1688888888888886</v>
      </c>
      <c r="N21" s="238"/>
      <c r="O21" s="382">
        <f t="shared" si="0"/>
        <v>0.11339221822983336</v>
      </c>
      <c r="P21" s="382" t="str">
        <f t="shared" si="5"/>
        <v>Sol non sodique – Faible risque de dispersion, perméabilité normale</v>
      </c>
      <c r="Q21" s="382">
        <f t="shared" si="6"/>
        <v>0.62323313554987203</v>
      </c>
      <c r="R21" s="382">
        <f t="shared" si="7"/>
        <v>0.34441061331013478</v>
      </c>
      <c r="S21" s="382">
        <f t="shared" si="8"/>
        <v>14.340362774451098</v>
      </c>
      <c r="T21" s="382">
        <f t="shared" si="9"/>
        <v>2.9736000000000002</v>
      </c>
      <c r="U21" s="382"/>
      <c r="V21" s="383">
        <f t="shared" si="10"/>
        <v>1.8839187511829034E-2</v>
      </c>
      <c r="W21" s="386" t="str">
        <f t="shared" si="11"/>
        <v>None to slight</v>
      </c>
    </row>
    <row r="22" spans="1:23" ht="16.2" thickBot="1" x14ac:dyDescent="0.35">
      <c r="A22" s="97">
        <v>107</v>
      </c>
      <c r="B22" s="31">
        <v>79.383300000000006</v>
      </c>
      <c r="C22" s="97">
        <v>4489</v>
      </c>
      <c r="D22" s="31">
        <v>3208.2883000000002</v>
      </c>
      <c r="E22" s="97">
        <v>882</v>
      </c>
      <c r="F22" s="31">
        <v>531.846</v>
      </c>
      <c r="G22" s="97">
        <v>294.26</v>
      </c>
      <c r="H22" s="97"/>
      <c r="I22" s="97"/>
      <c r="J22" s="382">
        <f t="shared" si="1"/>
        <v>0.62464398976982094</v>
      </c>
      <c r="K22" s="382">
        <f t="shared" si="2"/>
        <v>0.34514478260869569</v>
      </c>
      <c r="L22" s="382">
        <f t="shared" si="3"/>
        <v>16.032142857142858</v>
      </c>
      <c r="M22" s="382">
        <f t="shared" si="4"/>
        <v>4.3773333333333335</v>
      </c>
      <c r="N22" s="238"/>
      <c r="O22" s="382">
        <f t="shared" si="0"/>
        <v>0.10804393208168611</v>
      </c>
      <c r="P22" s="382" t="str">
        <f t="shared" si="5"/>
        <v>Sol non sodique – Faible risque de dispersion, perméabilité normale</v>
      </c>
      <c r="Q22" s="382">
        <f t="shared" si="6"/>
        <v>0.62471924808184143</v>
      </c>
      <c r="R22" s="382">
        <f t="shared" si="7"/>
        <v>0.34441061331013478</v>
      </c>
      <c r="S22" s="382">
        <f t="shared" si="8"/>
        <v>16.009422654690621</v>
      </c>
      <c r="T22" s="382">
        <f t="shared" si="9"/>
        <v>3.1222799999999999</v>
      </c>
      <c r="U22" s="382"/>
      <c r="V22" s="383">
        <f t="shared" si="10"/>
        <v>1.7134146709325258E-2</v>
      </c>
      <c r="W22" s="386" t="str">
        <f t="shared" si="11"/>
        <v>None to slight</v>
      </c>
    </row>
    <row r="23" spans="1:23" ht="16.2" thickBot="1" x14ac:dyDescent="0.35">
      <c r="A23" s="97">
        <v>3682</v>
      </c>
      <c r="B23" s="31">
        <v>2731.6758</v>
      </c>
      <c r="C23" s="97">
        <v>5567</v>
      </c>
      <c r="D23" s="31">
        <v>3978.7348999999999</v>
      </c>
      <c r="E23" s="97">
        <v>1653</v>
      </c>
      <c r="F23" s="31">
        <v>996.75900000000001</v>
      </c>
      <c r="G23" s="97">
        <v>645.74</v>
      </c>
      <c r="H23" s="97"/>
      <c r="I23" s="97"/>
      <c r="J23" s="382">
        <f t="shared" si="1"/>
        <v>1.3707524296675191</v>
      </c>
      <c r="K23" s="382">
        <f t="shared" si="2"/>
        <v>11.876851304347825</v>
      </c>
      <c r="L23" s="382">
        <f t="shared" si="3"/>
        <v>19.88214285714286</v>
      </c>
      <c r="M23" s="382">
        <f t="shared" si="4"/>
        <v>8.2037777777777769</v>
      </c>
      <c r="N23" s="238"/>
      <c r="O23" s="382">
        <f t="shared" si="0"/>
        <v>3.1693630100201968</v>
      </c>
      <c r="P23" s="382" t="str">
        <f t="shared" si="5"/>
        <v>Sol non sodique – Faible risque de dispersion, perméabilité normale</v>
      </c>
      <c r="Q23" s="382">
        <f t="shared" si="6"/>
        <v>1.3709175805626599</v>
      </c>
      <c r="R23" s="382">
        <f t="shared" si="7"/>
        <v>11.851587646802956</v>
      </c>
      <c r="S23" s="382">
        <f t="shared" si="8"/>
        <v>19.853966566866266</v>
      </c>
      <c r="T23" s="382">
        <f t="shared" si="9"/>
        <v>5.8516200000000005</v>
      </c>
      <c r="U23" s="382"/>
      <c r="V23" s="383">
        <f t="shared" si="10"/>
        <v>0.30444820438280645</v>
      </c>
      <c r="W23" s="386" t="str">
        <f t="shared" si="11"/>
        <v>Moderate to high</v>
      </c>
    </row>
    <row r="24" spans="1:23" ht="16.2" thickBot="1" x14ac:dyDescent="0.35">
      <c r="A24" s="97">
        <v>565</v>
      </c>
      <c r="B24" s="31">
        <v>419.17349999999999</v>
      </c>
      <c r="C24" s="97">
        <v>2815</v>
      </c>
      <c r="D24" s="31">
        <v>2011.8805</v>
      </c>
      <c r="E24" s="97">
        <v>972</v>
      </c>
      <c r="F24" s="31">
        <v>586.11599999999999</v>
      </c>
      <c r="G24" s="97">
        <v>286.69</v>
      </c>
      <c r="H24" s="97"/>
      <c r="I24" s="97"/>
      <c r="J24" s="382">
        <f t="shared" si="1"/>
        <v>0.60857468030690531</v>
      </c>
      <c r="K24" s="382">
        <f t="shared" si="2"/>
        <v>1.8224934782608695</v>
      </c>
      <c r="L24" s="382">
        <f t="shared" si="3"/>
        <v>10.053571428571429</v>
      </c>
      <c r="M24" s="382">
        <f t="shared" si="4"/>
        <v>4.8239999999999998</v>
      </c>
      <c r="N24" s="238"/>
      <c r="O24" s="382">
        <f t="shared" si="0"/>
        <v>0.66821305873109627</v>
      </c>
      <c r="P24" s="382" t="str">
        <f t="shared" si="5"/>
        <v>Sol non sodique – Faible risque de dispersion, perméabilité normale</v>
      </c>
      <c r="Q24" s="382">
        <f t="shared" si="6"/>
        <v>0.6086480025575447</v>
      </c>
      <c r="R24" s="382">
        <f t="shared" si="7"/>
        <v>1.8186167899086561</v>
      </c>
      <c r="S24" s="382">
        <f t="shared" si="8"/>
        <v>10.039323852295409</v>
      </c>
      <c r="T24" s="382">
        <f t="shared" si="9"/>
        <v>3.4408800000000004</v>
      </c>
      <c r="U24" s="382"/>
      <c r="V24" s="383">
        <f t="shared" si="10"/>
        <v>0.11432471315965997</v>
      </c>
      <c r="W24" s="386" t="str">
        <f t="shared" si="11"/>
        <v>None to slight</v>
      </c>
    </row>
    <row r="25" spans="1:23" ht="16.2" thickBot="1" x14ac:dyDescent="0.35">
      <c r="A25" s="97">
        <v>1158</v>
      </c>
      <c r="B25" s="31">
        <v>859.12019999999995</v>
      </c>
      <c r="C25" s="97">
        <v>3811</v>
      </c>
      <c r="D25" s="31">
        <v>2723.7217000000001</v>
      </c>
      <c r="E25" s="97">
        <v>1016</v>
      </c>
      <c r="F25" s="31">
        <v>612.64800000000002</v>
      </c>
      <c r="G25" s="97">
        <v>305.08</v>
      </c>
      <c r="H25" s="97"/>
      <c r="I25" s="97"/>
      <c r="J25" s="382">
        <f t="shared" si="1"/>
        <v>0.64761227621483364</v>
      </c>
      <c r="K25" s="382">
        <f t="shared" si="2"/>
        <v>3.7353052173913044</v>
      </c>
      <c r="L25" s="382">
        <f t="shared" si="3"/>
        <v>13.610714285714286</v>
      </c>
      <c r="M25" s="382">
        <f t="shared" si="4"/>
        <v>5.0423703703703699</v>
      </c>
      <c r="N25" s="238"/>
      <c r="O25" s="382">
        <f t="shared" si="0"/>
        <v>1.2231106892444188</v>
      </c>
      <c r="P25" s="382" t="str">
        <f t="shared" si="5"/>
        <v>Sol non sodique – Faible risque de dispersion, perméabilité normale</v>
      </c>
      <c r="Q25" s="382">
        <f t="shared" si="6"/>
        <v>0.6476903017902812</v>
      </c>
      <c r="R25" s="382">
        <f t="shared" si="7"/>
        <v>3.7273597216180945</v>
      </c>
      <c r="S25" s="382">
        <f t="shared" si="8"/>
        <v>13.591425648702595</v>
      </c>
      <c r="T25" s="382">
        <f t="shared" si="9"/>
        <v>3.5966400000000003</v>
      </c>
      <c r="U25" s="382"/>
      <c r="V25" s="383">
        <f t="shared" si="10"/>
        <v>0.17285812395093442</v>
      </c>
      <c r="W25" s="386" t="str">
        <f t="shared" si="11"/>
        <v>Light to moderate</v>
      </c>
    </row>
    <row r="26" spans="1:23" ht="16.2" thickBot="1" x14ac:dyDescent="0.35">
      <c r="A26" s="97">
        <v>1841</v>
      </c>
      <c r="B26" s="31">
        <v>1365.8379</v>
      </c>
      <c r="C26" s="97">
        <v>3918</v>
      </c>
      <c r="D26" s="31">
        <v>2800.1945999999998</v>
      </c>
      <c r="E26" s="97">
        <v>1302</v>
      </c>
      <c r="F26" s="31">
        <v>785.10599999999999</v>
      </c>
      <c r="G26" s="97">
        <v>299.58</v>
      </c>
      <c r="H26" s="97"/>
      <c r="I26" s="97"/>
      <c r="J26" s="382">
        <f t="shared" si="1"/>
        <v>0.63593708439897689</v>
      </c>
      <c r="K26" s="382">
        <f t="shared" si="2"/>
        <v>5.9384256521739127</v>
      </c>
      <c r="L26" s="382">
        <f t="shared" si="3"/>
        <v>13.992857142857142</v>
      </c>
      <c r="M26" s="382">
        <f t="shared" si="4"/>
        <v>6.461777777777777</v>
      </c>
      <c r="N26" s="238"/>
      <c r="O26" s="382">
        <f t="shared" si="0"/>
        <v>1.8569082902074008</v>
      </c>
      <c r="P26" s="382" t="str">
        <f t="shared" si="5"/>
        <v>Sol non sodique – Faible risque de dispersion, perméabilité normale</v>
      </c>
      <c r="Q26" s="382">
        <f t="shared" si="6"/>
        <v>0.63601370332480811</v>
      </c>
      <c r="R26" s="382">
        <f t="shared" si="7"/>
        <v>5.9257938234014782</v>
      </c>
      <c r="S26" s="382">
        <f t="shared" si="8"/>
        <v>13.973026946107783</v>
      </c>
      <c r="T26" s="382">
        <f t="shared" si="9"/>
        <v>4.6090800000000005</v>
      </c>
      <c r="U26" s="382"/>
      <c r="V26" s="383">
        <f t="shared" si="10"/>
        <v>0.23567507079312613</v>
      </c>
      <c r="W26" s="386" t="str">
        <f t="shared" si="11"/>
        <v>Light to moderate</v>
      </c>
    </row>
    <row r="27" spans="1:23" ht="16.2" thickBot="1" x14ac:dyDescent="0.35">
      <c r="A27" s="97">
        <v>2380</v>
      </c>
      <c r="B27" s="31">
        <v>1765.722</v>
      </c>
      <c r="C27" s="97">
        <v>3108</v>
      </c>
      <c r="D27" s="31">
        <v>2221.2876000000001</v>
      </c>
      <c r="E27" s="97">
        <v>1123</v>
      </c>
      <c r="F27" s="31">
        <v>677.16899999999998</v>
      </c>
      <c r="G27" s="97">
        <v>433.94</v>
      </c>
      <c r="H27" s="97"/>
      <c r="I27" s="97"/>
      <c r="J27" s="382">
        <f t="shared" si="1"/>
        <v>0.92115140664961626</v>
      </c>
      <c r="K27" s="382">
        <f t="shared" si="2"/>
        <v>7.6770521739130437</v>
      </c>
      <c r="L27" s="382">
        <f t="shared" si="3"/>
        <v>11.1</v>
      </c>
      <c r="M27" s="382">
        <f t="shared" si="4"/>
        <v>5.5734074074074069</v>
      </c>
      <c r="N27" s="238"/>
      <c r="O27" s="382">
        <f t="shared" si="0"/>
        <v>2.6588712550158262</v>
      </c>
      <c r="P27" s="382" t="str">
        <f t="shared" si="5"/>
        <v>Sol non sodique – Faible risque de dispersion, perméabilité normale</v>
      </c>
      <c r="Q27" s="382">
        <f t="shared" si="6"/>
        <v>0.92126238874680311</v>
      </c>
      <c r="R27" s="382">
        <f t="shared" si="7"/>
        <v>7.660722053066551</v>
      </c>
      <c r="S27" s="382">
        <f t="shared" si="8"/>
        <v>11.084269461077845</v>
      </c>
      <c r="T27" s="382">
        <f t="shared" si="9"/>
        <v>3.9754200000000002</v>
      </c>
      <c r="U27" s="382"/>
      <c r="V27" s="383">
        <f t="shared" si="10"/>
        <v>0.32403467218662985</v>
      </c>
      <c r="W27" s="386" t="str">
        <f t="shared" si="11"/>
        <v>Moderate to high</v>
      </c>
    </row>
    <row r="28" spans="1:23" ht="16.2" thickBot="1" x14ac:dyDescent="0.35">
      <c r="A28" s="97">
        <v>3124</v>
      </c>
      <c r="B28" s="31">
        <v>2317.6956</v>
      </c>
      <c r="C28" s="97">
        <v>4036</v>
      </c>
      <c r="D28" s="31">
        <v>2884.5291999999999</v>
      </c>
      <c r="E28" s="97">
        <v>1312</v>
      </c>
      <c r="F28" s="31">
        <v>791.13599999999997</v>
      </c>
      <c r="G28" s="97">
        <v>341.82</v>
      </c>
      <c r="H28" s="97"/>
      <c r="I28" s="97"/>
      <c r="J28" s="382">
        <f t="shared" si="1"/>
        <v>0.725602557544757</v>
      </c>
      <c r="K28" s="382">
        <f t="shared" si="2"/>
        <v>10.076937391304348</v>
      </c>
      <c r="L28" s="382">
        <f t="shared" si="3"/>
        <v>14.414285714285715</v>
      </c>
      <c r="M28" s="382">
        <f t="shared" si="4"/>
        <v>6.5114074074074066</v>
      </c>
      <c r="N28" s="238"/>
      <c r="O28" s="382">
        <f t="shared" si="0"/>
        <v>3.1153269498925025</v>
      </c>
      <c r="P28" s="382" t="str">
        <f t="shared" si="5"/>
        <v>Sol non sodique – Faible risque de dispersion, perméabilité normale</v>
      </c>
      <c r="Q28" s="382">
        <f t="shared" si="6"/>
        <v>0.72568997953964187</v>
      </c>
      <c r="R28" s="382">
        <f t="shared" si="7"/>
        <v>10.055502392344497</v>
      </c>
      <c r="S28" s="382">
        <f t="shared" si="8"/>
        <v>14.393858283433133</v>
      </c>
      <c r="T28" s="382">
        <f t="shared" si="9"/>
        <v>4.6444800000000006</v>
      </c>
      <c r="U28" s="382"/>
      <c r="V28" s="383">
        <f t="shared" si="10"/>
        <v>0.33721196046227675</v>
      </c>
      <c r="W28" s="386" t="str">
        <f t="shared" si="11"/>
        <v>Moderate to high</v>
      </c>
    </row>
    <row r="29" spans="1:23" ht="16.2" thickBot="1" x14ac:dyDescent="0.35">
      <c r="A29" s="97">
        <v>2762</v>
      </c>
      <c r="B29" s="31">
        <v>2049.1278000000002</v>
      </c>
      <c r="C29" s="97">
        <v>5130</v>
      </c>
      <c r="D29" s="31">
        <v>3666.4110000000001</v>
      </c>
      <c r="E29" s="97">
        <v>1687</v>
      </c>
      <c r="F29" s="31">
        <v>1017.261</v>
      </c>
      <c r="G29" s="97">
        <v>572.99</v>
      </c>
      <c r="H29" s="97"/>
      <c r="I29" s="97"/>
      <c r="J29" s="382">
        <f t="shared" si="1"/>
        <v>1.2163214833759592</v>
      </c>
      <c r="K29" s="382">
        <f t="shared" si="2"/>
        <v>8.9092513043478281</v>
      </c>
      <c r="L29" s="382">
        <f t="shared" si="3"/>
        <v>18.321428571428573</v>
      </c>
      <c r="M29" s="382">
        <f t="shared" si="4"/>
        <v>8.3725185185185182</v>
      </c>
      <c r="N29" s="238"/>
      <c r="O29" s="382">
        <f t="shared" si="0"/>
        <v>2.4386518840055755</v>
      </c>
      <c r="P29" s="382" t="str">
        <f t="shared" si="5"/>
        <v>Sol non sodique – Faible risque de dispersion, perméabilité normale</v>
      </c>
      <c r="Q29" s="382">
        <f t="shared" si="6"/>
        <v>1.2164680281329923</v>
      </c>
      <c r="R29" s="382">
        <f t="shared" si="7"/>
        <v>8.8903001304915179</v>
      </c>
      <c r="S29" s="382">
        <f t="shared" si="8"/>
        <v>18.295464071856287</v>
      </c>
      <c r="T29" s="382">
        <f t="shared" si="9"/>
        <v>5.9719800000000003</v>
      </c>
      <c r="U29" s="382"/>
      <c r="V29" s="383">
        <f t="shared" si="10"/>
        <v>0.25863283995809455</v>
      </c>
      <c r="W29" s="386" t="str">
        <f t="shared" si="11"/>
        <v>Light to moderate</v>
      </c>
    </row>
    <row r="30" spans="1:23" ht="16.2" thickBot="1" x14ac:dyDescent="0.35">
      <c r="A30" s="97">
        <v>903</v>
      </c>
      <c r="B30" s="31">
        <v>669.9357</v>
      </c>
      <c r="C30" s="97">
        <v>4056</v>
      </c>
      <c r="D30" s="31">
        <v>2898.8231999999998</v>
      </c>
      <c r="E30" s="97">
        <v>1109</v>
      </c>
      <c r="F30" s="31">
        <v>668.72699999999998</v>
      </c>
      <c r="G30" s="97">
        <v>428.36</v>
      </c>
      <c r="H30" s="97"/>
      <c r="I30" s="97"/>
      <c r="J30" s="382">
        <f t="shared" si="1"/>
        <v>0.90930639386189249</v>
      </c>
      <c r="K30" s="382">
        <f t="shared" si="2"/>
        <v>2.9127639130434786</v>
      </c>
      <c r="L30" s="382">
        <f t="shared" si="3"/>
        <v>14.485714285714286</v>
      </c>
      <c r="M30" s="382">
        <f t="shared" si="4"/>
        <v>5.503925925925925</v>
      </c>
      <c r="N30" s="238"/>
      <c r="O30" s="382">
        <f t="shared" si="0"/>
        <v>0.92133547707877073</v>
      </c>
      <c r="P30" s="382" t="str">
        <f t="shared" si="5"/>
        <v>Sol non sodique – Faible risque de dispersion, perméabilité normale</v>
      </c>
      <c r="Q30" s="382">
        <f t="shared" si="6"/>
        <v>0.90941594884910482</v>
      </c>
      <c r="R30" s="382">
        <f t="shared" si="7"/>
        <v>2.9065680730752503</v>
      </c>
      <c r="S30" s="382">
        <f t="shared" si="8"/>
        <v>14.465185628742514</v>
      </c>
      <c r="T30" s="382">
        <f t="shared" si="9"/>
        <v>3.9258600000000001</v>
      </c>
      <c r="U30" s="382"/>
      <c r="V30" s="383">
        <f t="shared" si="10"/>
        <v>0.13088504490684855</v>
      </c>
      <c r="W30" s="386" t="str">
        <f t="shared" si="11"/>
        <v>None to slight</v>
      </c>
    </row>
    <row r="31" spans="1:23" ht="16.2" thickBot="1" x14ac:dyDescent="0.35">
      <c r="A31" s="97">
        <v>1206</v>
      </c>
      <c r="B31" s="31">
        <v>894.73140000000001</v>
      </c>
      <c r="C31" s="97">
        <v>4593</v>
      </c>
      <c r="D31" s="31">
        <v>3282.6170999999999</v>
      </c>
      <c r="E31" s="97">
        <v>1599</v>
      </c>
      <c r="F31" s="31">
        <v>964.197</v>
      </c>
      <c r="G31" s="97">
        <v>548.27</v>
      </c>
      <c r="H31" s="97"/>
      <c r="I31" s="97"/>
      <c r="J31" s="382">
        <f t="shared" si="1"/>
        <v>1.1638468030690536</v>
      </c>
      <c r="K31" s="382">
        <f t="shared" si="2"/>
        <v>3.8901365217391306</v>
      </c>
      <c r="L31" s="382">
        <f t="shared" si="3"/>
        <v>16.403571428571428</v>
      </c>
      <c r="M31" s="382">
        <f t="shared" si="4"/>
        <v>7.935777777777778</v>
      </c>
      <c r="N31" s="238"/>
      <c r="O31" s="382">
        <f t="shared" si="0"/>
        <v>1.1151296409525695</v>
      </c>
      <c r="P31" s="382" t="str">
        <f t="shared" si="5"/>
        <v>Sol non sodique – Faible risque de dispersion, perméabilité normale</v>
      </c>
      <c r="Q31" s="382">
        <f t="shared" si="6"/>
        <v>1.1639870255754476</v>
      </c>
      <c r="R31" s="382">
        <f t="shared" si="7"/>
        <v>3.8818616789908651</v>
      </c>
      <c r="S31" s="382">
        <f t="shared" si="8"/>
        <v>16.380324850299399</v>
      </c>
      <c r="T31" s="382">
        <f t="shared" si="9"/>
        <v>5.6604600000000005</v>
      </c>
      <c r="U31" s="382"/>
      <c r="V31" s="383">
        <f t="shared" si="10"/>
        <v>0.14331281409068075</v>
      </c>
      <c r="W31" s="386" t="str">
        <f t="shared" si="11"/>
        <v>None to slight</v>
      </c>
    </row>
    <row r="32" spans="1:23" ht="16.2" thickBot="1" x14ac:dyDescent="0.35">
      <c r="A32" s="97">
        <v>670</v>
      </c>
      <c r="B32" s="31">
        <v>497.07299999999998</v>
      </c>
      <c r="C32" s="97">
        <v>3362</v>
      </c>
      <c r="D32" s="31">
        <v>2402.8213999999998</v>
      </c>
      <c r="E32" s="97">
        <v>1133</v>
      </c>
      <c r="F32" s="31">
        <v>683.19899999999996</v>
      </c>
      <c r="G32" s="97">
        <v>365.63</v>
      </c>
      <c r="H32" s="97"/>
      <c r="I32" s="97"/>
      <c r="J32" s="382">
        <f t="shared" si="1"/>
        <v>0.77614552429667505</v>
      </c>
      <c r="K32" s="382">
        <f t="shared" si="2"/>
        <v>2.161186956521739</v>
      </c>
      <c r="L32" s="382">
        <f t="shared" si="3"/>
        <v>12.007142857142858</v>
      </c>
      <c r="M32" s="382">
        <f t="shared" si="4"/>
        <v>5.6230370370370357</v>
      </c>
      <c r="N32" s="238"/>
      <c r="O32" s="382">
        <f t="shared" si="0"/>
        <v>0.72791214198320886</v>
      </c>
      <c r="P32" s="382" t="str">
        <f t="shared" si="5"/>
        <v>Sol non sodique – Faible risque de dispersion, perméabilité normale</v>
      </c>
      <c r="Q32" s="382">
        <f t="shared" si="6"/>
        <v>0.77623903580562659</v>
      </c>
      <c r="R32" s="382">
        <f t="shared" si="7"/>
        <v>2.156589821661592</v>
      </c>
      <c r="S32" s="382">
        <f t="shared" si="8"/>
        <v>11.990126746506984</v>
      </c>
      <c r="T32" s="382">
        <f t="shared" si="9"/>
        <v>4.0108199999999998</v>
      </c>
      <c r="U32" s="382"/>
      <c r="V32" s="383">
        <f t="shared" si="10"/>
        <v>0.11390173131707147</v>
      </c>
      <c r="W32" s="386" t="str">
        <f t="shared" si="11"/>
        <v>None to slight</v>
      </c>
    </row>
    <row r="33" spans="1:23" ht="16.2" thickBot="1" x14ac:dyDescent="0.35">
      <c r="A33" s="97">
        <v>3546</v>
      </c>
      <c r="B33" s="31">
        <v>2630.7773999999999</v>
      </c>
      <c r="C33" s="97">
        <v>3840</v>
      </c>
      <c r="D33" s="31">
        <v>2744.4479999999999</v>
      </c>
      <c r="E33" s="97">
        <v>1485</v>
      </c>
      <c r="F33" s="31">
        <v>895.45499999999993</v>
      </c>
      <c r="G33" s="97">
        <v>476.62</v>
      </c>
      <c r="H33" s="97"/>
      <c r="I33" s="97"/>
      <c r="J33" s="382">
        <f t="shared" si="1"/>
        <v>1.0117508951406649</v>
      </c>
      <c r="K33" s="382">
        <f t="shared" si="2"/>
        <v>11.438162608695652</v>
      </c>
      <c r="L33" s="382">
        <f t="shared" si="3"/>
        <v>13.714285714285714</v>
      </c>
      <c r="M33" s="382">
        <f t="shared" si="4"/>
        <v>7.3699999999999992</v>
      </c>
      <c r="N33" s="238"/>
      <c r="O33" s="382">
        <f t="shared" si="0"/>
        <v>3.5228310683651598</v>
      </c>
      <c r="P33" s="382" t="str">
        <f t="shared" si="5"/>
        <v>Sol non sodique – Faible risque de dispersion, perméabilité normale</v>
      </c>
      <c r="Q33" s="382">
        <f t="shared" si="6"/>
        <v>1.0118727928388747</v>
      </c>
      <c r="R33" s="382">
        <f t="shared" si="7"/>
        <v>11.41383210091344</v>
      </c>
      <c r="S33" s="382">
        <f t="shared" si="8"/>
        <v>13.694850299401196</v>
      </c>
      <c r="T33" s="382">
        <f t="shared" si="9"/>
        <v>5.2568999999999999</v>
      </c>
      <c r="U33" s="382"/>
      <c r="V33" s="383">
        <f t="shared" si="10"/>
        <v>0.36375901202478372</v>
      </c>
      <c r="W33" s="386" t="str">
        <f t="shared" si="11"/>
        <v>Moderate to high</v>
      </c>
    </row>
    <row r="34" spans="1:23" ht="16.2" thickBot="1" x14ac:dyDescent="0.35">
      <c r="A34" s="97">
        <v>1167</v>
      </c>
      <c r="B34" s="31">
        <v>865.79729999999995</v>
      </c>
      <c r="C34" s="97">
        <v>5238</v>
      </c>
      <c r="D34" s="31">
        <v>3743.5985999999998</v>
      </c>
      <c r="E34" s="97">
        <v>1464</v>
      </c>
      <c r="F34" s="31">
        <v>882.79199999999992</v>
      </c>
      <c r="G34" s="97">
        <v>375.04</v>
      </c>
      <c r="H34" s="97"/>
      <c r="I34" s="97"/>
      <c r="J34" s="382">
        <f t="shared" si="1"/>
        <v>0.79612071611253199</v>
      </c>
      <c r="K34" s="382">
        <f t="shared" si="2"/>
        <v>3.7643360869565217</v>
      </c>
      <c r="L34" s="382">
        <f t="shared" si="3"/>
        <v>18.707142857142859</v>
      </c>
      <c r="M34" s="382">
        <f t="shared" si="4"/>
        <v>7.2657777777777763</v>
      </c>
      <c r="N34" s="238"/>
      <c r="O34" s="382">
        <f t="shared" si="0"/>
        <v>1.0445830987416236</v>
      </c>
      <c r="P34" s="382" t="str">
        <f t="shared" si="5"/>
        <v>Sol non sodique – Faible risque de dispersion, perméabilité normale</v>
      </c>
      <c r="Q34" s="382">
        <f t="shared" si="6"/>
        <v>0.79621663427109968</v>
      </c>
      <c r="R34" s="382">
        <f t="shared" si="7"/>
        <v>3.7563288386254894</v>
      </c>
      <c r="S34" s="382">
        <f t="shared" si="8"/>
        <v>18.680631736526944</v>
      </c>
      <c r="T34" s="382">
        <f t="shared" si="9"/>
        <v>5.1825600000000005</v>
      </c>
      <c r="U34" s="382"/>
      <c r="V34" s="383">
        <f t="shared" si="10"/>
        <v>0.13219184886675314</v>
      </c>
      <c r="W34" s="386" t="str">
        <f t="shared" si="11"/>
        <v>None to slight</v>
      </c>
    </row>
    <row r="35" spans="1:23" ht="16.2" thickBot="1" x14ac:dyDescent="0.35">
      <c r="A35" s="87">
        <v>475</v>
      </c>
      <c r="B35" s="31">
        <v>352.40249999999997</v>
      </c>
      <c r="C35" s="87">
        <v>6667</v>
      </c>
      <c r="D35" s="31">
        <v>4764.9049000000005</v>
      </c>
      <c r="E35" s="87">
        <v>1301</v>
      </c>
      <c r="F35" s="31">
        <v>784.50299999999993</v>
      </c>
      <c r="G35" s="97">
        <v>515.02</v>
      </c>
      <c r="H35" s="97"/>
      <c r="I35" s="97"/>
      <c r="J35" s="382">
        <f t="shared" si="1"/>
        <v>1.0932649616368286</v>
      </c>
      <c r="K35" s="382">
        <f t="shared" si="2"/>
        <v>1.5321847826086954</v>
      </c>
      <c r="L35" s="382">
        <f t="shared" si="3"/>
        <v>23.810714285714283</v>
      </c>
      <c r="M35" s="382">
        <f t="shared" si="4"/>
        <v>6.4568148148148143</v>
      </c>
      <c r="N35" s="238"/>
      <c r="O35" s="382">
        <f t="shared" si="0"/>
        <v>0.3938561744015831</v>
      </c>
      <c r="P35" s="382" t="str">
        <f t="shared" si="5"/>
        <v>Sol non sodique – Faible risque de dispersion, perméabilité normale</v>
      </c>
      <c r="Q35" s="382">
        <f t="shared" si="6"/>
        <v>1.0933966803069053</v>
      </c>
      <c r="R35" s="382">
        <f t="shared" si="7"/>
        <v>1.5289256198347108</v>
      </c>
      <c r="S35" s="382">
        <f t="shared" si="8"/>
        <v>23.776970558882237</v>
      </c>
      <c r="T35" s="382">
        <f t="shared" si="9"/>
        <v>4.6055400000000004</v>
      </c>
      <c r="U35" s="382"/>
      <c r="V35" s="383">
        <f t="shared" si="10"/>
        <v>4.9312493532430772E-2</v>
      </c>
      <c r="W35" s="386" t="str">
        <f t="shared" si="11"/>
        <v>None to slight</v>
      </c>
    </row>
    <row r="36" spans="1:23" ht="16.2" thickBot="1" x14ac:dyDescent="0.35">
      <c r="A36" s="97">
        <v>412</v>
      </c>
      <c r="B36" s="31">
        <v>305.6628</v>
      </c>
      <c r="C36" s="97">
        <v>6222</v>
      </c>
      <c r="D36" s="31">
        <v>4446.8634000000002</v>
      </c>
      <c r="E36" s="97">
        <v>1227</v>
      </c>
      <c r="F36" s="31">
        <v>739.88099999999997</v>
      </c>
      <c r="G36" s="97">
        <v>438.92</v>
      </c>
      <c r="H36" s="97"/>
      <c r="I36" s="97"/>
      <c r="J36" s="382">
        <f t="shared" si="1"/>
        <v>0.9317227621483376</v>
      </c>
      <c r="K36" s="382">
        <f t="shared" si="2"/>
        <v>1.3289686956521738</v>
      </c>
      <c r="L36" s="382">
        <f t="shared" si="3"/>
        <v>22.221428571428572</v>
      </c>
      <c r="M36" s="382">
        <f t="shared" si="4"/>
        <v>6.0895555555555561</v>
      </c>
      <c r="N36" s="238"/>
      <c r="O36" s="382">
        <f t="shared" si="0"/>
        <v>0.35322567668414828</v>
      </c>
      <c r="P36" s="382" t="str">
        <f t="shared" si="5"/>
        <v>Sol non sodique – Faible risque de dispersion, perméabilité normale</v>
      </c>
      <c r="Q36" s="382">
        <f t="shared" si="6"/>
        <v>0.93183501790281331</v>
      </c>
      <c r="R36" s="382">
        <f t="shared" si="7"/>
        <v>1.3261418007829491</v>
      </c>
      <c r="S36" s="382">
        <f t="shared" si="8"/>
        <v>22.189937125748504</v>
      </c>
      <c r="T36" s="382">
        <f t="shared" si="9"/>
        <v>4.3435800000000002</v>
      </c>
      <c r="U36" s="382"/>
      <c r="V36" s="383">
        <f t="shared" si="10"/>
        <v>4.6060194144225984E-2</v>
      </c>
      <c r="W36" s="386" t="str">
        <f t="shared" si="11"/>
        <v>None to slight</v>
      </c>
    </row>
    <row r="37" spans="1:23" ht="16.2" thickBot="1" x14ac:dyDescent="0.35">
      <c r="A37" s="97">
        <v>450</v>
      </c>
      <c r="B37" s="31">
        <v>333.85500000000002</v>
      </c>
      <c r="C37" s="97">
        <v>6659</v>
      </c>
      <c r="D37" s="31">
        <v>4759.1872999999996</v>
      </c>
      <c r="E37" s="97">
        <v>1321</v>
      </c>
      <c r="F37" s="31">
        <v>796.56299999999999</v>
      </c>
      <c r="G37" s="97">
        <v>466.53</v>
      </c>
      <c r="H37" s="97"/>
      <c r="I37" s="97"/>
      <c r="J37" s="382">
        <f t="shared" si="1"/>
        <v>0.99033222506393837</v>
      </c>
      <c r="K37" s="382">
        <f t="shared" si="2"/>
        <v>1.4515434782608696</v>
      </c>
      <c r="L37" s="382">
        <f t="shared" si="3"/>
        <v>23.782142857142858</v>
      </c>
      <c r="M37" s="382">
        <f t="shared" si="4"/>
        <v>6.5560740740740737</v>
      </c>
      <c r="N37" s="238"/>
      <c r="O37" s="382">
        <f t="shared" si="0"/>
        <v>0.37269195704196389</v>
      </c>
      <c r="P37" s="382" t="str">
        <f t="shared" si="5"/>
        <v>Sol non sodique – Faible risque de dispersion, perméabilité normale</v>
      </c>
      <c r="Q37" s="382">
        <f t="shared" si="6"/>
        <v>0.99045154219948828</v>
      </c>
      <c r="R37" s="382">
        <f t="shared" si="7"/>
        <v>1.448455850369726</v>
      </c>
      <c r="S37" s="382">
        <f t="shared" si="8"/>
        <v>23.748439620758479</v>
      </c>
      <c r="T37" s="382">
        <f t="shared" si="9"/>
        <v>4.6763400000000006</v>
      </c>
      <c r="U37" s="382"/>
      <c r="V37" s="383">
        <f t="shared" si="10"/>
        <v>4.6930745822566421E-2</v>
      </c>
      <c r="W37" s="386" t="str">
        <f t="shared" si="11"/>
        <v>None to slight</v>
      </c>
    </row>
    <row r="38" spans="1:23" ht="16.2" thickBot="1" x14ac:dyDescent="0.35">
      <c r="A38" s="97">
        <v>369</v>
      </c>
      <c r="B38" s="31">
        <v>273.7611</v>
      </c>
      <c r="C38" s="97">
        <v>5555</v>
      </c>
      <c r="D38" s="31">
        <v>3970.1585</v>
      </c>
      <c r="E38" s="97">
        <v>1118</v>
      </c>
      <c r="F38" s="31">
        <v>674.154</v>
      </c>
      <c r="G38" s="97">
        <v>464.38</v>
      </c>
      <c r="H38" s="97"/>
      <c r="I38" s="97"/>
      <c r="J38" s="382">
        <f t="shared" si="1"/>
        <v>0.98576828644501258</v>
      </c>
      <c r="K38" s="382">
        <f t="shared" si="2"/>
        <v>1.190265652173913</v>
      </c>
      <c r="L38" s="382">
        <f t="shared" si="3"/>
        <v>19.839285714285715</v>
      </c>
      <c r="M38" s="382">
        <f t="shared" si="4"/>
        <v>5.548592592592593</v>
      </c>
      <c r="N38" s="238"/>
      <c r="O38" s="382">
        <f t="shared" si="0"/>
        <v>0.33407632156171063</v>
      </c>
      <c r="P38" s="382" t="str">
        <f t="shared" si="5"/>
        <v>Sol non sodique – Faible risque de dispersion, perméabilité normale</v>
      </c>
      <c r="Q38" s="382">
        <f t="shared" si="6"/>
        <v>0.98588705370843988</v>
      </c>
      <c r="R38" s="382">
        <f t="shared" si="7"/>
        <v>1.1877337973031752</v>
      </c>
      <c r="S38" s="382">
        <f t="shared" si="8"/>
        <v>19.811170159680639</v>
      </c>
      <c r="T38" s="382">
        <f t="shared" si="9"/>
        <v>3.9577200000000001</v>
      </c>
      <c r="U38" s="382"/>
      <c r="V38" s="383">
        <f t="shared" si="10"/>
        <v>4.578330127001385E-2</v>
      </c>
      <c r="W38" s="386" t="str">
        <f t="shared" si="11"/>
        <v>None to slight</v>
      </c>
    </row>
    <row r="39" spans="1:23" ht="16.2" thickBot="1" x14ac:dyDescent="0.35">
      <c r="A39" s="87">
        <v>340</v>
      </c>
      <c r="B39" s="31">
        <v>252.24600000000001</v>
      </c>
      <c r="C39" s="87">
        <v>6165</v>
      </c>
      <c r="D39" s="31">
        <v>4406.1255000000001</v>
      </c>
      <c r="E39" s="87">
        <v>1184</v>
      </c>
      <c r="F39" s="31">
        <v>713.952</v>
      </c>
      <c r="G39" s="97">
        <v>477.51</v>
      </c>
      <c r="H39" s="97"/>
      <c r="I39" s="97"/>
      <c r="J39" s="382">
        <f t="shared" si="1"/>
        <v>1.0136401534526853</v>
      </c>
      <c r="K39" s="382">
        <f t="shared" si="2"/>
        <v>1.0967217391304349</v>
      </c>
      <c r="L39" s="382">
        <f t="shared" si="3"/>
        <v>22.017857142857142</v>
      </c>
      <c r="M39" s="382">
        <f t="shared" si="4"/>
        <v>5.8761481481481486</v>
      </c>
      <c r="N39" s="238"/>
      <c r="O39" s="382">
        <f t="shared" si="0"/>
        <v>0.29366758410769084</v>
      </c>
      <c r="P39" s="382" t="str">
        <f t="shared" si="5"/>
        <v>Sol non sodique – Faible risque de dispersion, perméabilité normale</v>
      </c>
      <c r="Q39" s="382">
        <f t="shared" si="6"/>
        <v>1.0137622787723783</v>
      </c>
      <c r="R39" s="382">
        <f t="shared" si="7"/>
        <v>1.0943888647237929</v>
      </c>
      <c r="S39" s="382">
        <f t="shared" si="8"/>
        <v>21.986654191616765</v>
      </c>
      <c r="T39" s="382">
        <f t="shared" si="9"/>
        <v>4.1913600000000004</v>
      </c>
      <c r="U39" s="382"/>
      <c r="V39" s="383">
        <f t="shared" si="10"/>
        <v>3.8689898463022732E-2</v>
      </c>
      <c r="W39" s="386" t="str">
        <f t="shared" si="11"/>
        <v>None to slight</v>
      </c>
    </row>
    <row r="40" spans="1:23" ht="16.2" thickBot="1" x14ac:dyDescent="0.35">
      <c r="A40" s="97">
        <v>624</v>
      </c>
      <c r="B40" s="31">
        <v>462.94560000000001</v>
      </c>
      <c r="C40" s="97">
        <v>8929</v>
      </c>
      <c r="D40" s="31">
        <v>6381.5563000000002</v>
      </c>
      <c r="E40" s="97">
        <v>1573</v>
      </c>
      <c r="F40" s="31">
        <v>948.51900000000001</v>
      </c>
      <c r="G40" s="97">
        <v>631.01</v>
      </c>
      <c r="H40" s="97"/>
      <c r="I40" s="97"/>
      <c r="J40" s="382">
        <f t="shared" si="1"/>
        <v>1.3394841432225062</v>
      </c>
      <c r="K40" s="382">
        <f t="shared" si="2"/>
        <v>2.0128069565217395</v>
      </c>
      <c r="L40" s="382">
        <f t="shared" si="3"/>
        <v>31.889285714285716</v>
      </c>
      <c r="M40" s="382">
        <f t="shared" si="4"/>
        <v>7.8067407407407403</v>
      </c>
      <c r="N40" s="238"/>
      <c r="O40" s="382">
        <f t="shared" si="0"/>
        <v>0.45179727212697196</v>
      </c>
      <c r="P40" s="382" t="str">
        <f t="shared" si="5"/>
        <v>Sol non sodique – Faible risque de dispersion, perméabilité normale</v>
      </c>
      <c r="Q40" s="382">
        <f t="shared" si="6"/>
        <v>1.3396455268542198</v>
      </c>
      <c r="R40" s="382">
        <f t="shared" si="7"/>
        <v>2.0085254458460198</v>
      </c>
      <c r="S40" s="382">
        <f t="shared" si="8"/>
        <v>31.844093313373254</v>
      </c>
      <c r="T40" s="382">
        <f t="shared" si="9"/>
        <v>5.5684200000000006</v>
      </c>
      <c r="U40" s="382"/>
      <c r="V40" s="383">
        <f t="shared" si="10"/>
        <v>4.9276048256438686E-2</v>
      </c>
      <c r="W40" s="386" t="str">
        <f t="shared" si="11"/>
        <v>None to slight</v>
      </c>
    </row>
    <row r="41" spans="1:23" ht="16.2" thickBot="1" x14ac:dyDescent="0.35">
      <c r="A41" s="97">
        <v>365</v>
      </c>
      <c r="B41" s="31">
        <v>270.79349999999999</v>
      </c>
      <c r="C41" s="97">
        <v>10271</v>
      </c>
      <c r="D41" s="31">
        <v>7340.6836999999996</v>
      </c>
      <c r="E41" s="97">
        <v>1394</v>
      </c>
      <c r="F41" s="31">
        <v>840.58199999999999</v>
      </c>
      <c r="G41" s="97">
        <v>539.74</v>
      </c>
      <c r="H41" s="97"/>
      <c r="I41" s="97"/>
      <c r="J41" s="382">
        <f t="shared" si="1"/>
        <v>1.145739641943734</v>
      </c>
      <c r="K41" s="382">
        <f t="shared" si="2"/>
        <v>1.1773630434782607</v>
      </c>
      <c r="L41" s="382">
        <f t="shared" si="3"/>
        <v>36.682142857142857</v>
      </c>
      <c r="M41" s="382">
        <f t="shared" si="4"/>
        <v>6.9183703703703703</v>
      </c>
      <c r="N41" s="238"/>
      <c r="O41" s="382">
        <f t="shared" si="0"/>
        <v>0.25216197459345274</v>
      </c>
      <c r="P41" s="382" t="str">
        <f t="shared" si="5"/>
        <v>Sol non sodique – Faible risque de dispersion, perméabilité normale</v>
      </c>
      <c r="Q41" s="382">
        <f t="shared" si="6"/>
        <v>1.1458776828644501</v>
      </c>
      <c r="R41" s="382">
        <f t="shared" si="7"/>
        <v>1.1748586341887779</v>
      </c>
      <c r="S41" s="382">
        <f t="shared" si="8"/>
        <v>36.63015818363273</v>
      </c>
      <c r="T41" s="382">
        <f t="shared" si="9"/>
        <v>4.9347599999999998</v>
      </c>
      <c r="U41" s="382"/>
      <c r="V41" s="383">
        <f t="shared" si="10"/>
        <v>2.6770903785208768E-2</v>
      </c>
      <c r="W41" s="386" t="str">
        <f t="shared" si="11"/>
        <v>None to slight</v>
      </c>
    </row>
    <row r="42" spans="1:23" ht="16.2" thickBot="1" x14ac:dyDescent="0.35">
      <c r="A42" s="97">
        <v>2004</v>
      </c>
      <c r="B42" s="31">
        <v>1486.7675999999999</v>
      </c>
      <c r="C42" s="97">
        <v>9851</v>
      </c>
      <c r="D42" s="31">
        <v>7040.5096999999996</v>
      </c>
      <c r="E42" s="97">
        <v>1227</v>
      </c>
      <c r="F42" s="31">
        <v>739.88099999999997</v>
      </c>
      <c r="G42" s="97">
        <v>1286.51</v>
      </c>
      <c r="H42" s="97"/>
      <c r="I42" s="97"/>
      <c r="J42" s="382">
        <f t="shared" si="1"/>
        <v>2.7309547314578007</v>
      </c>
      <c r="K42" s="382">
        <f t="shared" si="2"/>
        <v>6.464206956521739</v>
      </c>
      <c r="L42" s="382">
        <f t="shared" si="3"/>
        <v>35.182142857142857</v>
      </c>
      <c r="M42" s="382">
        <f t="shared" si="4"/>
        <v>6.0895555555555561</v>
      </c>
      <c r="N42" s="238"/>
      <c r="O42" s="382">
        <f t="shared" si="0"/>
        <v>1.4229973110510461</v>
      </c>
      <c r="P42" s="382" t="str">
        <f t="shared" si="5"/>
        <v>Sol non sodique – Faible risque de dispersion, perméabilité normale</v>
      </c>
      <c r="Q42" s="382">
        <f t="shared" si="6"/>
        <v>2.7312837621483377</v>
      </c>
      <c r="R42" s="382">
        <f t="shared" si="7"/>
        <v>6.4504567203131797</v>
      </c>
      <c r="S42" s="382">
        <f t="shared" si="8"/>
        <v>35.132283932135728</v>
      </c>
      <c r="T42" s="382">
        <f t="shared" si="9"/>
        <v>4.3435800000000002</v>
      </c>
      <c r="U42" s="382"/>
      <c r="V42" s="383">
        <f t="shared" si="10"/>
        <v>0.13256831687295415</v>
      </c>
      <c r="W42" s="386" t="str">
        <f t="shared" si="11"/>
        <v>None to slight</v>
      </c>
    </row>
    <row r="43" spans="1:23" ht="16.2" thickBot="1" x14ac:dyDescent="0.35">
      <c r="A43" s="97">
        <v>1335</v>
      </c>
      <c r="B43" s="31">
        <v>990.43650000000002</v>
      </c>
      <c r="C43" s="97">
        <v>9178</v>
      </c>
      <c r="D43" s="31">
        <v>6559.5165999999999</v>
      </c>
      <c r="E43" s="97">
        <v>1755</v>
      </c>
      <c r="F43" s="31">
        <v>1058.2649999999999</v>
      </c>
      <c r="G43" s="97">
        <v>1006.87</v>
      </c>
      <c r="H43" s="97"/>
      <c r="I43" s="97"/>
      <c r="J43" s="382">
        <f t="shared" si="1"/>
        <v>2.1373455242966752</v>
      </c>
      <c r="K43" s="382">
        <f t="shared" si="2"/>
        <v>4.3062456521739128</v>
      </c>
      <c r="L43" s="382">
        <f t="shared" si="3"/>
        <v>32.778571428571425</v>
      </c>
      <c r="M43" s="382">
        <f t="shared" si="4"/>
        <v>8.7099999999999991</v>
      </c>
      <c r="N43" s="238"/>
      <c r="O43" s="382">
        <f t="shared" si="0"/>
        <v>0.94547392939247699</v>
      </c>
      <c r="P43" s="382" t="str">
        <f t="shared" si="5"/>
        <v>Sol non sodique – Faible risque de dispersion, perméabilité normale</v>
      </c>
      <c r="Q43" s="382">
        <f t="shared" si="6"/>
        <v>2.1376030358056264</v>
      </c>
      <c r="R43" s="382">
        <f t="shared" si="7"/>
        <v>4.2970856894301868</v>
      </c>
      <c r="S43" s="382">
        <f t="shared" si="8"/>
        <v>32.732118762475046</v>
      </c>
      <c r="T43" s="382">
        <f t="shared" si="9"/>
        <v>6.2126999999999999</v>
      </c>
      <c r="U43" s="382"/>
      <c r="V43" s="383">
        <f t="shared" si="10"/>
        <v>9.469220640162021E-2</v>
      </c>
      <c r="W43" s="386" t="str">
        <f t="shared" si="11"/>
        <v>None to slight</v>
      </c>
    </row>
    <row r="44" spans="1:23" ht="16.2" thickBot="1" x14ac:dyDescent="0.35">
      <c r="A44" s="97">
        <v>1020</v>
      </c>
      <c r="B44" s="31">
        <v>756.73800000000006</v>
      </c>
      <c r="C44" s="97">
        <v>10276</v>
      </c>
      <c r="D44" s="31">
        <v>7344.2572</v>
      </c>
      <c r="E44" s="97">
        <v>1111</v>
      </c>
      <c r="F44" s="31">
        <v>669.93299999999999</v>
      </c>
      <c r="G44" s="97">
        <v>649.89</v>
      </c>
      <c r="H44" s="97"/>
      <c r="I44" s="97"/>
      <c r="J44" s="382">
        <f t="shared" si="1"/>
        <v>1.3795618925831201</v>
      </c>
      <c r="K44" s="382">
        <f t="shared" si="2"/>
        <v>3.2901652173913045</v>
      </c>
      <c r="L44" s="382">
        <f t="shared" si="3"/>
        <v>36.700000000000003</v>
      </c>
      <c r="M44" s="382">
        <f t="shared" si="4"/>
        <v>5.513851851851852</v>
      </c>
      <c r="N44" s="238"/>
      <c r="O44" s="382">
        <f t="shared" si="0"/>
        <v>0.71615200776245502</v>
      </c>
      <c r="P44" s="382" t="str">
        <f t="shared" si="5"/>
        <v>Sol non sodique – Faible risque de dispersion, perméabilité normale</v>
      </c>
      <c r="Q44" s="382">
        <f t="shared" si="6"/>
        <v>1.3797281048593348</v>
      </c>
      <c r="R44" s="382">
        <f t="shared" si="7"/>
        <v>3.2831665941713788</v>
      </c>
      <c r="S44" s="382">
        <f t="shared" si="8"/>
        <v>36.647990019960076</v>
      </c>
      <c r="T44" s="382">
        <f t="shared" si="9"/>
        <v>3.9329400000000003</v>
      </c>
      <c r="U44" s="382"/>
      <c r="V44" s="383">
        <f t="shared" si="10"/>
        <v>7.256607094035733E-2</v>
      </c>
      <c r="W44" s="386" t="str">
        <f t="shared" si="11"/>
        <v>None to slight</v>
      </c>
    </row>
    <row r="45" spans="1:23" ht="16.2" thickBot="1" x14ac:dyDescent="0.35">
      <c r="A45" s="97">
        <v>876</v>
      </c>
      <c r="B45" s="31">
        <v>649.90440000000001</v>
      </c>
      <c r="C45" s="97">
        <v>10326</v>
      </c>
      <c r="D45" s="31">
        <v>7379.9921999999997</v>
      </c>
      <c r="E45" s="97">
        <v>1177</v>
      </c>
      <c r="F45" s="31">
        <v>709.73099999999999</v>
      </c>
      <c r="G45" s="97">
        <v>821.58</v>
      </c>
      <c r="H45" s="97"/>
      <c r="I45" s="97"/>
      <c r="J45" s="382">
        <f t="shared" si="1"/>
        <v>1.7440189258312018</v>
      </c>
      <c r="K45" s="382">
        <f t="shared" si="2"/>
        <v>2.8256713043478263</v>
      </c>
      <c r="L45" s="382">
        <f t="shared" si="3"/>
        <v>36.878571428571426</v>
      </c>
      <c r="M45" s="382">
        <f t="shared" si="4"/>
        <v>5.8414074074074076</v>
      </c>
      <c r="N45" s="238"/>
      <c r="O45" s="382">
        <f t="shared" si="0"/>
        <v>0.61139393274855214</v>
      </c>
      <c r="P45" s="382" t="str">
        <f t="shared" si="5"/>
        <v>Sol non sodique – Faible risque de dispersion, perméabilité normale</v>
      </c>
      <c r="Q45" s="382">
        <f t="shared" si="6"/>
        <v>1.7442290485933505</v>
      </c>
      <c r="R45" s="382">
        <f t="shared" si="7"/>
        <v>2.8196607220530665</v>
      </c>
      <c r="S45" s="382">
        <f t="shared" si="8"/>
        <v>36.826308383233531</v>
      </c>
      <c r="T45" s="382">
        <f t="shared" si="9"/>
        <v>4.1665800000000006</v>
      </c>
      <c r="U45" s="382"/>
      <c r="V45" s="383">
        <f t="shared" si="10"/>
        <v>6.1893330395949506E-2</v>
      </c>
      <c r="W45" s="386" t="str">
        <f t="shared" si="11"/>
        <v>None to slight</v>
      </c>
    </row>
    <row r="46" spans="1:23" ht="16.2" thickBot="1" x14ac:dyDescent="0.35">
      <c r="A46" s="97">
        <v>611</v>
      </c>
      <c r="B46" s="31">
        <v>453.30090000000001</v>
      </c>
      <c r="C46" s="97">
        <v>10276</v>
      </c>
      <c r="D46" s="31">
        <v>7344.2572</v>
      </c>
      <c r="E46" s="97">
        <v>951</v>
      </c>
      <c r="F46" s="31">
        <v>573.45299999999997</v>
      </c>
      <c r="G46" s="97">
        <v>188.91</v>
      </c>
      <c r="H46" s="97"/>
      <c r="I46" s="97"/>
      <c r="J46" s="382">
        <f t="shared" si="1"/>
        <v>0.40101099744245522</v>
      </c>
      <c r="K46" s="382">
        <f t="shared" si="2"/>
        <v>1.9708734782608694</v>
      </c>
      <c r="L46" s="382">
        <f t="shared" si="3"/>
        <v>36.700000000000003</v>
      </c>
      <c r="M46" s="382">
        <f t="shared" si="4"/>
        <v>4.719777777777777</v>
      </c>
      <c r="N46" s="238"/>
      <c r="O46" s="382">
        <f t="shared" si="0"/>
        <v>0.43308172792854222</v>
      </c>
      <c r="P46" s="382" t="str">
        <f t="shared" si="5"/>
        <v>Sol non sodique – Faible risque de dispersion, perméabilité normale</v>
      </c>
      <c r="Q46" s="382">
        <f t="shared" si="6"/>
        <v>0.40105931202046036</v>
      </c>
      <c r="R46" s="382">
        <f t="shared" si="7"/>
        <v>1.9666811657242278</v>
      </c>
      <c r="S46" s="382">
        <f t="shared" si="8"/>
        <v>36.647990019960076</v>
      </c>
      <c r="T46" s="382">
        <f t="shared" si="9"/>
        <v>3.3665400000000001</v>
      </c>
      <c r="U46" s="382"/>
      <c r="V46" s="383">
        <f t="shared" si="10"/>
        <v>4.6403393273390922E-2</v>
      </c>
      <c r="W46" s="386" t="str">
        <f t="shared" si="11"/>
        <v>None to slight</v>
      </c>
    </row>
    <row r="47" spans="1:23" ht="16.2" thickBot="1" x14ac:dyDescent="0.35">
      <c r="A47" s="97">
        <v>775</v>
      </c>
      <c r="B47" s="31">
        <v>574.97249999999997</v>
      </c>
      <c r="C47" s="97">
        <v>8883</v>
      </c>
      <c r="D47" s="31">
        <v>6348.6800999999996</v>
      </c>
      <c r="E47" s="97">
        <v>1576</v>
      </c>
      <c r="F47" s="31">
        <v>950.32799999999997</v>
      </c>
      <c r="G47" s="97">
        <v>526.14</v>
      </c>
      <c r="H47" s="97"/>
      <c r="I47" s="97"/>
      <c r="J47" s="382">
        <f t="shared" si="1"/>
        <v>1.1168700767263426</v>
      </c>
      <c r="K47" s="382">
        <f t="shared" si="2"/>
        <v>2.4998804347826082</v>
      </c>
      <c r="L47" s="382">
        <f t="shared" si="3"/>
        <v>31.725000000000001</v>
      </c>
      <c r="M47" s="382">
        <f t="shared" si="4"/>
        <v>7.821629629629629</v>
      </c>
      <c r="N47" s="238"/>
      <c r="O47" s="382">
        <f t="shared" si="0"/>
        <v>0.56218531503453661</v>
      </c>
      <c r="P47" s="382" t="str">
        <f t="shared" si="5"/>
        <v>Sol non sodique – Faible risque de dispersion, perméabilité normale</v>
      </c>
      <c r="Q47" s="382">
        <f t="shared" si="6"/>
        <v>1.1170046393861892</v>
      </c>
      <c r="R47" s="382">
        <f t="shared" si="7"/>
        <v>2.4945628534145281</v>
      </c>
      <c r="S47" s="382">
        <f t="shared" si="8"/>
        <v>31.680040419161674</v>
      </c>
      <c r="T47" s="382">
        <f t="shared" si="9"/>
        <v>5.57904</v>
      </c>
      <c r="U47" s="382"/>
      <c r="V47" s="383">
        <f t="shared" si="10"/>
        <v>6.1035559279313423E-2</v>
      </c>
      <c r="W47" s="386" t="str">
        <f t="shared" si="11"/>
        <v>None to slight</v>
      </c>
    </row>
    <row r="48" spans="1:23" ht="16.2" thickBot="1" x14ac:dyDescent="0.35">
      <c r="A48" s="87">
        <v>98</v>
      </c>
      <c r="B48" s="31">
        <v>72.706199999999995</v>
      </c>
      <c r="C48" s="87">
        <v>2621</v>
      </c>
      <c r="D48" s="31">
        <v>1873.2287000000001</v>
      </c>
      <c r="E48" s="87">
        <v>415</v>
      </c>
      <c r="F48" s="31">
        <v>250.245</v>
      </c>
      <c r="G48" s="97">
        <v>288.11</v>
      </c>
      <c r="H48" s="97"/>
      <c r="I48" s="97"/>
      <c r="J48" s="382">
        <f t="shared" si="1"/>
        <v>0.61158900255754478</v>
      </c>
      <c r="K48" s="382">
        <f t="shared" si="2"/>
        <v>0.31611391304347825</v>
      </c>
      <c r="L48" s="382">
        <f t="shared" si="3"/>
        <v>9.3607142857142858</v>
      </c>
      <c r="M48" s="382">
        <f t="shared" si="4"/>
        <v>2.0596296296296295</v>
      </c>
      <c r="N48" s="238"/>
      <c r="O48" s="382">
        <f t="shared" si="0"/>
        <v>0.13228756340889211</v>
      </c>
      <c r="P48" s="382" t="str">
        <f t="shared" si="5"/>
        <v>Sol non sodique – Faible risque de dispersion, perméabilité normale</v>
      </c>
      <c r="Q48" s="382">
        <f t="shared" si="6"/>
        <v>0.6116626879795396</v>
      </c>
      <c r="R48" s="382">
        <f t="shared" si="7"/>
        <v>0.31544149630274032</v>
      </c>
      <c r="S48" s="382">
        <f t="shared" si="8"/>
        <v>9.3474486027944117</v>
      </c>
      <c r="T48" s="382">
        <f t="shared" si="9"/>
        <v>1.4691000000000001</v>
      </c>
      <c r="U48" s="382"/>
      <c r="V48" s="383">
        <f t="shared" si="10"/>
        <v>2.6860594571551714E-2</v>
      </c>
      <c r="W48" s="386" t="str">
        <f t="shared" si="11"/>
        <v>None to slight</v>
      </c>
    </row>
    <row r="49" spans="1:23" ht="16.2" thickBot="1" x14ac:dyDescent="0.35">
      <c r="A49" s="87">
        <v>143</v>
      </c>
      <c r="B49" s="31">
        <v>106.0917</v>
      </c>
      <c r="C49" s="87">
        <v>2282</v>
      </c>
      <c r="D49" s="31">
        <v>1630.9454000000001</v>
      </c>
      <c r="E49" s="87">
        <v>335</v>
      </c>
      <c r="F49" s="31">
        <v>202.005</v>
      </c>
      <c r="G49" s="97">
        <v>275.75</v>
      </c>
      <c r="H49" s="97"/>
      <c r="I49" s="97"/>
      <c r="J49" s="382">
        <f t="shared" si="1"/>
        <v>0.58535166240409209</v>
      </c>
      <c r="K49" s="382">
        <f t="shared" si="2"/>
        <v>0.46126826086956524</v>
      </c>
      <c r="L49" s="382">
        <f t="shared" si="3"/>
        <v>8.15</v>
      </c>
      <c r="M49" s="382">
        <f t="shared" si="4"/>
        <v>1.6625925925925924</v>
      </c>
      <c r="N49" s="238"/>
      <c r="O49" s="382">
        <f t="shared" si="0"/>
        <v>0.20824600874776131</v>
      </c>
      <c r="P49" s="382" t="str">
        <f t="shared" si="5"/>
        <v>Sol non sodique – Faible risque de dispersion, perméabilité normale</v>
      </c>
      <c r="Q49" s="382">
        <f t="shared" si="6"/>
        <v>0.58542218670076718</v>
      </c>
      <c r="R49" s="382">
        <f t="shared" si="7"/>
        <v>0.46028708133971286</v>
      </c>
      <c r="S49" s="382">
        <f t="shared" si="8"/>
        <v>8.1384500998003997</v>
      </c>
      <c r="T49" s="382">
        <f t="shared" si="9"/>
        <v>1.1859</v>
      </c>
      <c r="U49" s="382"/>
      <c r="V49" s="383">
        <f t="shared" si="10"/>
        <v>4.4386156820580273E-2</v>
      </c>
      <c r="W49" s="386" t="str">
        <f t="shared" si="11"/>
        <v>None to slight</v>
      </c>
    </row>
    <row r="50" spans="1:23" ht="16.2" thickBot="1" x14ac:dyDescent="0.35">
      <c r="A50" s="97">
        <v>62</v>
      </c>
      <c r="B50" s="31">
        <v>45.997799999999998</v>
      </c>
      <c r="C50" s="97">
        <v>1497</v>
      </c>
      <c r="D50" s="31">
        <v>1069.9059</v>
      </c>
      <c r="E50" s="97">
        <v>227</v>
      </c>
      <c r="F50" s="31">
        <v>136.881</v>
      </c>
      <c r="G50" s="97">
        <v>102.34</v>
      </c>
      <c r="H50" s="97"/>
      <c r="I50" s="97"/>
      <c r="J50" s="382">
        <f t="shared" si="1"/>
        <v>0.21724347826086957</v>
      </c>
      <c r="K50" s="382">
        <f t="shared" si="2"/>
        <v>0.19999043478260869</v>
      </c>
      <c r="L50" s="382">
        <f t="shared" si="3"/>
        <v>5.3464285714285706</v>
      </c>
      <c r="M50" s="382">
        <f t="shared" si="4"/>
        <v>1.1265925925925926</v>
      </c>
      <c r="N50" s="238"/>
      <c r="O50" s="382">
        <f t="shared" si="0"/>
        <v>0.11116567487971662</v>
      </c>
      <c r="P50" s="382" t="str">
        <f t="shared" si="5"/>
        <v>Sol non sodique – Faible risque de dispersion, perméabilité normale</v>
      </c>
      <c r="Q50" s="382">
        <f t="shared" si="6"/>
        <v>0.21726965217391303</v>
      </c>
      <c r="R50" s="382">
        <f t="shared" si="7"/>
        <v>0.19956502827316225</v>
      </c>
      <c r="S50" s="382">
        <f t="shared" si="8"/>
        <v>5.3388517964071855</v>
      </c>
      <c r="T50" s="382">
        <f t="shared" si="9"/>
        <v>0.80358000000000007</v>
      </c>
      <c r="U50" s="382"/>
      <c r="V50" s="383">
        <f t="shared" si="10"/>
        <v>3.0424900250259544E-2</v>
      </c>
      <c r="W50" s="386" t="str">
        <f t="shared" si="11"/>
        <v>None to slight</v>
      </c>
    </row>
    <row r="51" spans="1:23" ht="16.2" thickBot="1" x14ac:dyDescent="0.35">
      <c r="A51" s="97">
        <v>241</v>
      </c>
      <c r="B51" s="31">
        <v>178.7979</v>
      </c>
      <c r="C51" s="97">
        <v>2148</v>
      </c>
      <c r="D51" s="31">
        <v>1535.1756</v>
      </c>
      <c r="E51" s="97">
        <v>423</v>
      </c>
      <c r="F51" s="31">
        <v>255.06899999999999</v>
      </c>
      <c r="G51" s="97">
        <v>198.89</v>
      </c>
      <c r="H51" s="97"/>
      <c r="I51" s="97"/>
      <c r="J51" s="382">
        <f t="shared" si="1"/>
        <v>0.42219616368286433</v>
      </c>
      <c r="K51" s="382">
        <f t="shared" si="2"/>
        <v>0.77738217391304343</v>
      </c>
      <c r="L51" s="382">
        <f t="shared" si="3"/>
        <v>7.6714285714285708</v>
      </c>
      <c r="M51" s="382">
        <f t="shared" si="4"/>
        <v>2.0993333333333331</v>
      </c>
      <c r="N51" s="238"/>
      <c r="O51" s="382">
        <f t="shared" si="0"/>
        <v>0.35171052126306884</v>
      </c>
      <c r="P51" s="382" t="str">
        <f t="shared" si="5"/>
        <v>Sol non sodique – Faible risque de dispersion, perméabilité normale</v>
      </c>
      <c r="Q51" s="382">
        <f t="shared" si="6"/>
        <v>0.42224703069053704</v>
      </c>
      <c r="R51" s="382">
        <f t="shared" si="7"/>
        <v>0.77572857764245329</v>
      </c>
      <c r="S51" s="382">
        <f t="shared" si="8"/>
        <v>7.6605568862275453</v>
      </c>
      <c r="T51" s="382">
        <f t="shared" si="9"/>
        <v>1.49742</v>
      </c>
      <c r="U51" s="382"/>
      <c r="V51" s="383">
        <f t="shared" si="10"/>
        <v>7.4906540760002985E-2</v>
      </c>
      <c r="W51" s="386" t="str">
        <f t="shared" si="11"/>
        <v>None to slight</v>
      </c>
    </row>
    <row r="52" spans="1:23" ht="16.2" thickBot="1" x14ac:dyDescent="0.35">
      <c r="A52" s="87">
        <v>88</v>
      </c>
      <c r="B52" s="31">
        <v>65.287199999999999</v>
      </c>
      <c r="C52" s="87">
        <v>3034</v>
      </c>
      <c r="D52" s="31">
        <v>2168.3998000000001</v>
      </c>
      <c r="E52" s="87">
        <v>687</v>
      </c>
      <c r="F52" s="31">
        <v>414.26099999999997</v>
      </c>
      <c r="G52" s="97">
        <v>342.55</v>
      </c>
      <c r="H52" s="97"/>
      <c r="I52" s="97"/>
      <c r="J52" s="382">
        <f t="shared" si="1"/>
        <v>0.72715217391304343</v>
      </c>
      <c r="K52" s="382">
        <f t="shared" si="2"/>
        <v>0.28385739130434784</v>
      </c>
      <c r="L52" s="382">
        <f t="shared" si="3"/>
        <v>10.835714285714285</v>
      </c>
      <c r="M52" s="382">
        <f t="shared" si="4"/>
        <v>3.4095555555555555</v>
      </c>
      <c r="N52" s="238"/>
      <c r="O52" s="382">
        <f t="shared" si="0"/>
        <v>0.10636037623133665</v>
      </c>
      <c r="P52" s="382" t="str">
        <f t="shared" si="5"/>
        <v>Sol non sodique – Faible risque de dispersion, perméabilité normale</v>
      </c>
      <c r="Q52" s="382">
        <f t="shared" si="6"/>
        <v>0.7272397826086956</v>
      </c>
      <c r="R52" s="382">
        <f t="shared" si="7"/>
        <v>0.28325358851674642</v>
      </c>
      <c r="S52" s="382">
        <f t="shared" si="8"/>
        <v>10.820358283433134</v>
      </c>
      <c r="T52" s="382">
        <f t="shared" si="9"/>
        <v>2.4319800000000003</v>
      </c>
      <c r="U52" s="382"/>
      <c r="V52" s="383">
        <f t="shared" si="10"/>
        <v>1.9859561928308615E-2</v>
      </c>
      <c r="W52" s="386" t="str">
        <f t="shared" si="11"/>
        <v>None to slight</v>
      </c>
    </row>
    <row r="53" spans="1:23" ht="16.2" thickBot="1" x14ac:dyDescent="0.35">
      <c r="A53" s="87">
        <v>59</v>
      </c>
      <c r="B53" s="31">
        <v>43.772100000000002</v>
      </c>
      <c r="C53" s="87">
        <v>3924</v>
      </c>
      <c r="D53" s="31">
        <v>2804.4828000000002</v>
      </c>
      <c r="E53" s="87">
        <v>830</v>
      </c>
      <c r="F53" s="31">
        <v>500.49</v>
      </c>
      <c r="G53" s="97">
        <v>363.05</v>
      </c>
      <c r="H53" s="97"/>
      <c r="I53" s="97"/>
      <c r="J53" s="382">
        <f t="shared" si="1"/>
        <v>0.77066879795396415</v>
      </c>
      <c r="K53" s="382">
        <f t="shared" si="2"/>
        <v>0.19031347826086956</v>
      </c>
      <c r="L53" s="382">
        <f t="shared" si="3"/>
        <v>14.014285714285714</v>
      </c>
      <c r="M53" s="382">
        <f t="shared" si="4"/>
        <v>4.119259259259259</v>
      </c>
      <c r="N53" s="238"/>
      <c r="O53" s="382">
        <f t="shared" si="0"/>
        <v>6.3203799639736949E-2</v>
      </c>
      <c r="P53" s="382" t="str">
        <f t="shared" si="5"/>
        <v>Sol non sodique – Faible risque de dispersion, perméabilité normale</v>
      </c>
      <c r="Q53" s="382">
        <f t="shared" si="6"/>
        <v>0.77076164961636817</v>
      </c>
      <c r="R53" s="382">
        <f t="shared" si="7"/>
        <v>0.18990865593736406</v>
      </c>
      <c r="S53" s="382">
        <f t="shared" si="8"/>
        <v>13.9944251497006</v>
      </c>
      <c r="T53" s="382">
        <f t="shared" si="9"/>
        <v>2.9382000000000001</v>
      </c>
      <c r="U53" s="382"/>
      <c r="V53" s="383">
        <f t="shared" si="10"/>
        <v>1.0613397426553851E-2</v>
      </c>
      <c r="W53" s="386" t="str">
        <f t="shared" si="11"/>
        <v>None to slight</v>
      </c>
    </row>
    <row r="54" spans="1:23" ht="16.2" thickBot="1" x14ac:dyDescent="0.35">
      <c r="A54" s="87">
        <v>81</v>
      </c>
      <c r="B54" s="31">
        <v>60.093899999999998</v>
      </c>
      <c r="C54" s="87">
        <v>2746</v>
      </c>
      <c r="D54" s="31">
        <v>1962.5662</v>
      </c>
      <c r="E54" s="87">
        <v>745</v>
      </c>
      <c r="F54" s="31">
        <v>449.23500000000001</v>
      </c>
      <c r="G54" s="97">
        <v>294.27</v>
      </c>
      <c r="H54" s="97"/>
      <c r="I54" s="97"/>
      <c r="J54" s="382">
        <f t="shared" si="1"/>
        <v>0.62466521739130432</v>
      </c>
      <c r="K54" s="382">
        <f t="shared" si="2"/>
        <v>0.26127782608695649</v>
      </c>
      <c r="L54" s="382">
        <f t="shared" si="3"/>
        <v>9.8071428571428569</v>
      </c>
      <c r="M54" s="382">
        <f t="shared" si="4"/>
        <v>3.6974074074074075</v>
      </c>
      <c r="N54" s="238"/>
      <c r="O54" s="382">
        <f t="shared" si="0"/>
        <v>0.10054893823406336</v>
      </c>
      <c r="P54" s="382" t="str">
        <f t="shared" si="5"/>
        <v>Sol non sodique – Faible risque de dispersion, perméabilité normale</v>
      </c>
      <c r="Q54" s="382">
        <f t="shared" si="6"/>
        <v>0.62474047826086954</v>
      </c>
      <c r="R54" s="382">
        <f t="shared" si="7"/>
        <v>0.26072205306655066</v>
      </c>
      <c r="S54" s="382">
        <f t="shared" si="8"/>
        <v>9.7932445109780435</v>
      </c>
      <c r="T54" s="382">
        <f t="shared" si="9"/>
        <v>2.6373000000000002</v>
      </c>
      <c r="U54" s="382"/>
      <c r="V54" s="383">
        <f t="shared" si="10"/>
        <v>1.9579597114827797E-2</v>
      </c>
      <c r="W54" s="386" t="str">
        <f t="shared" si="11"/>
        <v>None to slight</v>
      </c>
    </row>
    <row r="55" spans="1:23" ht="16.2" thickBot="1" x14ac:dyDescent="0.35">
      <c r="A55" s="87">
        <v>73</v>
      </c>
      <c r="B55" s="31">
        <v>54.158700000000003</v>
      </c>
      <c r="C55" s="87">
        <v>2804</v>
      </c>
      <c r="D55" s="31">
        <v>2004.0188000000001</v>
      </c>
      <c r="E55" s="87">
        <v>653</v>
      </c>
      <c r="F55" s="31">
        <v>393.75900000000001</v>
      </c>
      <c r="G55" s="97">
        <v>285</v>
      </c>
      <c r="H55" s="97"/>
      <c r="I55" s="97"/>
      <c r="J55" s="382">
        <f t="shared" si="1"/>
        <v>0.60498721227621477</v>
      </c>
      <c r="K55" s="382">
        <f t="shared" si="2"/>
        <v>0.23547260869565217</v>
      </c>
      <c r="L55" s="382">
        <f t="shared" si="3"/>
        <v>10.014285714285714</v>
      </c>
      <c r="M55" s="382">
        <f t="shared" si="4"/>
        <v>3.240814814814815</v>
      </c>
      <c r="N55" s="238"/>
      <c r="O55" s="382">
        <f t="shared" si="0"/>
        <v>9.1466883126534018E-2</v>
      </c>
      <c r="P55" s="382" t="str">
        <f t="shared" si="5"/>
        <v>Sol non sodique – Faible risque de dispersion, perméabilité normale</v>
      </c>
      <c r="Q55" s="382">
        <f t="shared" si="6"/>
        <v>0.6050601023017903</v>
      </c>
      <c r="R55" s="382">
        <f t="shared" si="7"/>
        <v>0.23497172683775552</v>
      </c>
      <c r="S55" s="382">
        <f t="shared" si="8"/>
        <v>10.000093812375249</v>
      </c>
      <c r="T55" s="382">
        <f t="shared" si="9"/>
        <v>2.31162</v>
      </c>
      <c r="U55" s="382"/>
      <c r="V55" s="383">
        <f t="shared" si="10"/>
        <v>1.786620067347135E-2</v>
      </c>
      <c r="W55" s="386" t="str">
        <f t="shared" si="11"/>
        <v>None to slight</v>
      </c>
    </row>
    <row r="56" spans="1:23" ht="16.2" thickBot="1" x14ac:dyDescent="0.35">
      <c r="A56" s="117">
        <v>33</v>
      </c>
      <c r="B56" s="31">
        <v>24.482700000000001</v>
      </c>
      <c r="C56" s="117">
        <v>2426</v>
      </c>
      <c r="D56" s="31">
        <v>1733.8622</v>
      </c>
      <c r="E56" s="117">
        <v>297</v>
      </c>
      <c r="F56" s="31">
        <v>179.09100000000001</v>
      </c>
      <c r="G56" s="128">
        <v>263.16000000000003</v>
      </c>
      <c r="H56" s="128"/>
      <c r="I56" s="128"/>
      <c r="J56" s="382">
        <f t="shared" si="1"/>
        <v>0.55862608695652183</v>
      </c>
      <c r="K56" s="382">
        <f t="shared" si="2"/>
        <v>0.10644652173913043</v>
      </c>
      <c r="L56" s="382">
        <f t="shared" si="3"/>
        <v>8.6642857142857146</v>
      </c>
      <c r="M56" s="382">
        <f t="shared" si="4"/>
        <v>1.4740000000000002</v>
      </c>
      <c r="N56" s="238"/>
      <c r="O56" s="382">
        <f t="shared" si="0"/>
        <v>4.7278556650598755E-2</v>
      </c>
      <c r="P56" s="382" t="str">
        <f t="shared" si="5"/>
        <v>Sol non sodique – Faible risque de dispersion, perméabilité normale</v>
      </c>
      <c r="Q56" s="382">
        <f t="shared" si="6"/>
        <v>0.55869339130434781</v>
      </c>
      <c r="R56" s="382">
        <f t="shared" si="7"/>
        <v>0.1062200956937799</v>
      </c>
      <c r="S56" s="382">
        <f t="shared" si="8"/>
        <v>8.6520069860279438</v>
      </c>
      <c r="T56" s="382">
        <f t="shared" si="9"/>
        <v>1.05138</v>
      </c>
      <c r="U56" s="382"/>
      <c r="V56" s="383">
        <f t="shared" si="10"/>
        <v>1.0244696898022933E-2</v>
      </c>
      <c r="W56" s="386" t="str">
        <f t="shared" si="11"/>
        <v>None to slight</v>
      </c>
    </row>
    <row r="57" spans="1:23" ht="16.2" thickBot="1" x14ac:dyDescent="0.35">
      <c r="A57" s="117">
        <v>31</v>
      </c>
      <c r="B57" s="31">
        <v>22.998899999999999</v>
      </c>
      <c r="C57" s="117">
        <v>2500</v>
      </c>
      <c r="D57" s="31">
        <v>1786.75</v>
      </c>
      <c r="E57" s="117">
        <v>292</v>
      </c>
      <c r="F57" s="31">
        <v>176.07599999999999</v>
      </c>
      <c r="G57" s="128">
        <v>268.64</v>
      </c>
      <c r="H57" s="128"/>
      <c r="I57" s="128"/>
      <c r="J57" s="382">
        <f t="shared" si="1"/>
        <v>0.57025882352941171</v>
      </c>
      <c r="K57" s="382">
        <f t="shared" si="2"/>
        <v>9.9995217391304347E-2</v>
      </c>
      <c r="L57" s="382">
        <f t="shared" si="3"/>
        <v>8.9285714285714288</v>
      </c>
      <c r="M57" s="382">
        <f t="shared" si="4"/>
        <v>1.4491851851851849</v>
      </c>
      <c r="N57" s="238"/>
      <c r="O57" s="382">
        <f t="shared" si="0"/>
        <v>4.3897772776296522E-2</v>
      </c>
      <c r="P57" s="382" t="str">
        <f t="shared" si="5"/>
        <v>Sol non sodique – Faible risque de dispersion, perméabilité normale</v>
      </c>
      <c r="Q57" s="382">
        <f t="shared" si="6"/>
        <v>0.57032752941176468</v>
      </c>
      <c r="R57" s="382">
        <f t="shared" si="7"/>
        <v>9.9782514136581124E-2</v>
      </c>
      <c r="S57" s="382">
        <f t="shared" si="8"/>
        <v>8.9159181636726537</v>
      </c>
      <c r="T57" s="382">
        <f t="shared" si="9"/>
        <v>1.0336800000000002</v>
      </c>
      <c r="U57" s="382"/>
      <c r="V57" s="383">
        <f t="shared" si="10"/>
        <v>9.3959751237546046E-3</v>
      </c>
      <c r="W57" s="386" t="str">
        <f t="shared" si="11"/>
        <v>None to slight</v>
      </c>
    </row>
    <row r="58" spans="1:23" ht="16.2" thickBot="1" x14ac:dyDescent="0.35">
      <c r="A58" s="117">
        <v>27681</v>
      </c>
      <c r="B58" s="31">
        <v>20536.533899999999</v>
      </c>
      <c r="C58" s="117">
        <v>17891</v>
      </c>
      <c r="D58" s="31">
        <v>12786.697700000001</v>
      </c>
      <c r="E58" s="117">
        <v>6578</v>
      </c>
      <c r="F58" s="31">
        <v>3966.5339999999997</v>
      </c>
      <c r="G58" s="128">
        <v>685.48</v>
      </c>
      <c r="H58" s="128"/>
      <c r="I58" s="128"/>
      <c r="J58" s="382">
        <f t="shared" si="1"/>
        <v>1.4551109974424552</v>
      </c>
      <c r="K58" s="382">
        <f t="shared" si="2"/>
        <v>89.289277826086959</v>
      </c>
      <c r="L58" s="382">
        <f t="shared" si="3"/>
        <v>63.896428571428565</v>
      </c>
      <c r="M58" s="382">
        <f t="shared" si="4"/>
        <v>32.64637037037037</v>
      </c>
      <c r="N58" s="238"/>
      <c r="O58" s="382">
        <f t="shared" si="0"/>
        <v>12.85151612330041</v>
      </c>
      <c r="P58" s="382" t="str">
        <f t="shared" si="5"/>
        <v>Sol modérément sodique – Risque modéré de sodicité</v>
      </c>
      <c r="Q58" s="382">
        <f t="shared" si="6"/>
        <v>1.4552863120204602</v>
      </c>
      <c r="R58" s="382">
        <f t="shared" si="7"/>
        <v>89.099347542409731</v>
      </c>
      <c r="S58" s="382">
        <f t="shared" si="8"/>
        <v>63.805876746506989</v>
      </c>
      <c r="T58" s="382">
        <f t="shared" si="9"/>
        <v>23.28612</v>
      </c>
      <c r="U58" s="382"/>
      <c r="V58" s="383">
        <f t="shared" si="10"/>
        <v>0.50155382762401624</v>
      </c>
      <c r="W58" s="386" t="str">
        <f t="shared" si="11"/>
        <v>High to very high</v>
      </c>
    </row>
    <row r="59" spans="1:23" ht="16.2" thickBot="1" x14ac:dyDescent="0.35">
      <c r="A59" s="117">
        <v>30252</v>
      </c>
      <c r="B59" s="31">
        <v>22443.9588</v>
      </c>
      <c r="C59" s="117">
        <v>17927</v>
      </c>
      <c r="D59" s="31">
        <v>12812.4269</v>
      </c>
      <c r="E59" s="117">
        <v>6669</v>
      </c>
      <c r="F59" s="31">
        <v>4021.4069999999997</v>
      </c>
      <c r="G59" s="128">
        <v>659.73</v>
      </c>
      <c r="H59" s="128"/>
      <c r="I59" s="128"/>
      <c r="J59" s="382">
        <f t="shared" si="1"/>
        <v>1.4004498721227618</v>
      </c>
      <c r="K59" s="382">
        <f t="shared" si="2"/>
        <v>97.582429565217396</v>
      </c>
      <c r="L59" s="382">
        <f t="shared" si="3"/>
        <v>64.025000000000006</v>
      </c>
      <c r="M59" s="382">
        <f t="shared" si="4"/>
        <v>33.097999999999999</v>
      </c>
      <c r="N59" s="238"/>
      <c r="O59" s="382">
        <f t="shared" si="0"/>
        <v>14.003144819001891</v>
      </c>
      <c r="P59" s="382" t="str">
        <f t="shared" si="5"/>
        <v>Sol modérément sodique – Risque modéré de sodicité</v>
      </c>
      <c r="Q59" s="382">
        <f t="shared" si="6"/>
        <v>1.4006186010230179</v>
      </c>
      <c r="R59" s="382">
        <f t="shared" si="7"/>
        <v>97.374858634188769</v>
      </c>
      <c r="S59" s="382">
        <f t="shared" si="8"/>
        <v>63.934265968063869</v>
      </c>
      <c r="T59" s="382">
        <f t="shared" si="9"/>
        <v>23.608260000000001</v>
      </c>
      <c r="U59" s="382"/>
      <c r="V59" s="383">
        <f t="shared" si="10"/>
        <v>0.52262721240067922</v>
      </c>
      <c r="W59" s="386" t="str">
        <f t="shared" si="11"/>
        <v>High to very high</v>
      </c>
    </row>
    <row r="60" spans="1:23" ht="16.2" thickBot="1" x14ac:dyDescent="0.35">
      <c r="A60" s="117">
        <v>22507</v>
      </c>
      <c r="B60" s="31">
        <v>16697.943299999999</v>
      </c>
      <c r="C60" s="117">
        <v>18206</v>
      </c>
      <c r="D60" s="31">
        <v>13011.8282</v>
      </c>
      <c r="E60" s="117">
        <v>5543</v>
      </c>
      <c r="F60" s="31">
        <v>3342.4290000000001</v>
      </c>
      <c r="G60" s="128">
        <v>566.51</v>
      </c>
      <c r="H60" s="128"/>
      <c r="I60" s="128"/>
      <c r="J60" s="382">
        <f t="shared" si="1"/>
        <v>1.2025659846547312</v>
      </c>
      <c r="K60" s="382">
        <f t="shared" si="2"/>
        <v>72.599753478260865</v>
      </c>
      <c r="L60" s="382">
        <f t="shared" si="3"/>
        <v>65.021428571428572</v>
      </c>
      <c r="M60" s="382">
        <f t="shared" si="4"/>
        <v>27.509703703703703</v>
      </c>
      <c r="N60" s="238"/>
      <c r="O60" s="382">
        <f t="shared" si="0"/>
        <v>10.673484053321509</v>
      </c>
      <c r="P60" s="382" t="str">
        <f t="shared" si="5"/>
        <v>Sol modérément sodique – Risque modéré de sodicité</v>
      </c>
      <c r="Q60" s="382">
        <f t="shared" si="6"/>
        <v>1.202710872122762</v>
      </c>
      <c r="R60" s="382">
        <f t="shared" si="7"/>
        <v>72.445324053936488</v>
      </c>
      <c r="S60" s="382">
        <f t="shared" si="8"/>
        <v>64.929282435129736</v>
      </c>
      <c r="T60" s="382">
        <f t="shared" si="9"/>
        <v>19.622220000000002</v>
      </c>
      <c r="U60" s="382"/>
      <c r="V60" s="383">
        <f t="shared" si="10"/>
        <v>0.45793638377421364</v>
      </c>
      <c r="W60" s="386" t="str">
        <f t="shared" si="11"/>
        <v>Moderate to high</v>
      </c>
    </row>
    <row r="61" spans="1:23" ht="16.2" thickBot="1" x14ac:dyDescent="0.35">
      <c r="A61" s="128">
        <v>401</v>
      </c>
      <c r="B61" s="31">
        <v>297.50189999999998</v>
      </c>
      <c r="C61" s="128">
        <v>9640</v>
      </c>
      <c r="D61" s="31">
        <v>6889.7079999999996</v>
      </c>
      <c r="E61" s="128">
        <v>1463</v>
      </c>
      <c r="F61" s="31">
        <v>882.18899999999996</v>
      </c>
      <c r="G61" s="128">
        <v>455.07</v>
      </c>
      <c r="H61" s="128"/>
      <c r="I61" s="128"/>
      <c r="J61" s="382">
        <f t="shared" si="1"/>
        <v>0.96600537084398963</v>
      </c>
      <c r="K61" s="382">
        <f t="shared" si="2"/>
        <v>1.2934865217391303</v>
      </c>
      <c r="L61" s="382">
        <f t="shared" si="3"/>
        <v>34.428571428571431</v>
      </c>
      <c r="M61" s="382">
        <f t="shared" si="4"/>
        <v>7.2608148148148137</v>
      </c>
      <c r="N61" s="238"/>
      <c r="O61" s="382">
        <f t="shared" si="0"/>
        <v>0.2833114682408811</v>
      </c>
      <c r="P61" s="382" t="str">
        <f t="shared" si="5"/>
        <v>Sol non sodique – Faible risque de dispersion, perméabilité normale</v>
      </c>
      <c r="Q61" s="382">
        <f t="shared" si="6"/>
        <v>0.9661217570332481</v>
      </c>
      <c r="R61" s="382">
        <f t="shared" si="7"/>
        <v>1.2907351022183557</v>
      </c>
      <c r="S61" s="382">
        <f t="shared" si="8"/>
        <v>34.379780439121753</v>
      </c>
      <c r="T61" s="382">
        <f t="shared" si="9"/>
        <v>5.1790200000000004</v>
      </c>
      <c r="U61" s="382"/>
      <c r="V61" s="383">
        <f t="shared" si="10"/>
        <v>3.0867268042886073E-2</v>
      </c>
      <c r="W61" s="386" t="str">
        <f t="shared" si="11"/>
        <v>None to slight</v>
      </c>
    </row>
    <row r="62" spans="1:23" ht="16.2" thickBot="1" x14ac:dyDescent="0.35">
      <c r="A62" s="128">
        <v>787</v>
      </c>
      <c r="B62" s="31">
        <v>583.87530000000004</v>
      </c>
      <c r="C62" s="128">
        <v>9612</v>
      </c>
      <c r="D62" s="31">
        <v>6869.6963999999998</v>
      </c>
      <c r="E62" s="128">
        <v>1682</v>
      </c>
      <c r="F62" s="31">
        <v>1014.246</v>
      </c>
      <c r="G62" s="128">
        <v>351.53</v>
      </c>
      <c r="H62" s="128"/>
      <c r="I62" s="128"/>
      <c r="J62" s="382">
        <f t="shared" si="1"/>
        <v>0.74621457800511493</v>
      </c>
      <c r="K62" s="382">
        <f t="shared" si="2"/>
        <v>2.5385882608695653</v>
      </c>
      <c r="L62" s="382">
        <f t="shared" si="3"/>
        <v>34.328571428571429</v>
      </c>
      <c r="M62" s="382">
        <f t="shared" si="4"/>
        <v>8.3477037037037025</v>
      </c>
      <c r="N62" s="238"/>
      <c r="O62" s="382">
        <f t="shared" si="0"/>
        <v>0.54955860453620664</v>
      </c>
      <c r="P62" s="382" t="str">
        <f t="shared" si="5"/>
        <v>Sol non sodique – Faible risque de dispersion, perméabilité normale</v>
      </c>
      <c r="Q62" s="382">
        <f t="shared" si="6"/>
        <v>0.746304483375959</v>
      </c>
      <c r="R62" s="382">
        <f t="shared" si="7"/>
        <v>2.5331883427577209</v>
      </c>
      <c r="S62" s="382">
        <f t="shared" si="8"/>
        <v>34.279922155688624</v>
      </c>
      <c r="T62" s="382">
        <f t="shared" si="9"/>
        <v>5.9542800000000007</v>
      </c>
      <c r="U62" s="382"/>
      <c r="V62" s="383">
        <f t="shared" si="10"/>
        <v>5.8215886833236107E-2</v>
      </c>
      <c r="W62" s="386" t="str">
        <f t="shared" si="11"/>
        <v>None to slight</v>
      </c>
    </row>
    <row r="63" spans="1:23" ht="16.2" thickBot="1" x14ac:dyDescent="0.35">
      <c r="A63" s="128">
        <v>466</v>
      </c>
      <c r="B63" s="31">
        <v>345.72539999999998</v>
      </c>
      <c r="C63" s="128">
        <v>10130</v>
      </c>
      <c r="D63" s="31">
        <v>7239.9110000000001</v>
      </c>
      <c r="E63" s="128">
        <v>1721</v>
      </c>
      <c r="F63" s="31">
        <v>1037.7629999999999</v>
      </c>
      <c r="G63" s="128">
        <v>473.89</v>
      </c>
      <c r="H63" s="128"/>
      <c r="I63" s="128"/>
      <c r="J63" s="382">
        <f t="shared" si="1"/>
        <v>1.0059557544757032</v>
      </c>
      <c r="K63" s="382">
        <f t="shared" si="2"/>
        <v>1.5031539130434781</v>
      </c>
      <c r="L63" s="382">
        <f t="shared" si="3"/>
        <v>36.178571428571431</v>
      </c>
      <c r="M63" s="382">
        <f t="shared" si="4"/>
        <v>8.5412592592592578</v>
      </c>
      <c r="N63" s="238"/>
      <c r="O63" s="382">
        <f t="shared" si="0"/>
        <v>0.31788378413319096</v>
      </c>
      <c r="P63" s="382" t="str">
        <f t="shared" si="5"/>
        <v>Sol non sodique – Faible risque de dispersion, perméabilité normale</v>
      </c>
      <c r="Q63" s="382">
        <f t="shared" si="6"/>
        <v>1.0060769539641943</v>
      </c>
      <c r="R63" s="382">
        <f t="shared" si="7"/>
        <v>1.4999565028273161</v>
      </c>
      <c r="S63" s="382">
        <f t="shared" si="8"/>
        <v>36.127300399201594</v>
      </c>
      <c r="T63" s="382">
        <f t="shared" si="9"/>
        <v>6.0923400000000001</v>
      </c>
      <c r="U63" s="382"/>
      <c r="V63" s="383">
        <f t="shared" si="10"/>
        <v>3.3536811712593713E-2</v>
      </c>
      <c r="W63" s="386" t="str">
        <f t="shared" si="11"/>
        <v>None to slight</v>
      </c>
    </row>
    <row r="64" spans="1:23" ht="16.2" thickBot="1" x14ac:dyDescent="0.35">
      <c r="A64" s="128">
        <v>434</v>
      </c>
      <c r="B64" s="31">
        <v>321.9846</v>
      </c>
      <c r="C64" s="128">
        <v>9992</v>
      </c>
      <c r="D64" s="31">
        <v>7141.2824000000001</v>
      </c>
      <c r="E64" s="128">
        <v>1586</v>
      </c>
      <c r="F64" s="31">
        <v>956.35799999999995</v>
      </c>
      <c r="G64" s="128">
        <v>454.3</v>
      </c>
      <c r="H64" s="128"/>
      <c r="I64" s="128"/>
      <c r="J64" s="382">
        <f t="shared" si="1"/>
        <v>0.96437084398976991</v>
      </c>
      <c r="K64" s="382">
        <f t="shared" si="2"/>
        <v>1.3999330434782606</v>
      </c>
      <c r="L64" s="382">
        <f t="shared" si="3"/>
        <v>35.685714285714283</v>
      </c>
      <c r="M64" s="382">
        <f t="shared" si="4"/>
        <v>7.8712592592592578</v>
      </c>
      <c r="N64" s="238"/>
      <c r="O64" s="382">
        <f t="shared" si="0"/>
        <v>0.29998076914477001</v>
      </c>
      <c r="P64" s="382" t="str">
        <f t="shared" si="5"/>
        <v>Sol non sodique – Faible risque de dispersion, perméabilité normale</v>
      </c>
      <c r="Q64" s="382">
        <f t="shared" si="6"/>
        <v>0.96448703324808172</v>
      </c>
      <c r="R64" s="382">
        <f t="shared" si="7"/>
        <v>1.3969551979121355</v>
      </c>
      <c r="S64" s="382">
        <f t="shared" si="8"/>
        <v>35.635141716566864</v>
      </c>
      <c r="T64" s="382">
        <f t="shared" si="9"/>
        <v>5.6144400000000001</v>
      </c>
      <c r="U64" s="382"/>
      <c r="V64" s="383">
        <f t="shared" si="10"/>
        <v>3.203215773118627E-2</v>
      </c>
      <c r="W64" s="386" t="str">
        <f t="shared" si="11"/>
        <v>None to slight</v>
      </c>
    </row>
    <row r="65" spans="1:23" ht="16.2" thickBot="1" x14ac:dyDescent="0.35">
      <c r="A65" s="128">
        <v>742</v>
      </c>
      <c r="B65" s="31">
        <v>550.48980000000006</v>
      </c>
      <c r="C65" s="128">
        <v>7449</v>
      </c>
      <c r="D65" s="31">
        <v>5323.8002999999999</v>
      </c>
      <c r="E65" s="128">
        <v>1477</v>
      </c>
      <c r="F65" s="31">
        <v>890.63099999999997</v>
      </c>
      <c r="G65" s="128">
        <v>266.10000000000002</v>
      </c>
      <c r="H65" s="128"/>
      <c r="I65" s="128"/>
      <c r="J65" s="382">
        <f t="shared" si="1"/>
        <v>0.56486700767263431</v>
      </c>
      <c r="K65" s="382">
        <f t="shared" si="2"/>
        <v>2.3934339130434785</v>
      </c>
      <c r="L65" s="382">
        <f t="shared" si="3"/>
        <v>26.603571428571428</v>
      </c>
      <c r="M65" s="382">
        <f t="shared" si="4"/>
        <v>7.3302962962962956</v>
      </c>
      <c r="N65" s="238"/>
      <c r="O65" s="382">
        <f t="shared" si="0"/>
        <v>0.58105836383920328</v>
      </c>
      <c r="P65" s="382" t="str">
        <f t="shared" si="5"/>
        <v>Sol non sodique – Faible risque de dispersion, perméabilité normale</v>
      </c>
      <c r="Q65" s="382">
        <f t="shared" si="6"/>
        <v>0.56493506393861892</v>
      </c>
      <c r="R65" s="382">
        <f t="shared" si="7"/>
        <v>2.3883427577207481</v>
      </c>
      <c r="S65" s="382">
        <f t="shared" si="8"/>
        <v>26.565869760479039</v>
      </c>
      <c r="T65" s="382">
        <f t="shared" si="9"/>
        <v>5.22858</v>
      </c>
      <c r="U65" s="382"/>
      <c r="V65" s="383">
        <f t="shared" si="10"/>
        <v>6.8733782722195713E-2</v>
      </c>
      <c r="W65" s="386" t="str">
        <f t="shared" si="11"/>
        <v>None to slight</v>
      </c>
    </row>
    <row r="66" spans="1:23" ht="16.2" thickBot="1" x14ac:dyDescent="0.35">
      <c r="A66" s="117">
        <v>5792</v>
      </c>
      <c r="B66" s="31">
        <v>4297.0847999999996</v>
      </c>
      <c r="C66" s="117">
        <v>10503</v>
      </c>
      <c r="D66" s="31">
        <v>7506.4940999999999</v>
      </c>
      <c r="E66" s="117">
        <v>4524</v>
      </c>
      <c r="F66" s="31">
        <v>2727.9719999999998</v>
      </c>
      <c r="G66" s="128">
        <v>450.7</v>
      </c>
      <c r="H66" s="128"/>
      <c r="I66" s="128"/>
      <c r="J66" s="382">
        <f t="shared" si="1"/>
        <v>0.95672890025575441</v>
      </c>
      <c r="K66" s="382">
        <f t="shared" si="2"/>
        <v>18.682977391304345</v>
      </c>
      <c r="L66" s="382">
        <f t="shared" si="3"/>
        <v>37.510714285714286</v>
      </c>
      <c r="M66" s="382">
        <f t="shared" si="4"/>
        <v>22.452444444444442</v>
      </c>
      <c r="N66" s="238"/>
      <c r="O66" s="382">
        <f t="shared" ref="O66:O129" si="12">(K66/((L66+M66)/2)^0.5)</f>
        <v>3.4120770908185536</v>
      </c>
      <c r="P66" s="382" t="str">
        <f t="shared" si="5"/>
        <v>Sol non sodique – Faible risque de dispersion, perméabilité normale</v>
      </c>
      <c r="Q66" s="382">
        <f t="shared" si="6"/>
        <v>0.95684416879795386</v>
      </c>
      <c r="R66" s="382">
        <f t="shared" si="7"/>
        <v>18.643236189647673</v>
      </c>
      <c r="S66" s="382">
        <f t="shared" si="8"/>
        <v>37.457555389221554</v>
      </c>
      <c r="T66" s="382">
        <f t="shared" si="9"/>
        <v>16.014960000000002</v>
      </c>
      <c r="U66" s="382"/>
      <c r="V66" s="383">
        <f t="shared" si="10"/>
        <v>0.25513307689282205</v>
      </c>
      <c r="W66" s="386" t="str">
        <f t="shared" si="11"/>
        <v>Light to moderate</v>
      </c>
    </row>
    <row r="67" spans="1:23" ht="16.2" thickBot="1" x14ac:dyDescent="0.35">
      <c r="A67" s="128">
        <v>2711</v>
      </c>
      <c r="B67" s="31">
        <v>2011.2909</v>
      </c>
      <c r="C67" s="128">
        <v>8705</v>
      </c>
      <c r="D67" s="31">
        <v>6221.4634999999998</v>
      </c>
      <c r="E67" s="128">
        <v>2954</v>
      </c>
      <c r="F67" s="31">
        <v>1781.2619999999999</v>
      </c>
      <c r="G67" s="128">
        <v>594.9</v>
      </c>
      <c r="H67" s="128"/>
      <c r="I67" s="128"/>
      <c r="J67" s="382">
        <f t="shared" ref="J67:J130" si="13">(G67*0.83/10)/39.1</f>
        <v>1.2628312020460355</v>
      </c>
      <c r="K67" s="382">
        <f t="shared" ref="K67:K130" si="14">(A67*0.7419/10)/23</f>
        <v>8.7447430434782607</v>
      </c>
      <c r="L67" s="382">
        <f t="shared" ref="L67:L130" si="15">((C67*40/56)/10)/20</f>
        <v>31.089285714285715</v>
      </c>
      <c r="M67" s="382">
        <f t="shared" ref="M67:M130" si="16">(E67*0.603/10)/12.15</f>
        <v>14.660592592592591</v>
      </c>
      <c r="N67" s="238"/>
      <c r="O67" s="382">
        <f t="shared" si="12"/>
        <v>1.8283825968483534</v>
      </c>
      <c r="P67" s="382" t="str">
        <f t="shared" ref="P67:P130" si="17">IF(O67 &lt; 10, "Sol non sodique – Faible risque de dispersion, perméabilité normale",
IF(O67 &lt;= 18, "Sol modérément sodique – Risque modéré de sodicité",
IF(O67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67" s="382">
        <f t="shared" ref="Q67:Q130" si="18">(G67*0.8301)/391</f>
        <v>1.2629833503836316</v>
      </c>
      <c r="R67" s="382">
        <f t="shared" ref="R67:R130" si="19">(A67*0.74)/229.9</f>
        <v>8.7261418007829477</v>
      </c>
      <c r="S67" s="382">
        <f t="shared" ref="S67:S130" si="20">C67*0.7147/200.4</f>
        <v>31.045227045908181</v>
      </c>
      <c r="T67" s="382">
        <f t="shared" ref="T67:T130" si="21">E67*0.00354</f>
        <v>10.45716</v>
      </c>
      <c r="U67" s="382"/>
      <c r="V67" s="383">
        <f t="shared" ref="V67:V130" si="22">R67/(Q67+R67+S67+T67)</f>
        <v>0.16946757685781622</v>
      </c>
      <c r="W67" s="386" t="str">
        <f t="shared" ref="W67:W130" si="23">IF(V67 &lt; 15%, "None to slight",
IF(V67 &lt; 30%, "Light to moderate",
IF(V67 &lt; 50%, "Moderate to high",
IF(V67 &lt; 70%, "High to very high",
"Extremely high"))))</f>
        <v>Light to moderate</v>
      </c>
    </row>
    <row r="68" spans="1:23" ht="16.2" thickBot="1" x14ac:dyDescent="0.35">
      <c r="A68" s="128">
        <v>7309</v>
      </c>
      <c r="B68" s="31">
        <v>5422.5470999999998</v>
      </c>
      <c r="C68" s="128">
        <v>11991</v>
      </c>
      <c r="D68" s="31">
        <v>8569.9676999999992</v>
      </c>
      <c r="E68" s="128">
        <v>5403</v>
      </c>
      <c r="F68" s="31">
        <v>3258.009</v>
      </c>
      <c r="G68" s="128">
        <v>506.77</v>
      </c>
      <c r="H68" s="128"/>
      <c r="I68" s="128"/>
      <c r="J68" s="382">
        <f t="shared" si="13"/>
        <v>1.0757521739130433</v>
      </c>
      <c r="K68" s="382">
        <f t="shared" si="14"/>
        <v>23.576291739130433</v>
      </c>
      <c r="L68" s="382">
        <f t="shared" si="15"/>
        <v>42.825000000000003</v>
      </c>
      <c r="M68" s="382">
        <f t="shared" si="16"/>
        <v>26.814888888888888</v>
      </c>
      <c r="N68" s="238"/>
      <c r="O68" s="382">
        <f t="shared" si="12"/>
        <v>3.9954109913292979</v>
      </c>
      <c r="P68" s="382" t="str">
        <f t="shared" si="17"/>
        <v>Sol non sodique – Faible risque de dispersion, perméabilité normale</v>
      </c>
      <c r="Q68" s="382">
        <f t="shared" si="18"/>
        <v>1.0758817826086955</v>
      </c>
      <c r="R68" s="382">
        <f t="shared" si="19"/>
        <v>23.526141800782948</v>
      </c>
      <c r="S68" s="382">
        <f t="shared" si="20"/>
        <v>42.764309880239516</v>
      </c>
      <c r="T68" s="382">
        <f t="shared" si="21"/>
        <v>19.126620000000003</v>
      </c>
      <c r="U68" s="382"/>
      <c r="V68" s="383">
        <f t="shared" si="22"/>
        <v>0.27200067587789445</v>
      </c>
      <c r="W68" s="386" t="str">
        <f t="shared" si="23"/>
        <v>Light to moderate</v>
      </c>
    </row>
    <row r="69" spans="1:23" ht="16.2" thickBot="1" x14ac:dyDescent="0.35">
      <c r="A69" s="128">
        <v>1218</v>
      </c>
      <c r="B69" s="31">
        <v>903.63419999999996</v>
      </c>
      <c r="C69" s="128">
        <v>10611</v>
      </c>
      <c r="D69" s="31">
        <v>7583.6817000000001</v>
      </c>
      <c r="E69" s="128">
        <v>1333</v>
      </c>
      <c r="F69" s="31">
        <v>803.79899999999998</v>
      </c>
      <c r="G69" s="128">
        <v>539.92999999999995</v>
      </c>
      <c r="H69" s="128"/>
      <c r="I69" s="128"/>
      <c r="J69" s="382">
        <f t="shared" si="13"/>
        <v>1.1461429667519181</v>
      </c>
      <c r="K69" s="382">
        <f t="shared" si="14"/>
        <v>3.9288443478260864</v>
      </c>
      <c r="L69" s="382">
        <f t="shared" si="15"/>
        <v>37.896428571428572</v>
      </c>
      <c r="M69" s="382">
        <f t="shared" si="16"/>
        <v>6.6156296296296286</v>
      </c>
      <c r="N69" s="238"/>
      <c r="O69" s="382">
        <f t="shared" si="12"/>
        <v>0.8328005112419814</v>
      </c>
      <c r="P69" s="382" t="str">
        <f t="shared" si="17"/>
        <v>Sol non sodique – Faible risque de dispersion, perméabilité normale</v>
      </c>
      <c r="Q69" s="382">
        <f t="shared" si="18"/>
        <v>1.1462810562659846</v>
      </c>
      <c r="R69" s="382">
        <f t="shared" si="19"/>
        <v>3.9204871683340579</v>
      </c>
      <c r="S69" s="382">
        <f t="shared" si="20"/>
        <v>37.842723053892215</v>
      </c>
      <c r="T69" s="382">
        <f t="shared" si="21"/>
        <v>4.71882</v>
      </c>
      <c r="U69" s="382"/>
      <c r="V69" s="383">
        <f t="shared" si="22"/>
        <v>8.2314217386591476E-2</v>
      </c>
      <c r="W69" s="386" t="str">
        <f t="shared" si="23"/>
        <v>None to slight</v>
      </c>
    </row>
    <row r="70" spans="1:23" ht="16.2" thickBot="1" x14ac:dyDescent="0.35">
      <c r="A70" s="117">
        <v>853</v>
      </c>
      <c r="B70" s="31">
        <v>632.84069999999997</v>
      </c>
      <c r="C70" s="117">
        <v>10606</v>
      </c>
      <c r="D70" s="31">
        <v>7580.1081999999997</v>
      </c>
      <c r="E70" s="117">
        <v>1109</v>
      </c>
      <c r="F70" s="31">
        <v>668.72699999999998</v>
      </c>
      <c r="G70" s="128">
        <v>512.04</v>
      </c>
      <c r="H70" s="128"/>
      <c r="I70" s="128"/>
      <c r="J70" s="382">
        <f t="shared" si="13"/>
        <v>1.0869391304347824</v>
      </c>
      <c r="K70" s="382">
        <f t="shared" si="14"/>
        <v>2.7514813043478261</v>
      </c>
      <c r="L70" s="382">
        <f t="shared" si="15"/>
        <v>37.878571428571426</v>
      </c>
      <c r="M70" s="382">
        <f t="shared" si="16"/>
        <v>5.503925925925925</v>
      </c>
      <c r="N70" s="238"/>
      <c r="O70" s="382">
        <f t="shared" si="12"/>
        <v>0.59077796645745673</v>
      </c>
      <c r="P70" s="382" t="str">
        <f t="shared" si="17"/>
        <v>Sol non sodique – Faible risque de dispersion, perméabilité normale</v>
      </c>
      <c r="Q70" s="382">
        <f t="shared" si="18"/>
        <v>1.0870700869565215</v>
      </c>
      <c r="R70" s="382">
        <f t="shared" si="19"/>
        <v>2.7456285341452804</v>
      </c>
      <c r="S70" s="382">
        <f t="shared" si="20"/>
        <v>37.824891217564868</v>
      </c>
      <c r="T70" s="382">
        <f t="shared" si="21"/>
        <v>3.9258600000000001</v>
      </c>
      <c r="U70" s="382"/>
      <c r="V70" s="383">
        <f t="shared" si="22"/>
        <v>6.0233013162954388E-2</v>
      </c>
      <c r="W70" s="386" t="str">
        <f t="shared" si="23"/>
        <v>None to slight</v>
      </c>
    </row>
    <row r="71" spans="1:23" ht="16.2" thickBot="1" x14ac:dyDescent="0.35">
      <c r="A71" s="128">
        <v>207</v>
      </c>
      <c r="B71" s="31">
        <v>153.57329999999999</v>
      </c>
      <c r="C71" s="128">
        <v>10045</v>
      </c>
      <c r="D71" s="31">
        <v>7179.1615000000002</v>
      </c>
      <c r="E71" s="128">
        <v>681</v>
      </c>
      <c r="F71" s="31">
        <v>410.64299999999997</v>
      </c>
      <c r="G71" s="128">
        <v>697.57</v>
      </c>
      <c r="H71" s="128"/>
      <c r="I71" s="128"/>
      <c r="J71" s="382">
        <f t="shared" si="13"/>
        <v>1.4807751918158567</v>
      </c>
      <c r="K71" s="382">
        <f t="shared" si="14"/>
        <v>0.66770999999999991</v>
      </c>
      <c r="L71" s="382">
        <f t="shared" si="15"/>
        <v>35.875</v>
      </c>
      <c r="M71" s="382">
        <f t="shared" si="16"/>
        <v>3.3797777777777775</v>
      </c>
      <c r="N71" s="238"/>
      <c r="O71" s="382">
        <f t="shared" si="12"/>
        <v>0.1507150482011024</v>
      </c>
      <c r="P71" s="382" t="str">
        <f t="shared" si="17"/>
        <v>Sol non sodique – Faible risque de dispersion, perméabilité normale</v>
      </c>
      <c r="Q71" s="382">
        <f t="shared" si="18"/>
        <v>1.4809535984654731</v>
      </c>
      <c r="R71" s="382">
        <f t="shared" si="19"/>
        <v>0.66628969117007397</v>
      </c>
      <c r="S71" s="382">
        <f t="shared" si="20"/>
        <v>35.824159181636723</v>
      </c>
      <c r="T71" s="382">
        <f t="shared" si="21"/>
        <v>2.4107400000000001</v>
      </c>
      <c r="U71" s="382"/>
      <c r="V71" s="383">
        <f t="shared" si="22"/>
        <v>1.6499612214583969E-2</v>
      </c>
      <c r="W71" s="386" t="str">
        <f t="shared" si="23"/>
        <v>None to slight</v>
      </c>
    </row>
    <row r="72" spans="1:23" ht="16.2" thickBot="1" x14ac:dyDescent="0.35">
      <c r="A72" s="128">
        <v>358</v>
      </c>
      <c r="B72" s="31">
        <v>265.60020000000003</v>
      </c>
      <c r="C72" s="128">
        <v>10124</v>
      </c>
      <c r="D72" s="31">
        <v>7235.6228000000001</v>
      </c>
      <c r="E72" s="128">
        <v>739</v>
      </c>
      <c r="F72" s="31">
        <v>445.61699999999996</v>
      </c>
      <c r="G72" s="128">
        <v>987.53</v>
      </c>
      <c r="H72" s="128"/>
      <c r="I72" s="128"/>
      <c r="J72" s="382">
        <f t="shared" si="13"/>
        <v>2.0962913043478255</v>
      </c>
      <c r="K72" s="382">
        <f t="shared" si="14"/>
        <v>1.1547834782608697</v>
      </c>
      <c r="L72" s="382">
        <f t="shared" si="15"/>
        <v>36.157142857142858</v>
      </c>
      <c r="M72" s="382">
        <f t="shared" si="16"/>
        <v>3.6676296296296291</v>
      </c>
      <c r="N72" s="238"/>
      <c r="O72" s="382">
        <f t="shared" si="12"/>
        <v>0.25878488570574759</v>
      </c>
      <c r="P72" s="382" t="str">
        <f t="shared" si="17"/>
        <v>Sol non sodique – Faible risque de dispersion, perméabilité normale</v>
      </c>
      <c r="Q72" s="382">
        <f t="shared" si="18"/>
        <v>2.0965438695652172</v>
      </c>
      <c r="R72" s="382">
        <f t="shared" si="19"/>
        <v>1.1523270987385821</v>
      </c>
      <c r="S72" s="382">
        <f t="shared" si="20"/>
        <v>36.105902195608785</v>
      </c>
      <c r="T72" s="382">
        <f t="shared" si="21"/>
        <v>2.6160600000000001</v>
      </c>
      <c r="U72" s="382"/>
      <c r="V72" s="383">
        <f t="shared" si="22"/>
        <v>2.7455425872493222E-2</v>
      </c>
      <c r="W72" s="386" t="str">
        <f t="shared" si="23"/>
        <v>None to slight</v>
      </c>
    </row>
    <row r="73" spans="1:23" ht="16.2" thickBot="1" x14ac:dyDescent="0.35">
      <c r="A73" s="128">
        <v>7566</v>
      </c>
      <c r="B73" s="31">
        <v>5613.2154</v>
      </c>
      <c r="C73" s="128">
        <v>12224</v>
      </c>
      <c r="D73" s="31">
        <v>8736.4928</v>
      </c>
      <c r="E73" s="128">
        <v>1234</v>
      </c>
      <c r="F73" s="31">
        <v>744.10199999999998</v>
      </c>
      <c r="G73" s="128">
        <v>1005.88</v>
      </c>
      <c r="H73" s="128"/>
      <c r="I73" s="128"/>
      <c r="J73" s="382">
        <f t="shared" si="13"/>
        <v>2.1352439897698208</v>
      </c>
      <c r="K73" s="382">
        <f t="shared" si="14"/>
        <v>24.40528434782609</v>
      </c>
      <c r="L73" s="382">
        <f t="shared" si="15"/>
        <v>43.657142857142858</v>
      </c>
      <c r="M73" s="382">
        <f t="shared" si="16"/>
        <v>6.1242962962962961</v>
      </c>
      <c r="N73" s="238"/>
      <c r="O73" s="382">
        <f t="shared" si="12"/>
        <v>4.8917600510364831</v>
      </c>
      <c r="P73" s="382" t="str">
        <f t="shared" si="17"/>
        <v>Sol non sodique – Faible risque de dispersion, perméabilité normale</v>
      </c>
      <c r="Q73" s="382">
        <f t="shared" si="18"/>
        <v>2.1355012480818414</v>
      </c>
      <c r="R73" s="382">
        <f t="shared" si="19"/>
        <v>24.353371030882993</v>
      </c>
      <c r="S73" s="382">
        <f t="shared" si="20"/>
        <v>43.59527345309381</v>
      </c>
      <c r="T73" s="382">
        <f t="shared" si="21"/>
        <v>4.36836</v>
      </c>
      <c r="U73" s="382"/>
      <c r="V73" s="383">
        <f t="shared" si="22"/>
        <v>0.32709941447137392</v>
      </c>
      <c r="W73" s="386" t="str">
        <f t="shared" si="23"/>
        <v>Moderate to high</v>
      </c>
    </row>
    <row r="74" spans="1:23" ht="16.2" thickBot="1" x14ac:dyDescent="0.35">
      <c r="A74" s="117">
        <v>7847</v>
      </c>
      <c r="B74" s="31">
        <v>5821.6893</v>
      </c>
      <c r="C74" s="117">
        <v>11735</v>
      </c>
      <c r="D74" s="31">
        <v>8387.0045000000009</v>
      </c>
      <c r="E74" s="117">
        <v>1206</v>
      </c>
      <c r="F74" s="31">
        <v>727.21799999999996</v>
      </c>
      <c r="G74" s="128">
        <v>931.41</v>
      </c>
      <c r="H74" s="128"/>
      <c r="I74" s="128"/>
      <c r="J74" s="382">
        <f t="shared" si="13"/>
        <v>1.97716189258312</v>
      </c>
      <c r="K74" s="382">
        <f t="shared" si="14"/>
        <v>25.311692608695655</v>
      </c>
      <c r="L74" s="382">
        <f t="shared" si="15"/>
        <v>41.910714285714285</v>
      </c>
      <c r="M74" s="382">
        <f t="shared" si="16"/>
        <v>5.9853333333333332</v>
      </c>
      <c r="N74" s="238"/>
      <c r="O74" s="382">
        <f t="shared" si="12"/>
        <v>5.1723314472126534</v>
      </c>
      <c r="P74" s="382" t="str">
        <f t="shared" si="17"/>
        <v>Sol non sodique – Faible risque de dispersion, perméabilité normale</v>
      </c>
      <c r="Q74" s="382">
        <f t="shared" si="18"/>
        <v>1.9774001048593348</v>
      </c>
      <c r="R74" s="382">
        <f t="shared" si="19"/>
        <v>25.257851239669421</v>
      </c>
      <c r="S74" s="382">
        <f t="shared" si="20"/>
        <v>41.851319860279446</v>
      </c>
      <c r="T74" s="382">
        <f t="shared" si="21"/>
        <v>4.2692399999999999</v>
      </c>
      <c r="U74" s="382"/>
      <c r="V74" s="383">
        <f t="shared" si="22"/>
        <v>0.34431970453097338</v>
      </c>
      <c r="W74" s="386" t="str">
        <f t="shared" si="23"/>
        <v>Moderate to high</v>
      </c>
    </row>
    <row r="75" spans="1:23" ht="16.2" thickBot="1" x14ac:dyDescent="0.35">
      <c r="A75" s="128">
        <v>17174</v>
      </c>
      <c r="B75" s="31">
        <v>12741.390600000001</v>
      </c>
      <c r="C75" s="128">
        <v>16686</v>
      </c>
      <c r="D75" s="31">
        <v>11925.484200000001</v>
      </c>
      <c r="E75" s="128">
        <v>5650</v>
      </c>
      <c r="F75" s="31">
        <v>3406.95</v>
      </c>
      <c r="G75" s="128">
        <v>661.33</v>
      </c>
      <c r="H75" s="128"/>
      <c r="I75" s="128"/>
      <c r="J75" s="382">
        <f t="shared" si="13"/>
        <v>1.4038462915601024</v>
      </c>
      <c r="K75" s="382">
        <f t="shared" si="14"/>
        <v>55.397350434782609</v>
      </c>
      <c r="L75" s="382">
        <f t="shared" si="15"/>
        <v>59.592857142857142</v>
      </c>
      <c r="M75" s="382">
        <f t="shared" si="16"/>
        <v>28.040740740740738</v>
      </c>
      <c r="N75" s="238"/>
      <c r="O75" s="382">
        <f t="shared" si="12"/>
        <v>8.3689056216829698</v>
      </c>
      <c r="P75" s="382" t="str">
        <f t="shared" si="17"/>
        <v>Sol non sodique – Faible risque de dispersion, perméabilité normale</v>
      </c>
      <c r="Q75" s="382">
        <f t="shared" si="18"/>
        <v>1.4040154296675191</v>
      </c>
      <c r="R75" s="382">
        <f t="shared" si="19"/>
        <v>55.27951283166594</v>
      </c>
      <c r="S75" s="382">
        <f t="shared" si="20"/>
        <v>59.508404191616769</v>
      </c>
      <c r="T75" s="382">
        <f t="shared" si="21"/>
        <v>20.001000000000001</v>
      </c>
      <c r="U75" s="382"/>
      <c r="V75" s="383">
        <f t="shared" si="22"/>
        <v>0.40589120034376985</v>
      </c>
      <c r="W75" s="386" t="str">
        <f t="shared" si="23"/>
        <v>Moderate to high</v>
      </c>
    </row>
    <row r="76" spans="1:23" ht="16.2" thickBot="1" x14ac:dyDescent="0.35">
      <c r="A76" s="128">
        <v>5877</v>
      </c>
      <c r="B76" s="31">
        <v>4360.1463000000003</v>
      </c>
      <c r="C76" s="128">
        <v>12448</v>
      </c>
      <c r="D76" s="31">
        <v>8896.5856000000003</v>
      </c>
      <c r="E76" s="128">
        <v>1142</v>
      </c>
      <c r="F76" s="31">
        <v>688.62599999999998</v>
      </c>
      <c r="G76" s="128">
        <v>910.04</v>
      </c>
      <c r="H76" s="128"/>
      <c r="I76" s="128"/>
      <c r="J76" s="382">
        <f t="shared" si="13"/>
        <v>1.9317984654731455</v>
      </c>
      <c r="K76" s="382">
        <f t="shared" si="14"/>
        <v>18.957157826086956</v>
      </c>
      <c r="L76" s="382">
        <f t="shared" si="15"/>
        <v>44.457142857142856</v>
      </c>
      <c r="M76" s="382">
        <f t="shared" si="16"/>
        <v>5.6677037037037037</v>
      </c>
      <c r="N76" s="238"/>
      <c r="O76" s="382">
        <f t="shared" si="12"/>
        <v>3.7867069392621593</v>
      </c>
      <c r="P76" s="382" t="str">
        <f t="shared" si="17"/>
        <v>Sol non sodique – Faible risque de dispersion, perméabilité normale</v>
      </c>
      <c r="Q76" s="382">
        <f t="shared" si="18"/>
        <v>1.9320312122762147</v>
      </c>
      <c r="R76" s="382">
        <f t="shared" si="19"/>
        <v>18.916833405828619</v>
      </c>
      <c r="S76" s="382">
        <f t="shared" si="20"/>
        <v>44.394139720558883</v>
      </c>
      <c r="T76" s="382">
        <f t="shared" si="21"/>
        <v>4.0426799999999998</v>
      </c>
      <c r="U76" s="382"/>
      <c r="V76" s="383">
        <f t="shared" si="22"/>
        <v>0.27302657953646559</v>
      </c>
      <c r="W76" s="386" t="str">
        <f t="shared" si="23"/>
        <v>Light to moderate</v>
      </c>
    </row>
    <row r="77" spans="1:23" ht="16.2" thickBot="1" x14ac:dyDescent="0.35">
      <c r="A77" s="128">
        <v>7516</v>
      </c>
      <c r="B77" s="31">
        <v>5576.1203999999998</v>
      </c>
      <c r="C77" s="128">
        <v>12917</v>
      </c>
      <c r="D77" s="31">
        <v>9231.7798999999995</v>
      </c>
      <c r="E77" s="128">
        <v>1246</v>
      </c>
      <c r="F77" s="31">
        <v>751.33799999999997</v>
      </c>
      <c r="G77" s="128">
        <v>995.79</v>
      </c>
      <c r="H77" s="128"/>
      <c r="I77" s="128"/>
      <c r="J77" s="382">
        <f t="shared" si="13"/>
        <v>2.1138253196930941</v>
      </c>
      <c r="K77" s="382">
        <f t="shared" si="14"/>
        <v>24.244001739130432</v>
      </c>
      <c r="L77" s="382">
        <f t="shared" si="15"/>
        <v>46.132142857142853</v>
      </c>
      <c r="M77" s="382">
        <f t="shared" si="16"/>
        <v>6.183851851851851</v>
      </c>
      <c r="N77" s="238"/>
      <c r="O77" s="382">
        <f t="shared" si="12"/>
        <v>4.7402588828841692</v>
      </c>
      <c r="P77" s="382" t="str">
        <f t="shared" si="17"/>
        <v>Sol non sodique – Faible risque de dispersion, perméabilité normale</v>
      </c>
      <c r="Q77" s="382">
        <f t="shared" si="18"/>
        <v>2.1140799974424551</v>
      </c>
      <c r="R77" s="382">
        <f t="shared" si="19"/>
        <v>24.192431491953023</v>
      </c>
      <c r="S77" s="382">
        <f t="shared" si="20"/>
        <v>46.066765968063869</v>
      </c>
      <c r="T77" s="382">
        <f t="shared" si="21"/>
        <v>4.4108400000000003</v>
      </c>
      <c r="U77" s="382"/>
      <c r="V77" s="383">
        <f t="shared" si="22"/>
        <v>0.31507077626250424</v>
      </c>
      <c r="W77" s="386" t="str">
        <f t="shared" si="23"/>
        <v>Moderate to high</v>
      </c>
    </row>
    <row r="78" spans="1:23" ht="16.2" thickBot="1" x14ac:dyDescent="0.35">
      <c r="A78" s="128">
        <v>498</v>
      </c>
      <c r="B78" s="31">
        <v>369.46620000000001</v>
      </c>
      <c r="C78" s="128">
        <v>5801</v>
      </c>
      <c r="D78" s="31">
        <v>4145.9746999999998</v>
      </c>
      <c r="E78" s="128">
        <v>1803</v>
      </c>
      <c r="F78" s="31">
        <v>1087.2090000000001</v>
      </c>
      <c r="G78" s="128">
        <v>668.41</v>
      </c>
      <c r="H78" s="128"/>
      <c r="I78" s="128"/>
      <c r="J78" s="382">
        <f t="shared" si="13"/>
        <v>1.4188754475703322</v>
      </c>
      <c r="K78" s="382">
        <f t="shared" si="14"/>
        <v>1.6063747826086958</v>
      </c>
      <c r="L78" s="382">
        <f t="shared" si="15"/>
        <v>20.717857142857142</v>
      </c>
      <c r="M78" s="382">
        <f t="shared" si="16"/>
        <v>8.9482222222222223</v>
      </c>
      <c r="N78" s="238"/>
      <c r="O78" s="382">
        <f t="shared" si="12"/>
        <v>0.41709194098900138</v>
      </c>
      <c r="P78" s="382" t="str">
        <f t="shared" si="17"/>
        <v>Sol non sodique – Faible risque de dispersion, perméabilité normale</v>
      </c>
      <c r="Q78" s="382">
        <f t="shared" si="18"/>
        <v>1.4190463964194373</v>
      </c>
      <c r="R78" s="382">
        <f t="shared" si="19"/>
        <v>1.6029578077424966</v>
      </c>
      <c r="S78" s="382">
        <f t="shared" si="20"/>
        <v>20.688496506986027</v>
      </c>
      <c r="T78" s="382">
        <f t="shared" si="21"/>
        <v>6.3826200000000002</v>
      </c>
      <c r="U78" s="382"/>
      <c r="V78" s="383">
        <f t="shared" si="22"/>
        <v>5.3266586178570802E-2</v>
      </c>
      <c r="W78" s="386" t="str">
        <f t="shared" si="23"/>
        <v>None to slight</v>
      </c>
    </row>
    <row r="79" spans="1:23" ht="16.2" thickBot="1" x14ac:dyDescent="0.35">
      <c r="A79" s="128">
        <v>946</v>
      </c>
      <c r="B79" s="31">
        <v>701.8374</v>
      </c>
      <c r="C79" s="128">
        <v>8426</v>
      </c>
      <c r="D79" s="31">
        <v>6022.0622000000003</v>
      </c>
      <c r="E79" s="128">
        <v>1680</v>
      </c>
      <c r="F79" s="31">
        <v>1013.04</v>
      </c>
      <c r="G79" s="128">
        <v>668.51</v>
      </c>
      <c r="H79" s="128"/>
      <c r="I79" s="128"/>
      <c r="J79" s="382">
        <f t="shared" si="13"/>
        <v>1.419087723785166</v>
      </c>
      <c r="K79" s="382">
        <f t="shared" si="14"/>
        <v>3.0514669565217392</v>
      </c>
      <c r="L79" s="382">
        <f t="shared" si="15"/>
        <v>30.092857142857145</v>
      </c>
      <c r="M79" s="382">
        <f t="shared" si="16"/>
        <v>8.3377777777777773</v>
      </c>
      <c r="N79" s="238"/>
      <c r="O79" s="382">
        <f t="shared" si="12"/>
        <v>0.69612124701375222</v>
      </c>
      <c r="P79" s="382" t="str">
        <f t="shared" si="17"/>
        <v>Sol non sodique – Faible risque de dispersion, perméabilité normale</v>
      </c>
      <c r="Q79" s="382">
        <f t="shared" si="18"/>
        <v>1.4192586982097184</v>
      </c>
      <c r="R79" s="382">
        <f t="shared" si="19"/>
        <v>3.0449760765550238</v>
      </c>
      <c r="S79" s="382">
        <f t="shared" si="20"/>
        <v>30.050210578842314</v>
      </c>
      <c r="T79" s="382">
        <f t="shared" si="21"/>
        <v>5.9472000000000005</v>
      </c>
      <c r="U79" s="382"/>
      <c r="V79" s="383">
        <f t="shared" si="22"/>
        <v>7.525586391616107E-2</v>
      </c>
      <c r="W79" s="386" t="str">
        <f t="shared" si="23"/>
        <v>None to slight</v>
      </c>
    </row>
    <row r="80" spans="1:23" ht="16.2" thickBot="1" x14ac:dyDescent="0.35">
      <c r="A80" s="128">
        <v>399</v>
      </c>
      <c r="B80" s="31">
        <v>296.0181</v>
      </c>
      <c r="C80" s="128">
        <v>5318</v>
      </c>
      <c r="D80" s="31">
        <v>3800.7746000000002</v>
      </c>
      <c r="E80" s="128">
        <v>1339</v>
      </c>
      <c r="F80" s="31">
        <v>807.41700000000003</v>
      </c>
      <c r="G80" s="128">
        <v>531.37</v>
      </c>
      <c r="H80" s="128"/>
      <c r="I80" s="128"/>
      <c r="J80" s="382">
        <f t="shared" si="13"/>
        <v>1.1279721227621482</v>
      </c>
      <c r="K80" s="382">
        <f t="shared" si="14"/>
        <v>1.2870352173913044</v>
      </c>
      <c r="L80" s="382">
        <f t="shared" si="15"/>
        <v>18.99285714285714</v>
      </c>
      <c r="M80" s="382">
        <f t="shared" si="16"/>
        <v>6.6454074074074079</v>
      </c>
      <c r="N80" s="238"/>
      <c r="O80" s="382">
        <f t="shared" si="12"/>
        <v>0.35946872918263462</v>
      </c>
      <c r="P80" s="382" t="str">
        <f t="shared" si="17"/>
        <v>Sol non sodique – Faible risque de dispersion, perméabilité normale</v>
      </c>
      <c r="Q80" s="382">
        <f t="shared" si="18"/>
        <v>1.1281080230179028</v>
      </c>
      <c r="R80" s="382">
        <f t="shared" si="19"/>
        <v>1.2842975206611569</v>
      </c>
      <c r="S80" s="382">
        <f t="shared" si="20"/>
        <v>18.965941117764473</v>
      </c>
      <c r="T80" s="382">
        <f t="shared" si="21"/>
        <v>4.7400600000000006</v>
      </c>
      <c r="U80" s="382"/>
      <c r="V80" s="383">
        <f t="shared" si="22"/>
        <v>4.9172123602664486E-2</v>
      </c>
      <c r="W80" s="386" t="str">
        <f t="shared" si="23"/>
        <v>None to slight</v>
      </c>
    </row>
    <row r="81" spans="1:23" ht="16.2" thickBot="1" x14ac:dyDescent="0.35">
      <c r="A81" s="128">
        <v>538</v>
      </c>
      <c r="B81" s="31">
        <v>399.1422</v>
      </c>
      <c r="C81" s="128">
        <v>10031</v>
      </c>
      <c r="D81" s="31">
        <v>7169.1557000000003</v>
      </c>
      <c r="E81" s="128">
        <v>1566</v>
      </c>
      <c r="F81" s="31">
        <v>944.298</v>
      </c>
      <c r="G81" s="128">
        <v>517.73</v>
      </c>
      <c r="H81" s="128"/>
      <c r="I81" s="128"/>
      <c r="J81" s="382">
        <f t="shared" si="13"/>
        <v>1.0990176470588235</v>
      </c>
      <c r="K81" s="382">
        <f t="shared" si="14"/>
        <v>1.7354008695652174</v>
      </c>
      <c r="L81" s="382">
        <f t="shared" si="15"/>
        <v>35.825000000000003</v>
      </c>
      <c r="M81" s="382">
        <f t="shared" si="16"/>
        <v>7.7719999999999994</v>
      </c>
      <c r="N81" s="238"/>
      <c r="O81" s="382">
        <f t="shared" si="12"/>
        <v>0.3716948174552685</v>
      </c>
      <c r="P81" s="382" t="str">
        <f t="shared" si="17"/>
        <v>Sol non sodique – Faible risque de dispersion, perméabilité normale</v>
      </c>
      <c r="Q81" s="382">
        <f t="shared" si="18"/>
        <v>1.0991500588235295</v>
      </c>
      <c r="R81" s="382">
        <f t="shared" si="19"/>
        <v>1.7317094388864724</v>
      </c>
      <c r="S81" s="382">
        <f t="shared" si="20"/>
        <v>35.774230039920162</v>
      </c>
      <c r="T81" s="382">
        <f t="shared" si="21"/>
        <v>5.5436399999999999</v>
      </c>
      <c r="U81" s="382"/>
      <c r="V81" s="383">
        <f t="shared" si="22"/>
        <v>3.9224445573466625E-2</v>
      </c>
      <c r="W81" s="386" t="str">
        <f t="shared" si="23"/>
        <v>None to slight</v>
      </c>
    </row>
    <row r="82" spans="1:23" ht="16.2" thickBot="1" x14ac:dyDescent="0.35">
      <c r="A82" s="149">
        <v>126928</v>
      </c>
      <c r="B82" s="31">
        <v>94167.883199999997</v>
      </c>
      <c r="C82" s="149">
        <v>16579</v>
      </c>
      <c r="D82" s="31">
        <v>11849.0113</v>
      </c>
      <c r="E82" s="149">
        <v>9684</v>
      </c>
      <c r="F82" s="31">
        <v>5839.4520000000002</v>
      </c>
      <c r="G82" s="160">
        <v>1402.98</v>
      </c>
      <c r="H82" s="160"/>
      <c r="I82" s="160"/>
      <c r="J82" s="382">
        <f t="shared" si="13"/>
        <v>2.9781928388746799</v>
      </c>
      <c r="K82" s="382">
        <f t="shared" si="14"/>
        <v>409.42557913043476</v>
      </c>
      <c r="L82" s="382">
        <f t="shared" si="15"/>
        <v>59.210714285714289</v>
      </c>
      <c r="M82" s="382">
        <f t="shared" si="16"/>
        <v>48.06133333333333</v>
      </c>
      <c r="N82" s="238"/>
      <c r="O82" s="382">
        <f t="shared" si="12"/>
        <v>55.904489314029476</v>
      </c>
      <c r="P82" s="382" t="str">
        <f t="shared" si="17"/>
        <v>Sol très sodique – Très haut risque de dispersion, dégradation sévère</v>
      </c>
      <c r="Q82" s="382">
        <f t="shared" si="18"/>
        <v>2.9785516572890023</v>
      </c>
      <c r="R82" s="382">
        <f t="shared" si="19"/>
        <v>408.55467594606353</v>
      </c>
      <c r="S82" s="382">
        <f t="shared" si="20"/>
        <v>59.126802894211579</v>
      </c>
      <c r="T82" s="382">
        <f t="shared" si="21"/>
        <v>34.281359999999999</v>
      </c>
      <c r="U82" s="382"/>
      <c r="V82" s="383">
        <f t="shared" si="22"/>
        <v>0.80911306467366029</v>
      </c>
      <c r="W82" s="386" t="str">
        <f t="shared" si="23"/>
        <v>Extremely high</v>
      </c>
    </row>
    <row r="83" spans="1:23" ht="16.2" thickBot="1" x14ac:dyDescent="0.35">
      <c r="A83" s="160">
        <v>84492</v>
      </c>
      <c r="B83" s="31">
        <v>62684.614800000003</v>
      </c>
      <c r="C83" s="160">
        <v>20037</v>
      </c>
      <c r="D83" s="31">
        <v>14320.4439</v>
      </c>
      <c r="E83" s="160">
        <v>8511</v>
      </c>
      <c r="F83" s="31">
        <v>5132.1329999999998</v>
      </c>
      <c r="G83" s="160">
        <v>714.06</v>
      </c>
      <c r="H83" s="160"/>
      <c r="I83" s="160"/>
      <c r="J83" s="382">
        <f t="shared" si="13"/>
        <v>1.5157795396419433</v>
      </c>
      <c r="K83" s="382">
        <f t="shared" si="14"/>
        <v>272.54180347826087</v>
      </c>
      <c r="L83" s="382">
        <f t="shared" si="15"/>
        <v>71.560714285714283</v>
      </c>
      <c r="M83" s="382">
        <f t="shared" si="16"/>
        <v>42.239777777777775</v>
      </c>
      <c r="N83" s="238"/>
      <c r="O83" s="382">
        <f t="shared" si="12"/>
        <v>36.130673177184271</v>
      </c>
      <c r="P83" s="382" t="str">
        <f t="shared" si="17"/>
        <v>Sol très sodique – Très haut risque de dispersion, dégradation sévère</v>
      </c>
      <c r="Q83" s="382">
        <f t="shared" si="18"/>
        <v>1.5159621636828642</v>
      </c>
      <c r="R83" s="382">
        <f t="shared" si="19"/>
        <v>271.96207046541974</v>
      </c>
      <c r="S83" s="382">
        <f t="shared" si="20"/>
        <v>71.459300898203594</v>
      </c>
      <c r="T83" s="382">
        <f t="shared" si="21"/>
        <v>30.12894</v>
      </c>
      <c r="U83" s="382"/>
      <c r="V83" s="383">
        <f t="shared" si="22"/>
        <v>0.72510404070127599</v>
      </c>
      <c r="W83" s="386" t="str">
        <f t="shared" si="23"/>
        <v>Extremely high</v>
      </c>
    </row>
    <row r="84" spans="1:23" ht="16.2" thickBot="1" x14ac:dyDescent="0.35">
      <c r="A84" s="160">
        <v>90080</v>
      </c>
      <c r="B84" s="31">
        <v>66830.351999999999</v>
      </c>
      <c r="C84" s="160">
        <v>33507</v>
      </c>
      <c r="D84" s="31">
        <v>23947.4529</v>
      </c>
      <c r="E84" s="160">
        <v>4444</v>
      </c>
      <c r="F84" s="31">
        <v>2679.732</v>
      </c>
      <c r="G84" s="160">
        <v>942.52</v>
      </c>
      <c r="H84" s="160"/>
      <c r="I84" s="160"/>
      <c r="J84" s="382">
        <f t="shared" si="13"/>
        <v>2.0007457800511506</v>
      </c>
      <c r="K84" s="382">
        <f t="shared" si="14"/>
        <v>290.56674782608695</v>
      </c>
      <c r="L84" s="382">
        <f t="shared" si="15"/>
        <v>119.66785714285713</v>
      </c>
      <c r="M84" s="382">
        <f t="shared" si="16"/>
        <v>22.055407407407408</v>
      </c>
      <c r="N84" s="238"/>
      <c r="O84" s="382">
        <f t="shared" si="12"/>
        <v>34.51757972389899</v>
      </c>
      <c r="P84" s="382" t="str">
        <f t="shared" si="17"/>
        <v>Sol très sodique – Très haut risque de dispersion, dégradation sévère</v>
      </c>
      <c r="Q84" s="382">
        <f t="shared" si="18"/>
        <v>2.0009868337595904</v>
      </c>
      <c r="R84" s="382">
        <f t="shared" si="19"/>
        <v>289.94867333623313</v>
      </c>
      <c r="S84" s="382">
        <f t="shared" si="20"/>
        <v>119.49826796407186</v>
      </c>
      <c r="T84" s="382">
        <f t="shared" si="21"/>
        <v>15.731760000000001</v>
      </c>
      <c r="U84" s="382"/>
      <c r="V84" s="383">
        <f t="shared" si="22"/>
        <v>0.67875107686589409</v>
      </c>
      <c r="W84" s="386" t="str">
        <f t="shared" si="23"/>
        <v>High to very high</v>
      </c>
    </row>
    <row r="85" spans="1:23" ht="16.2" thickBot="1" x14ac:dyDescent="0.35">
      <c r="A85" s="160">
        <v>132284</v>
      </c>
      <c r="B85" s="31">
        <v>98141.499599999996</v>
      </c>
      <c r="C85" s="160">
        <v>13595</v>
      </c>
      <c r="D85" s="31">
        <v>9716.3464999999997</v>
      </c>
      <c r="E85" s="160">
        <v>7702</v>
      </c>
      <c r="F85" s="31">
        <v>4644.3059999999996</v>
      </c>
      <c r="G85" s="160">
        <v>1030.3</v>
      </c>
      <c r="H85" s="160"/>
      <c r="I85" s="160"/>
      <c r="J85" s="382">
        <f t="shared" si="13"/>
        <v>2.1870818414322244</v>
      </c>
      <c r="K85" s="382">
        <f t="shared" si="14"/>
        <v>426.70217217391297</v>
      </c>
      <c r="L85" s="382">
        <f t="shared" si="15"/>
        <v>48.553571428571431</v>
      </c>
      <c r="M85" s="382">
        <f t="shared" si="16"/>
        <v>38.224740740740735</v>
      </c>
      <c r="N85" s="238"/>
      <c r="O85" s="382">
        <f t="shared" si="12"/>
        <v>64.779001879385987</v>
      </c>
      <c r="P85" s="382" t="str">
        <f t="shared" si="17"/>
        <v>Sol très sodique – Très haut risque de dispersion, dégradation sévère</v>
      </c>
      <c r="Q85" s="382">
        <f t="shared" si="18"/>
        <v>2.1873453452685419</v>
      </c>
      <c r="R85" s="382">
        <f t="shared" si="19"/>
        <v>425.79451935624184</v>
      </c>
      <c r="S85" s="382">
        <f t="shared" si="20"/>
        <v>48.48476297405189</v>
      </c>
      <c r="T85" s="382">
        <f t="shared" si="21"/>
        <v>27.265080000000001</v>
      </c>
      <c r="U85" s="382"/>
      <c r="V85" s="383">
        <f t="shared" si="22"/>
        <v>0.84528036029545051</v>
      </c>
      <c r="W85" s="386" t="str">
        <f t="shared" si="23"/>
        <v>Extremely high</v>
      </c>
    </row>
    <row r="86" spans="1:23" ht="16.2" thickBot="1" x14ac:dyDescent="0.35">
      <c r="A86" s="160">
        <v>30776</v>
      </c>
      <c r="B86" s="31">
        <v>22832.714400000001</v>
      </c>
      <c r="C86" s="160">
        <v>20499</v>
      </c>
      <c r="D86" s="31">
        <v>14650.6353</v>
      </c>
      <c r="E86" s="160">
        <v>3506</v>
      </c>
      <c r="F86" s="31">
        <v>2114.1179999999999</v>
      </c>
      <c r="G86" s="160">
        <v>755.55</v>
      </c>
      <c r="H86" s="160"/>
      <c r="I86" s="160"/>
      <c r="J86" s="382">
        <f t="shared" si="13"/>
        <v>1.6038529411764706</v>
      </c>
      <c r="K86" s="382">
        <f t="shared" si="14"/>
        <v>99.272671304347824</v>
      </c>
      <c r="L86" s="382">
        <f t="shared" si="15"/>
        <v>73.210714285714289</v>
      </c>
      <c r="M86" s="382">
        <f t="shared" si="16"/>
        <v>17.400148148148148</v>
      </c>
      <c r="N86" s="238"/>
      <c r="O86" s="382">
        <f t="shared" si="12"/>
        <v>14.748728266736267</v>
      </c>
      <c r="P86" s="382" t="str">
        <f t="shared" si="17"/>
        <v>Sol modérément sodique – Risque modéré de sodicité</v>
      </c>
      <c r="Q86" s="382">
        <f t="shared" si="18"/>
        <v>1.604046176470588</v>
      </c>
      <c r="R86" s="382">
        <f t="shared" si="19"/>
        <v>99.06150500217484</v>
      </c>
      <c r="S86" s="382">
        <f t="shared" si="20"/>
        <v>73.1069625748503</v>
      </c>
      <c r="T86" s="382">
        <f t="shared" si="21"/>
        <v>12.411240000000001</v>
      </c>
      <c r="U86" s="382"/>
      <c r="V86" s="383">
        <f t="shared" si="22"/>
        <v>0.53206309898193738</v>
      </c>
      <c r="W86" s="386" t="str">
        <f t="shared" si="23"/>
        <v>High to very high</v>
      </c>
    </row>
    <row r="87" spans="1:23" ht="16.2" thickBot="1" x14ac:dyDescent="0.35">
      <c r="A87" s="160">
        <v>102205</v>
      </c>
      <c r="B87" s="31">
        <v>75825.889500000005</v>
      </c>
      <c r="C87" s="160">
        <v>12221</v>
      </c>
      <c r="D87" s="31">
        <v>8734.3487000000005</v>
      </c>
      <c r="E87" s="160">
        <v>6919</v>
      </c>
      <c r="F87" s="31">
        <v>4172.1570000000002</v>
      </c>
      <c r="G87" s="160">
        <v>958.08</v>
      </c>
      <c r="H87" s="160"/>
      <c r="I87" s="160"/>
      <c r="J87" s="382">
        <f t="shared" si="13"/>
        <v>2.0337759590792839</v>
      </c>
      <c r="K87" s="382">
        <f t="shared" si="14"/>
        <v>329.67778043478262</v>
      </c>
      <c r="L87" s="382">
        <f t="shared" si="15"/>
        <v>43.646428571428565</v>
      </c>
      <c r="M87" s="382">
        <f t="shared" si="16"/>
        <v>34.338740740740739</v>
      </c>
      <c r="N87" s="238"/>
      <c r="O87" s="382">
        <f t="shared" si="12"/>
        <v>52.795713780122782</v>
      </c>
      <c r="P87" s="382" t="str">
        <f t="shared" si="17"/>
        <v>Sol très sodique – Très haut risque de dispersion, dégradation sévère</v>
      </c>
      <c r="Q87" s="382">
        <f t="shared" si="18"/>
        <v>2.0340209923273656</v>
      </c>
      <c r="R87" s="382">
        <f t="shared" si="19"/>
        <v>328.97651152675076</v>
      </c>
      <c r="S87" s="382">
        <f t="shared" si="20"/>
        <v>43.584574351297405</v>
      </c>
      <c r="T87" s="382">
        <f t="shared" si="21"/>
        <v>24.493260000000003</v>
      </c>
      <c r="U87" s="382"/>
      <c r="V87" s="383">
        <f t="shared" si="22"/>
        <v>0.82431997230729293</v>
      </c>
      <c r="W87" s="386" t="str">
        <f t="shared" si="23"/>
        <v>Extremely high</v>
      </c>
    </row>
    <row r="88" spans="1:23" ht="16.2" thickBot="1" x14ac:dyDescent="0.35">
      <c r="A88" s="160">
        <v>109066</v>
      </c>
      <c r="B88" s="31">
        <v>80916.065400000007</v>
      </c>
      <c r="C88" s="160">
        <v>17697</v>
      </c>
      <c r="D88" s="31">
        <v>12648.045899999999</v>
      </c>
      <c r="E88" s="160">
        <v>5558</v>
      </c>
      <c r="F88" s="31">
        <v>3351.4739999999997</v>
      </c>
      <c r="G88" s="160">
        <v>676.28</v>
      </c>
      <c r="H88" s="160"/>
      <c r="I88" s="160"/>
      <c r="J88" s="382">
        <f t="shared" si="13"/>
        <v>1.4355815856777492</v>
      </c>
      <c r="K88" s="382">
        <f t="shared" si="14"/>
        <v>351.80898000000002</v>
      </c>
      <c r="L88" s="382">
        <f t="shared" si="15"/>
        <v>63.203571428571436</v>
      </c>
      <c r="M88" s="382">
        <f t="shared" si="16"/>
        <v>27.584148148148142</v>
      </c>
      <c r="N88" s="238"/>
      <c r="O88" s="382">
        <f t="shared" si="12"/>
        <v>52.216572919060532</v>
      </c>
      <c r="P88" s="382" t="str">
        <f t="shared" si="17"/>
        <v>Sol très sodique – Très haut risque de dispersion, dégradation sévère</v>
      </c>
      <c r="Q88" s="382">
        <f t="shared" si="18"/>
        <v>1.4357545473145779</v>
      </c>
      <c r="R88" s="382">
        <f t="shared" si="19"/>
        <v>351.06063505872118</v>
      </c>
      <c r="S88" s="382">
        <f t="shared" si="20"/>
        <v>63.11400149700598</v>
      </c>
      <c r="T88" s="382">
        <f t="shared" si="21"/>
        <v>19.675319999999999</v>
      </c>
      <c r="U88" s="382"/>
      <c r="V88" s="383">
        <f t="shared" si="22"/>
        <v>0.80650622362289626</v>
      </c>
      <c r="W88" s="386" t="str">
        <f t="shared" si="23"/>
        <v>Extremely high</v>
      </c>
    </row>
    <row r="89" spans="1:23" ht="16.2" thickBot="1" x14ac:dyDescent="0.35">
      <c r="A89" s="160">
        <v>60300</v>
      </c>
      <c r="B89" s="31">
        <v>44736.57</v>
      </c>
      <c r="C89" s="160">
        <v>15666</v>
      </c>
      <c r="D89" s="31">
        <v>11196.4902</v>
      </c>
      <c r="E89" s="160">
        <v>4008</v>
      </c>
      <c r="F89" s="31">
        <v>2416.8240000000001</v>
      </c>
      <c r="G89" s="160">
        <v>850.88</v>
      </c>
      <c r="H89" s="160"/>
      <c r="I89" s="160"/>
      <c r="J89" s="382">
        <f t="shared" si="13"/>
        <v>1.8062158567774933</v>
      </c>
      <c r="K89" s="382">
        <f t="shared" si="14"/>
        <v>194.50682608695652</v>
      </c>
      <c r="L89" s="382">
        <f t="shared" si="15"/>
        <v>55.95</v>
      </c>
      <c r="M89" s="382">
        <f t="shared" si="16"/>
        <v>19.891555555555556</v>
      </c>
      <c r="N89" s="238"/>
      <c r="O89" s="382">
        <f t="shared" si="12"/>
        <v>31.586116219657967</v>
      </c>
      <c r="P89" s="382" t="str">
        <f t="shared" si="17"/>
        <v>Sol très sodique – Très haut risque de dispersion, dégradation sévère</v>
      </c>
      <c r="Q89" s="382">
        <f t="shared" si="18"/>
        <v>1.8064334731457798</v>
      </c>
      <c r="R89" s="382">
        <f t="shared" si="19"/>
        <v>194.09308394954328</v>
      </c>
      <c r="S89" s="382">
        <f t="shared" si="20"/>
        <v>55.870709580838323</v>
      </c>
      <c r="T89" s="382">
        <f t="shared" si="21"/>
        <v>14.188320000000001</v>
      </c>
      <c r="U89" s="382"/>
      <c r="V89" s="383">
        <f t="shared" si="22"/>
        <v>0.72978697671622128</v>
      </c>
      <c r="W89" s="386" t="str">
        <f t="shared" si="23"/>
        <v>Extremely high</v>
      </c>
    </row>
    <row r="90" spans="1:23" ht="16.2" thickBot="1" x14ac:dyDescent="0.35">
      <c r="A90" s="160">
        <v>44279</v>
      </c>
      <c r="B90" s="31">
        <v>32850.590100000001</v>
      </c>
      <c r="C90" s="160">
        <v>39845</v>
      </c>
      <c r="D90" s="31">
        <v>28477.2215</v>
      </c>
      <c r="E90" s="160">
        <v>2996</v>
      </c>
      <c r="F90" s="31">
        <v>1806.588</v>
      </c>
      <c r="G90" s="160">
        <v>687.2</v>
      </c>
      <c r="H90" s="160"/>
      <c r="I90" s="160"/>
      <c r="J90" s="382">
        <f t="shared" si="13"/>
        <v>1.4587621483375959</v>
      </c>
      <c r="K90" s="382">
        <f t="shared" si="14"/>
        <v>142.82865260869565</v>
      </c>
      <c r="L90" s="382">
        <f t="shared" si="15"/>
        <v>142.30357142857142</v>
      </c>
      <c r="M90" s="382">
        <f t="shared" si="16"/>
        <v>14.869037037037035</v>
      </c>
      <c r="N90" s="238"/>
      <c r="O90" s="382">
        <f t="shared" si="12"/>
        <v>16.111720030606179</v>
      </c>
      <c r="P90" s="382" t="str">
        <f t="shared" si="17"/>
        <v>Sol modérément sodique – Risque modéré de sodicité</v>
      </c>
      <c r="Q90" s="382">
        <f t="shared" si="18"/>
        <v>1.4589379028132992</v>
      </c>
      <c r="R90" s="382">
        <f t="shared" si="19"/>
        <v>142.52483688560244</v>
      </c>
      <c r="S90" s="382">
        <f t="shared" si="20"/>
        <v>142.10190369261477</v>
      </c>
      <c r="T90" s="382">
        <f t="shared" si="21"/>
        <v>10.605840000000001</v>
      </c>
      <c r="U90" s="382"/>
      <c r="V90" s="383">
        <f t="shared" si="22"/>
        <v>0.4803805569343062</v>
      </c>
      <c r="W90" s="386" t="str">
        <f t="shared" si="23"/>
        <v>Moderate to high</v>
      </c>
    </row>
    <row r="91" spans="1:23" ht="16.2" thickBot="1" x14ac:dyDescent="0.35">
      <c r="A91" s="160">
        <v>95022</v>
      </c>
      <c r="B91" s="31">
        <v>70496.821800000005</v>
      </c>
      <c r="C91" s="160">
        <v>19189</v>
      </c>
      <c r="D91" s="31">
        <v>13714.3783</v>
      </c>
      <c r="E91" s="160">
        <v>5231</v>
      </c>
      <c r="F91" s="31">
        <v>3154.2930000000001</v>
      </c>
      <c r="G91" s="160">
        <v>581.16999999999996</v>
      </c>
      <c r="H91" s="160"/>
      <c r="I91" s="160"/>
      <c r="J91" s="382">
        <f t="shared" si="13"/>
        <v>1.2336856777493603</v>
      </c>
      <c r="K91" s="382">
        <f t="shared" si="14"/>
        <v>306.50792086956523</v>
      </c>
      <c r="L91" s="382">
        <f t="shared" si="15"/>
        <v>68.532142857142858</v>
      </c>
      <c r="M91" s="382">
        <f t="shared" si="16"/>
        <v>25.961259259259261</v>
      </c>
      <c r="N91" s="238"/>
      <c r="O91" s="382">
        <f t="shared" si="12"/>
        <v>44.591897927076218</v>
      </c>
      <c r="P91" s="382" t="str">
        <f t="shared" si="17"/>
        <v>Sol très sodique – Très haut risque de dispersion, dégradation sévère</v>
      </c>
      <c r="Q91" s="382">
        <f t="shared" si="18"/>
        <v>1.2338343145780049</v>
      </c>
      <c r="R91" s="382">
        <f t="shared" si="19"/>
        <v>305.85593736407134</v>
      </c>
      <c r="S91" s="382">
        <f t="shared" si="20"/>
        <v>68.435021457085824</v>
      </c>
      <c r="T91" s="382">
        <f t="shared" si="21"/>
        <v>18.51774</v>
      </c>
      <c r="U91" s="382"/>
      <c r="V91" s="383">
        <f t="shared" si="22"/>
        <v>0.77620031251477528</v>
      </c>
      <c r="W91" s="386" t="str">
        <f t="shared" si="23"/>
        <v>Extremely high</v>
      </c>
    </row>
    <row r="92" spans="1:23" ht="16.2" thickBot="1" x14ac:dyDescent="0.35">
      <c r="A92" s="160">
        <v>102588</v>
      </c>
      <c r="B92" s="31">
        <v>76110.037200000006</v>
      </c>
      <c r="C92" s="160">
        <v>14889</v>
      </c>
      <c r="D92" s="31">
        <v>10641.168299999999</v>
      </c>
      <c r="E92" s="160">
        <v>6384</v>
      </c>
      <c r="F92" s="31">
        <v>3849.5519999999997</v>
      </c>
      <c r="G92" s="160">
        <v>1237.0999999999999</v>
      </c>
      <c r="H92" s="160"/>
      <c r="I92" s="160"/>
      <c r="J92" s="382">
        <f t="shared" si="13"/>
        <v>2.6260690537084392</v>
      </c>
      <c r="K92" s="382">
        <f t="shared" si="14"/>
        <v>330.91320521739135</v>
      </c>
      <c r="L92" s="382">
        <f t="shared" si="15"/>
        <v>53.174999999999997</v>
      </c>
      <c r="M92" s="382">
        <f t="shared" si="16"/>
        <v>31.683555555555554</v>
      </c>
      <c r="N92" s="238"/>
      <c r="O92" s="382">
        <f t="shared" si="12"/>
        <v>50.802054786493159</v>
      </c>
      <c r="P92" s="382" t="str">
        <f t="shared" si="17"/>
        <v>Sol très sodique – Très haut risque de dispersion, dégradation sévère</v>
      </c>
      <c r="Q92" s="382">
        <f t="shared" si="18"/>
        <v>2.6263854475703323</v>
      </c>
      <c r="R92" s="382">
        <f t="shared" si="19"/>
        <v>330.20930839495429</v>
      </c>
      <c r="S92" s="382">
        <f t="shared" si="20"/>
        <v>53.099642215568856</v>
      </c>
      <c r="T92" s="382">
        <f t="shared" si="21"/>
        <v>22.599360000000001</v>
      </c>
      <c r="U92" s="382"/>
      <c r="V92" s="383">
        <f t="shared" si="22"/>
        <v>0.80827726893482421</v>
      </c>
      <c r="W92" s="386" t="str">
        <f t="shared" si="23"/>
        <v>Extremely high</v>
      </c>
    </row>
    <row r="93" spans="1:23" ht="16.2" thickBot="1" x14ac:dyDescent="0.35">
      <c r="A93" s="160">
        <v>24526</v>
      </c>
      <c r="B93" s="31">
        <v>18195.839400000001</v>
      </c>
      <c r="C93" s="160">
        <v>12334</v>
      </c>
      <c r="D93" s="31">
        <v>8815.1098000000002</v>
      </c>
      <c r="E93" s="160">
        <v>1622</v>
      </c>
      <c r="F93" s="31">
        <v>978.06599999999992</v>
      </c>
      <c r="G93" s="160">
        <v>1149.3499999999999</v>
      </c>
      <c r="H93" s="160"/>
      <c r="I93" s="160"/>
      <c r="J93" s="382">
        <f t="shared" si="13"/>
        <v>2.4397966751918156</v>
      </c>
      <c r="K93" s="382">
        <f t="shared" si="14"/>
        <v>79.112345217391308</v>
      </c>
      <c r="L93" s="382">
        <f t="shared" si="15"/>
        <v>44.05</v>
      </c>
      <c r="M93" s="382">
        <f t="shared" si="16"/>
        <v>8.0499259259259244</v>
      </c>
      <c r="N93" s="238"/>
      <c r="O93" s="382">
        <f t="shared" si="12"/>
        <v>15.500321418638674</v>
      </c>
      <c r="P93" s="382" t="str">
        <f t="shared" si="17"/>
        <v>Sol modérément sodique – Risque modéré de sodicité</v>
      </c>
      <c r="Q93" s="382">
        <f t="shared" si="18"/>
        <v>2.4400906265984652</v>
      </c>
      <c r="R93" s="382">
        <f t="shared" si="19"/>
        <v>78.94406263592866</v>
      </c>
      <c r="S93" s="382">
        <f t="shared" si="20"/>
        <v>43.987573852295412</v>
      </c>
      <c r="T93" s="382">
        <f t="shared" si="21"/>
        <v>5.7418800000000001</v>
      </c>
      <c r="U93" s="382"/>
      <c r="V93" s="383">
        <f t="shared" si="22"/>
        <v>0.60210426951943685</v>
      </c>
      <c r="W93" s="386" t="str">
        <f t="shared" si="23"/>
        <v>High to very high</v>
      </c>
    </row>
    <row r="94" spans="1:23" ht="16.2" thickBot="1" x14ac:dyDescent="0.35">
      <c r="A94" s="160">
        <v>115966</v>
      </c>
      <c r="B94" s="31">
        <v>86035.175400000007</v>
      </c>
      <c r="C94" s="160">
        <v>18851</v>
      </c>
      <c r="D94" s="31">
        <v>13472.8097</v>
      </c>
      <c r="E94" s="160">
        <v>5135</v>
      </c>
      <c r="F94" s="31">
        <v>3096.4049999999997</v>
      </c>
      <c r="G94" s="160">
        <v>727.14</v>
      </c>
      <c r="H94" s="160"/>
      <c r="I94" s="160"/>
      <c r="J94" s="382">
        <f t="shared" si="13"/>
        <v>1.5435452685421991</v>
      </c>
      <c r="K94" s="382">
        <f t="shared" si="14"/>
        <v>374.06598000000002</v>
      </c>
      <c r="L94" s="382">
        <f t="shared" si="15"/>
        <v>67.325000000000003</v>
      </c>
      <c r="M94" s="382">
        <f t="shared" si="16"/>
        <v>25.484814814814811</v>
      </c>
      <c r="N94" s="238"/>
      <c r="O94" s="382">
        <f t="shared" si="12"/>
        <v>54.911872974220678</v>
      </c>
      <c r="P94" s="382" t="str">
        <f t="shared" si="17"/>
        <v>Sol très sodique – Très haut risque de dispersion, dégradation sévère</v>
      </c>
      <c r="Q94" s="382">
        <f t="shared" si="18"/>
        <v>1.5437312378516621</v>
      </c>
      <c r="R94" s="382">
        <f t="shared" si="19"/>
        <v>373.27029143105693</v>
      </c>
      <c r="S94" s="382">
        <f t="shared" si="20"/>
        <v>67.229589321357281</v>
      </c>
      <c r="T94" s="382">
        <f t="shared" si="21"/>
        <v>18.177900000000001</v>
      </c>
      <c r="U94" s="382"/>
      <c r="V94" s="383">
        <f t="shared" si="22"/>
        <v>0.81106658794983044</v>
      </c>
      <c r="W94" s="386" t="str">
        <f t="shared" si="23"/>
        <v>Extremely high</v>
      </c>
    </row>
    <row r="95" spans="1:23" ht="16.2" thickBot="1" x14ac:dyDescent="0.35">
      <c r="A95" s="160">
        <v>141713</v>
      </c>
      <c r="B95" s="31">
        <v>105136.8747</v>
      </c>
      <c r="C95" s="160">
        <v>15852</v>
      </c>
      <c r="D95" s="31">
        <v>11329.4244</v>
      </c>
      <c r="E95" s="160">
        <v>15475</v>
      </c>
      <c r="F95" s="31">
        <v>9331.4249999999993</v>
      </c>
      <c r="G95" s="160">
        <v>911.75</v>
      </c>
      <c r="H95" s="160"/>
      <c r="I95" s="160"/>
      <c r="J95" s="382">
        <f t="shared" si="13"/>
        <v>1.9354283887468027</v>
      </c>
      <c r="K95" s="382">
        <f t="shared" si="14"/>
        <v>457.11684652173915</v>
      </c>
      <c r="L95" s="382">
        <f t="shared" si="15"/>
        <v>56.614285714285714</v>
      </c>
      <c r="M95" s="382">
        <f t="shared" si="16"/>
        <v>76.80185185185185</v>
      </c>
      <c r="N95" s="238"/>
      <c r="O95" s="382">
        <f t="shared" si="12"/>
        <v>55.967775155228466</v>
      </c>
      <c r="P95" s="382" t="str">
        <f t="shared" si="17"/>
        <v>Sol très sodique – Très haut risque de dispersion, dégradation sévère</v>
      </c>
      <c r="Q95" s="382">
        <f t="shared" si="18"/>
        <v>1.9356615728900255</v>
      </c>
      <c r="R95" s="382">
        <f t="shared" si="19"/>
        <v>456.14449760765547</v>
      </c>
      <c r="S95" s="382">
        <f t="shared" si="20"/>
        <v>56.534053892215567</v>
      </c>
      <c r="T95" s="382">
        <f t="shared" si="21"/>
        <v>54.781500000000001</v>
      </c>
      <c r="U95" s="382"/>
      <c r="V95" s="383">
        <f t="shared" si="22"/>
        <v>0.80110279570960941</v>
      </c>
      <c r="W95" s="386" t="str">
        <f t="shared" si="23"/>
        <v>Extremely high</v>
      </c>
    </row>
    <row r="96" spans="1:23" ht="16.2" thickBot="1" x14ac:dyDescent="0.35">
      <c r="A96" s="160">
        <v>97077</v>
      </c>
      <c r="B96" s="31">
        <v>72021.426300000006</v>
      </c>
      <c r="C96" s="160">
        <v>15198</v>
      </c>
      <c r="D96" s="31">
        <v>10862.0106</v>
      </c>
      <c r="E96" s="160">
        <v>4066</v>
      </c>
      <c r="F96" s="31">
        <v>2451.7979999999998</v>
      </c>
      <c r="G96" s="160">
        <v>1084.99</v>
      </c>
      <c r="H96" s="160"/>
      <c r="I96" s="160"/>
      <c r="J96" s="382">
        <f t="shared" si="13"/>
        <v>2.3031757033248081</v>
      </c>
      <c r="K96" s="382">
        <f t="shared" si="14"/>
        <v>313.13663608695651</v>
      </c>
      <c r="L96" s="382">
        <f t="shared" si="15"/>
        <v>54.278571428571432</v>
      </c>
      <c r="M96" s="382">
        <f t="shared" si="16"/>
        <v>20.179407407407403</v>
      </c>
      <c r="N96" s="238"/>
      <c r="O96" s="382">
        <f t="shared" si="12"/>
        <v>51.320781144859637</v>
      </c>
      <c r="P96" s="382" t="str">
        <f t="shared" si="17"/>
        <v>Sol très sodique – Très haut risque de dispersion, dégradation sévère</v>
      </c>
      <c r="Q96" s="382">
        <f t="shared" si="18"/>
        <v>2.3034531943734016</v>
      </c>
      <c r="R96" s="382">
        <f t="shared" si="19"/>
        <v>312.47055241409305</v>
      </c>
      <c r="S96" s="382">
        <f t="shared" si="20"/>
        <v>54.2016497005988</v>
      </c>
      <c r="T96" s="382">
        <f t="shared" si="21"/>
        <v>14.393640000000001</v>
      </c>
      <c r="U96" s="382"/>
      <c r="V96" s="383">
        <f t="shared" si="22"/>
        <v>0.81506410721334643</v>
      </c>
      <c r="W96" s="386" t="str">
        <f t="shared" si="23"/>
        <v>Extremely high</v>
      </c>
    </row>
    <row r="97" spans="1:23" ht="16.2" thickBot="1" x14ac:dyDescent="0.35">
      <c r="A97" s="160">
        <v>146207</v>
      </c>
      <c r="B97" s="31">
        <v>108470.9733</v>
      </c>
      <c r="C97" s="160">
        <v>18591</v>
      </c>
      <c r="D97" s="31">
        <v>13286.9877</v>
      </c>
      <c r="E97" s="160">
        <v>7401</v>
      </c>
      <c r="F97" s="31">
        <v>4462.8029999999999</v>
      </c>
      <c r="G97" s="160">
        <v>1675.07</v>
      </c>
      <c r="H97" s="160"/>
      <c r="I97" s="160"/>
      <c r="J97" s="382">
        <f t="shared" si="13"/>
        <v>3.5557751918158567</v>
      </c>
      <c r="K97" s="382">
        <f t="shared" si="14"/>
        <v>471.61292739130437</v>
      </c>
      <c r="L97" s="382">
        <f t="shared" si="15"/>
        <v>66.396428571428572</v>
      </c>
      <c r="M97" s="382">
        <f t="shared" si="16"/>
        <v>36.730888888888892</v>
      </c>
      <c r="N97" s="238"/>
      <c r="O97" s="382">
        <f t="shared" si="12"/>
        <v>65.677080380170807</v>
      </c>
      <c r="P97" s="382" t="str">
        <f t="shared" si="17"/>
        <v>Sol très sodique – Très haut risque de dispersion, dégradation sévère</v>
      </c>
      <c r="Q97" s="382">
        <f t="shared" si="18"/>
        <v>3.5562035984654727</v>
      </c>
      <c r="R97" s="382">
        <f t="shared" si="19"/>
        <v>470.60974336668113</v>
      </c>
      <c r="S97" s="382">
        <f t="shared" si="20"/>
        <v>66.302333832335322</v>
      </c>
      <c r="T97" s="382">
        <f t="shared" si="21"/>
        <v>26.199540000000002</v>
      </c>
      <c r="U97" s="382"/>
      <c r="V97" s="383">
        <f t="shared" si="22"/>
        <v>0.83048609095957393</v>
      </c>
      <c r="W97" s="386" t="str">
        <f t="shared" si="23"/>
        <v>Extremely high</v>
      </c>
    </row>
    <row r="98" spans="1:23" ht="16.2" thickBot="1" x14ac:dyDescent="0.35">
      <c r="A98" s="160">
        <v>3089</v>
      </c>
      <c r="B98" s="31">
        <v>2291.7291</v>
      </c>
      <c r="C98" s="160">
        <v>12014</v>
      </c>
      <c r="D98" s="31">
        <v>8586.4058000000005</v>
      </c>
      <c r="E98" s="160">
        <v>1687</v>
      </c>
      <c r="F98" s="31">
        <v>1017.261</v>
      </c>
      <c r="G98" s="160">
        <v>525.44000000000005</v>
      </c>
      <c r="H98" s="160"/>
      <c r="I98" s="160"/>
      <c r="J98" s="382">
        <f t="shared" si="13"/>
        <v>1.1153841432225062</v>
      </c>
      <c r="K98" s="382">
        <f t="shared" si="14"/>
        <v>9.9640395652173908</v>
      </c>
      <c r="L98" s="382">
        <f t="shared" si="15"/>
        <v>42.907142857142858</v>
      </c>
      <c r="M98" s="382">
        <f t="shared" si="16"/>
        <v>8.3725185185185182</v>
      </c>
      <c r="N98" s="238"/>
      <c r="O98" s="382">
        <f t="shared" si="12"/>
        <v>1.9677860020321483</v>
      </c>
      <c r="P98" s="382" t="str">
        <f t="shared" si="17"/>
        <v>Sol non sodique – Faible risque de dispersion, perméabilité normale</v>
      </c>
      <c r="Q98" s="382">
        <f t="shared" si="18"/>
        <v>1.11551852685422</v>
      </c>
      <c r="R98" s="382">
        <f t="shared" si="19"/>
        <v>9.9428447150935195</v>
      </c>
      <c r="S98" s="382">
        <f t="shared" si="20"/>
        <v>42.846336327345313</v>
      </c>
      <c r="T98" s="382">
        <f t="shared" si="21"/>
        <v>5.9719800000000003</v>
      </c>
      <c r="U98" s="382"/>
      <c r="V98" s="383">
        <f t="shared" si="22"/>
        <v>0.16605537893241115</v>
      </c>
      <c r="W98" s="386" t="str">
        <f t="shared" si="23"/>
        <v>Light to moderate</v>
      </c>
    </row>
    <row r="99" spans="1:23" ht="16.2" thickBot="1" x14ac:dyDescent="0.35">
      <c r="A99" s="160">
        <v>2835</v>
      </c>
      <c r="B99" s="31">
        <v>2103.2865000000002</v>
      </c>
      <c r="C99" s="160">
        <v>11598</v>
      </c>
      <c r="D99" s="31">
        <v>8289.0905999999995</v>
      </c>
      <c r="E99" s="160">
        <v>1670</v>
      </c>
      <c r="F99" s="31">
        <v>1007.01</v>
      </c>
      <c r="G99" s="160">
        <v>522.95000000000005</v>
      </c>
      <c r="H99" s="160"/>
      <c r="I99" s="160"/>
      <c r="J99" s="382">
        <f t="shared" si="13"/>
        <v>1.1100984654731456</v>
      </c>
      <c r="K99" s="382">
        <f t="shared" si="14"/>
        <v>9.1447239130434781</v>
      </c>
      <c r="L99" s="382">
        <f t="shared" si="15"/>
        <v>41.421428571428564</v>
      </c>
      <c r="M99" s="382">
        <f t="shared" si="16"/>
        <v>8.2881481481481476</v>
      </c>
      <c r="N99" s="238"/>
      <c r="O99" s="382">
        <f t="shared" si="12"/>
        <v>1.8342797161592725</v>
      </c>
      <c r="P99" s="382" t="str">
        <f t="shared" si="17"/>
        <v>Sol non sodique – Faible risque de dispersion, perméabilité normale</v>
      </c>
      <c r="Q99" s="382">
        <f t="shared" si="18"/>
        <v>1.1102322122762149</v>
      </c>
      <c r="R99" s="382">
        <f t="shared" si="19"/>
        <v>9.1252718573292739</v>
      </c>
      <c r="S99" s="382">
        <f t="shared" si="20"/>
        <v>41.362727544910179</v>
      </c>
      <c r="T99" s="382">
        <f t="shared" si="21"/>
        <v>5.9118000000000004</v>
      </c>
      <c r="U99" s="382"/>
      <c r="V99" s="383">
        <f t="shared" si="22"/>
        <v>0.15867269763465117</v>
      </c>
      <c r="W99" s="386" t="str">
        <f t="shared" si="23"/>
        <v>Light to moderate</v>
      </c>
    </row>
    <row r="100" spans="1:23" ht="16.2" thickBot="1" x14ac:dyDescent="0.35">
      <c r="A100" s="160">
        <v>2618</v>
      </c>
      <c r="B100" s="31">
        <v>1942.2942</v>
      </c>
      <c r="C100" s="160">
        <v>12041</v>
      </c>
      <c r="D100" s="31">
        <v>8605.7026999999998</v>
      </c>
      <c r="E100" s="160">
        <v>1549</v>
      </c>
      <c r="F100" s="31">
        <v>934.04700000000003</v>
      </c>
      <c r="G100" s="160">
        <v>508.77</v>
      </c>
      <c r="H100" s="160"/>
      <c r="I100" s="160"/>
      <c r="J100" s="382">
        <f t="shared" si="13"/>
        <v>1.0799976982097186</v>
      </c>
      <c r="K100" s="382">
        <f t="shared" si="14"/>
        <v>8.4447573913043481</v>
      </c>
      <c r="L100" s="382">
        <f t="shared" si="15"/>
        <v>43.003571428571433</v>
      </c>
      <c r="M100" s="382">
        <f t="shared" si="16"/>
        <v>7.6876296296296296</v>
      </c>
      <c r="N100" s="238"/>
      <c r="O100" s="382">
        <f t="shared" si="12"/>
        <v>1.6773970868248371</v>
      </c>
      <c r="P100" s="382" t="str">
        <f t="shared" si="17"/>
        <v>Sol non sodique – Faible risque de dispersion, perméabilité normale</v>
      </c>
      <c r="Q100" s="382">
        <f t="shared" si="18"/>
        <v>1.0801278184143221</v>
      </c>
      <c r="R100" s="382">
        <f t="shared" si="19"/>
        <v>8.4267942583732047</v>
      </c>
      <c r="S100" s="382">
        <f t="shared" si="20"/>
        <v>42.942628243512971</v>
      </c>
      <c r="T100" s="382">
        <f t="shared" si="21"/>
        <v>5.48346</v>
      </c>
      <c r="U100" s="382"/>
      <c r="V100" s="383">
        <f t="shared" si="22"/>
        <v>0.14545755885604902</v>
      </c>
      <c r="W100" s="386" t="str">
        <f t="shared" si="23"/>
        <v>None to slight</v>
      </c>
    </row>
    <row r="101" spans="1:23" ht="16.2" thickBot="1" x14ac:dyDescent="0.35">
      <c r="A101" s="160">
        <v>2431</v>
      </c>
      <c r="B101" s="31">
        <v>1803.5589</v>
      </c>
      <c r="C101" s="160">
        <v>12164</v>
      </c>
      <c r="D101" s="31">
        <v>8693.6108000000004</v>
      </c>
      <c r="E101" s="160">
        <v>1505</v>
      </c>
      <c r="F101" s="31">
        <v>907.51499999999999</v>
      </c>
      <c r="G101" s="160">
        <v>515.75</v>
      </c>
      <c r="H101" s="160"/>
      <c r="I101" s="160"/>
      <c r="J101" s="382">
        <f t="shared" si="13"/>
        <v>1.0948145780051151</v>
      </c>
      <c r="K101" s="382">
        <f t="shared" si="14"/>
        <v>7.8415604347826084</v>
      </c>
      <c r="L101" s="382">
        <f t="shared" si="15"/>
        <v>43.442857142857143</v>
      </c>
      <c r="M101" s="382">
        <f t="shared" si="16"/>
        <v>7.4692592592592586</v>
      </c>
      <c r="N101" s="238"/>
      <c r="O101" s="382">
        <f t="shared" si="12"/>
        <v>1.5542000417257786</v>
      </c>
      <c r="P101" s="382" t="str">
        <f t="shared" si="17"/>
        <v>Sol non sodique – Faible risque de dispersion, perméabilité normale</v>
      </c>
      <c r="Q101" s="382">
        <f t="shared" si="18"/>
        <v>1.094946483375959</v>
      </c>
      <c r="R101" s="382">
        <f t="shared" si="19"/>
        <v>7.8248803827751194</v>
      </c>
      <c r="S101" s="382">
        <f t="shared" si="20"/>
        <v>43.38129141716567</v>
      </c>
      <c r="T101" s="382">
        <f t="shared" si="21"/>
        <v>5.3277000000000001</v>
      </c>
      <c r="U101" s="382"/>
      <c r="V101" s="383">
        <f t="shared" si="22"/>
        <v>0.13578068431502754</v>
      </c>
      <c r="W101" s="386" t="str">
        <f t="shared" si="23"/>
        <v>None to slight</v>
      </c>
    </row>
    <row r="102" spans="1:23" ht="16.2" thickBot="1" x14ac:dyDescent="0.35">
      <c r="A102" s="160">
        <v>3356</v>
      </c>
      <c r="B102" s="31">
        <v>2489.8164000000002</v>
      </c>
      <c r="C102" s="160">
        <v>13358</v>
      </c>
      <c r="D102" s="31">
        <v>9546.9626000000007</v>
      </c>
      <c r="E102" s="160">
        <v>1916</v>
      </c>
      <c r="F102" s="31">
        <v>1155.348</v>
      </c>
      <c r="G102" s="160">
        <v>501.19</v>
      </c>
      <c r="H102" s="160"/>
      <c r="I102" s="160"/>
      <c r="J102" s="382">
        <f t="shared" si="13"/>
        <v>1.0639071611253195</v>
      </c>
      <c r="K102" s="382">
        <f t="shared" si="14"/>
        <v>10.825288695652175</v>
      </c>
      <c r="L102" s="382">
        <f t="shared" si="15"/>
        <v>47.707142857142856</v>
      </c>
      <c r="M102" s="382">
        <f t="shared" si="16"/>
        <v>9.5090370370370358</v>
      </c>
      <c r="N102" s="238"/>
      <c r="O102" s="382">
        <f t="shared" si="12"/>
        <v>2.0239279871528706</v>
      </c>
      <c r="P102" s="382" t="str">
        <f t="shared" si="17"/>
        <v>Sol non sodique – Faible risque de dispersion, perméabilité normale</v>
      </c>
      <c r="Q102" s="382">
        <f t="shared" si="18"/>
        <v>1.0640353427109974</v>
      </c>
      <c r="R102" s="382">
        <f t="shared" si="19"/>
        <v>10.802261852979557</v>
      </c>
      <c r="S102" s="382">
        <f t="shared" si="20"/>
        <v>47.639533932135734</v>
      </c>
      <c r="T102" s="382">
        <f t="shared" si="21"/>
        <v>6.7826400000000007</v>
      </c>
      <c r="U102" s="382"/>
      <c r="V102" s="383">
        <f t="shared" si="22"/>
        <v>0.16295837977842623</v>
      </c>
      <c r="W102" s="386" t="str">
        <f t="shared" si="23"/>
        <v>Light to moderate</v>
      </c>
    </row>
    <row r="103" spans="1:23" ht="16.2" thickBot="1" x14ac:dyDescent="0.35">
      <c r="A103" s="160">
        <v>1896</v>
      </c>
      <c r="B103" s="31">
        <v>1406.6424</v>
      </c>
      <c r="C103" s="160">
        <v>11521</v>
      </c>
      <c r="D103" s="31">
        <v>8234.0586999999996</v>
      </c>
      <c r="E103" s="160">
        <v>1244</v>
      </c>
      <c r="F103" s="31">
        <v>750.13199999999995</v>
      </c>
      <c r="G103" s="160">
        <v>485.05</v>
      </c>
      <c r="H103" s="160"/>
      <c r="I103" s="160"/>
      <c r="J103" s="382">
        <f t="shared" si="13"/>
        <v>1.0296457800511507</v>
      </c>
      <c r="K103" s="382">
        <f t="shared" si="14"/>
        <v>6.1158365217391308</v>
      </c>
      <c r="L103" s="382">
        <f t="shared" si="15"/>
        <v>41.146428571428565</v>
      </c>
      <c r="M103" s="382">
        <f t="shared" si="16"/>
        <v>6.1739259259259258</v>
      </c>
      <c r="N103" s="238"/>
      <c r="O103" s="382">
        <f t="shared" si="12"/>
        <v>1.2573230320377737</v>
      </c>
      <c r="P103" s="382" t="str">
        <f t="shared" si="17"/>
        <v>Sol non sodique – Faible risque de dispersion, perméabilité normale</v>
      </c>
      <c r="Q103" s="382">
        <f t="shared" si="18"/>
        <v>1.0297698337595906</v>
      </c>
      <c r="R103" s="382">
        <f t="shared" si="19"/>
        <v>6.1028273162244453</v>
      </c>
      <c r="S103" s="382">
        <f t="shared" si="20"/>
        <v>41.088117265469059</v>
      </c>
      <c r="T103" s="382">
        <f t="shared" si="21"/>
        <v>4.4037600000000001</v>
      </c>
      <c r="U103" s="382"/>
      <c r="V103" s="383">
        <f t="shared" si="22"/>
        <v>0.11596937326242178</v>
      </c>
      <c r="W103" s="386" t="str">
        <f t="shared" si="23"/>
        <v>None to slight</v>
      </c>
    </row>
    <row r="104" spans="1:23" ht="16.2" thickBot="1" x14ac:dyDescent="0.35">
      <c r="A104" s="160">
        <v>2626</v>
      </c>
      <c r="B104" s="31">
        <v>1948.2293999999999</v>
      </c>
      <c r="C104" s="160">
        <v>11994</v>
      </c>
      <c r="D104" s="31">
        <v>8572.1118000000006</v>
      </c>
      <c r="E104" s="160">
        <v>1600</v>
      </c>
      <c r="F104" s="31">
        <v>964.8</v>
      </c>
      <c r="G104" s="160">
        <v>523.89</v>
      </c>
      <c r="H104" s="160"/>
      <c r="I104" s="160"/>
      <c r="J104" s="382">
        <f t="shared" si="13"/>
        <v>1.1120938618925831</v>
      </c>
      <c r="K104" s="382">
        <f t="shared" si="14"/>
        <v>8.4705626086956514</v>
      </c>
      <c r="L104" s="382">
        <f t="shared" si="15"/>
        <v>42.835714285714282</v>
      </c>
      <c r="M104" s="382">
        <f t="shared" si="16"/>
        <v>7.9407407407407398</v>
      </c>
      <c r="N104" s="238"/>
      <c r="O104" s="382">
        <f t="shared" si="12"/>
        <v>1.6811097464917275</v>
      </c>
      <c r="P104" s="382" t="str">
        <f t="shared" si="17"/>
        <v>Sol non sodique – Faible risque de dispersion, perméabilité normale</v>
      </c>
      <c r="Q104" s="382">
        <f t="shared" si="18"/>
        <v>1.1122278491048592</v>
      </c>
      <c r="R104" s="382">
        <f t="shared" si="19"/>
        <v>8.4525445846020002</v>
      </c>
      <c r="S104" s="382">
        <f t="shared" si="20"/>
        <v>42.775008982035928</v>
      </c>
      <c r="T104" s="382">
        <f t="shared" si="21"/>
        <v>5.6640000000000006</v>
      </c>
      <c r="U104" s="382"/>
      <c r="V104" s="383">
        <f t="shared" si="22"/>
        <v>0.14572402657713446</v>
      </c>
      <c r="W104" s="386" t="str">
        <f t="shared" si="23"/>
        <v>None to slight</v>
      </c>
    </row>
    <row r="105" spans="1:23" ht="16.2" thickBot="1" x14ac:dyDescent="0.35">
      <c r="A105" s="160">
        <v>3227</v>
      </c>
      <c r="B105" s="31">
        <v>2394.1113</v>
      </c>
      <c r="C105" s="160">
        <v>12347</v>
      </c>
      <c r="D105" s="31">
        <v>8824.4009000000005</v>
      </c>
      <c r="E105" s="160">
        <v>1838</v>
      </c>
      <c r="F105" s="31">
        <v>1108.3139999999999</v>
      </c>
      <c r="G105" s="160">
        <v>525.65</v>
      </c>
      <c r="H105" s="160"/>
      <c r="I105" s="160"/>
      <c r="J105" s="382">
        <f t="shared" si="13"/>
        <v>1.115829923273657</v>
      </c>
      <c r="K105" s="382">
        <f t="shared" si="14"/>
        <v>10.409179565217391</v>
      </c>
      <c r="L105" s="382">
        <f t="shared" si="15"/>
        <v>44.096428571428568</v>
      </c>
      <c r="M105" s="382">
        <f t="shared" si="16"/>
        <v>9.1219259259259253</v>
      </c>
      <c r="N105" s="238"/>
      <c r="O105" s="382">
        <f t="shared" si="12"/>
        <v>2.0179052825365988</v>
      </c>
      <c r="P105" s="382" t="str">
        <f t="shared" si="17"/>
        <v>Sol non sodique – Faible risque de dispersion, perméabilité normale</v>
      </c>
      <c r="Q105" s="382">
        <f t="shared" si="18"/>
        <v>1.1159643606138105</v>
      </c>
      <c r="R105" s="382">
        <f t="shared" si="19"/>
        <v>10.387037842540234</v>
      </c>
      <c r="S105" s="382">
        <f t="shared" si="20"/>
        <v>44.03393662674651</v>
      </c>
      <c r="T105" s="382">
        <f t="shared" si="21"/>
        <v>6.5065200000000001</v>
      </c>
      <c r="U105" s="382"/>
      <c r="V105" s="383">
        <f t="shared" si="22"/>
        <v>0.1674155187095149</v>
      </c>
      <c r="W105" s="386" t="str">
        <f t="shared" si="23"/>
        <v>Light to moderate</v>
      </c>
    </row>
    <row r="106" spans="1:23" ht="16.2" thickBot="1" x14ac:dyDescent="0.35">
      <c r="A106" s="160">
        <v>2061</v>
      </c>
      <c r="B106" s="31">
        <v>1529.0559000000001</v>
      </c>
      <c r="C106" s="160">
        <v>11384</v>
      </c>
      <c r="D106" s="31">
        <v>8136.1448</v>
      </c>
      <c r="E106" s="160">
        <v>1335</v>
      </c>
      <c r="F106" s="31">
        <v>805.005</v>
      </c>
      <c r="G106" s="160">
        <v>518.25</v>
      </c>
      <c r="H106" s="160"/>
      <c r="I106" s="160"/>
      <c r="J106" s="382">
        <f t="shared" si="13"/>
        <v>1.1001214833759589</v>
      </c>
      <c r="K106" s="382">
        <f t="shared" si="14"/>
        <v>6.6480691304347834</v>
      </c>
      <c r="L106" s="382">
        <f t="shared" si="15"/>
        <v>40.657142857142858</v>
      </c>
      <c r="M106" s="382">
        <f t="shared" si="16"/>
        <v>6.6255555555555556</v>
      </c>
      <c r="N106" s="238"/>
      <c r="O106" s="382">
        <f t="shared" si="12"/>
        <v>1.3672860971998688</v>
      </c>
      <c r="P106" s="382" t="str">
        <f t="shared" si="17"/>
        <v>Sol non sodique – Faible risque de dispersion, perméabilité normale</v>
      </c>
      <c r="Q106" s="382">
        <f t="shared" si="18"/>
        <v>1.1002540281329922</v>
      </c>
      <c r="R106" s="382">
        <f t="shared" si="19"/>
        <v>6.6339277946933439</v>
      </c>
      <c r="S106" s="382">
        <f t="shared" si="20"/>
        <v>40.599524950099799</v>
      </c>
      <c r="T106" s="382">
        <f t="shared" si="21"/>
        <v>4.7259000000000002</v>
      </c>
      <c r="U106" s="382"/>
      <c r="V106" s="383">
        <f t="shared" si="22"/>
        <v>0.12502783563933856</v>
      </c>
      <c r="W106" s="386" t="str">
        <f t="shared" si="23"/>
        <v>None to slight</v>
      </c>
    </row>
    <row r="107" spans="1:23" ht="16.2" thickBot="1" x14ac:dyDescent="0.35">
      <c r="A107" s="160">
        <v>1975</v>
      </c>
      <c r="B107" s="31">
        <v>1465.2525000000001</v>
      </c>
      <c r="C107" s="160">
        <v>10823</v>
      </c>
      <c r="D107" s="31">
        <v>7735.1980999999996</v>
      </c>
      <c r="E107" s="160">
        <v>1238</v>
      </c>
      <c r="F107" s="31">
        <v>746.51400000000001</v>
      </c>
      <c r="G107" s="160">
        <v>534.04</v>
      </c>
      <c r="H107" s="160"/>
      <c r="I107" s="160"/>
      <c r="J107" s="382">
        <f t="shared" si="13"/>
        <v>1.1336398976982094</v>
      </c>
      <c r="K107" s="382">
        <f t="shared" si="14"/>
        <v>6.3706630434782605</v>
      </c>
      <c r="L107" s="382">
        <f t="shared" si="15"/>
        <v>38.653571428571425</v>
      </c>
      <c r="M107" s="382">
        <f t="shared" si="16"/>
        <v>6.1441481481481475</v>
      </c>
      <c r="N107" s="238"/>
      <c r="O107" s="382">
        <f t="shared" si="12"/>
        <v>1.3460825039466566</v>
      </c>
      <c r="P107" s="382" t="str">
        <f t="shared" si="17"/>
        <v>Sol non sodique – Faible risque de dispersion, perméabilité normale</v>
      </c>
      <c r="Q107" s="382">
        <f t="shared" si="18"/>
        <v>1.1337764808184141</v>
      </c>
      <c r="R107" s="382">
        <f t="shared" si="19"/>
        <v>6.357111787733797</v>
      </c>
      <c r="S107" s="382">
        <f t="shared" si="20"/>
        <v>38.598792914171653</v>
      </c>
      <c r="T107" s="382">
        <f t="shared" si="21"/>
        <v>4.3825200000000004</v>
      </c>
      <c r="U107" s="382"/>
      <c r="V107" s="383">
        <f t="shared" si="22"/>
        <v>0.12595273514462399</v>
      </c>
      <c r="W107" s="386" t="str">
        <f t="shared" si="23"/>
        <v>None to slight</v>
      </c>
    </row>
    <row r="108" spans="1:23" ht="16.2" thickBot="1" x14ac:dyDescent="0.35">
      <c r="A108" s="160">
        <v>2703</v>
      </c>
      <c r="B108" s="31">
        <v>2005.3557000000001</v>
      </c>
      <c r="C108" s="160">
        <v>12093</v>
      </c>
      <c r="D108" s="31">
        <v>8642.8670999999995</v>
      </c>
      <c r="E108" s="160">
        <v>1729</v>
      </c>
      <c r="F108" s="31">
        <v>1042.587</v>
      </c>
      <c r="G108" s="160">
        <v>550.94000000000005</v>
      </c>
      <c r="H108" s="160"/>
      <c r="I108" s="160"/>
      <c r="J108" s="382">
        <f t="shared" si="13"/>
        <v>1.169514578005115</v>
      </c>
      <c r="K108" s="382">
        <f t="shared" si="14"/>
        <v>8.7189378260869574</v>
      </c>
      <c r="L108" s="382">
        <f t="shared" si="15"/>
        <v>43.189285714285717</v>
      </c>
      <c r="M108" s="382">
        <f t="shared" si="16"/>
        <v>8.5809629629629622</v>
      </c>
      <c r="N108" s="238"/>
      <c r="O108" s="382">
        <f t="shared" si="12"/>
        <v>1.7137144276329075</v>
      </c>
      <c r="P108" s="382" t="str">
        <f t="shared" si="17"/>
        <v>Sol non sodique – Faible risque de dispersion, perméabilité normale</v>
      </c>
      <c r="Q108" s="382">
        <f t="shared" si="18"/>
        <v>1.1696554833759591</v>
      </c>
      <c r="R108" s="382">
        <f t="shared" si="19"/>
        <v>8.700391474554154</v>
      </c>
      <c r="S108" s="382">
        <f t="shared" si="20"/>
        <v>43.12807934131736</v>
      </c>
      <c r="T108" s="382">
        <f t="shared" si="21"/>
        <v>6.12066</v>
      </c>
      <c r="U108" s="382"/>
      <c r="V108" s="383">
        <f t="shared" si="22"/>
        <v>0.14716796502747048</v>
      </c>
      <c r="W108" s="386" t="str">
        <f t="shared" si="23"/>
        <v>None to slight</v>
      </c>
    </row>
    <row r="109" spans="1:23" ht="16.2" thickBot="1" x14ac:dyDescent="0.35">
      <c r="A109" s="160">
        <v>2296</v>
      </c>
      <c r="B109" s="31">
        <v>1703.4023999999999</v>
      </c>
      <c r="C109" s="160">
        <v>11274</v>
      </c>
      <c r="D109" s="31">
        <v>8057.5277999999998</v>
      </c>
      <c r="E109" s="160">
        <v>1380</v>
      </c>
      <c r="F109" s="31">
        <v>832.14</v>
      </c>
      <c r="G109" s="160">
        <v>506.85</v>
      </c>
      <c r="H109" s="160"/>
      <c r="I109" s="160"/>
      <c r="J109" s="382">
        <f t="shared" si="13"/>
        <v>1.0759219948849106</v>
      </c>
      <c r="K109" s="382">
        <f t="shared" si="14"/>
        <v>7.406097391304348</v>
      </c>
      <c r="L109" s="382">
        <f t="shared" si="15"/>
        <v>40.26428571428572</v>
      </c>
      <c r="M109" s="382">
        <f t="shared" si="16"/>
        <v>6.8488888888888884</v>
      </c>
      <c r="N109" s="238"/>
      <c r="O109" s="382">
        <f t="shared" si="12"/>
        <v>1.5259251536864789</v>
      </c>
      <c r="P109" s="382" t="str">
        <f t="shared" si="17"/>
        <v>Sol non sodique – Faible risque de dispersion, perméabilité normale</v>
      </c>
      <c r="Q109" s="382">
        <f t="shared" si="18"/>
        <v>1.0760516240409206</v>
      </c>
      <c r="R109" s="382">
        <f t="shared" si="19"/>
        <v>7.3903436276642012</v>
      </c>
      <c r="S109" s="382">
        <f t="shared" si="20"/>
        <v>40.207224550898204</v>
      </c>
      <c r="T109" s="382">
        <f t="shared" si="21"/>
        <v>4.8852000000000002</v>
      </c>
      <c r="U109" s="382"/>
      <c r="V109" s="383">
        <f t="shared" si="22"/>
        <v>0.13798555783906538</v>
      </c>
      <c r="W109" s="386" t="str">
        <f t="shared" si="23"/>
        <v>None to slight</v>
      </c>
    </row>
    <row r="110" spans="1:23" ht="16.2" thickBot="1" x14ac:dyDescent="0.35">
      <c r="A110" s="160">
        <v>2732</v>
      </c>
      <c r="B110" s="31">
        <v>2026.8707999999999</v>
      </c>
      <c r="C110" s="160">
        <v>12690</v>
      </c>
      <c r="D110" s="31">
        <v>9069.5429999999997</v>
      </c>
      <c r="E110" s="160">
        <v>1739</v>
      </c>
      <c r="F110" s="31">
        <v>1048.617</v>
      </c>
      <c r="G110" s="160">
        <v>537.94000000000005</v>
      </c>
      <c r="H110" s="160"/>
      <c r="I110" s="160"/>
      <c r="J110" s="382">
        <f t="shared" si="13"/>
        <v>1.1419186700767263</v>
      </c>
      <c r="K110" s="382">
        <f t="shared" si="14"/>
        <v>8.8124817391304333</v>
      </c>
      <c r="L110" s="382">
        <f t="shared" si="15"/>
        <v>45.321428571428569</v>
      </c>
      <c r="M110" s="382">
        <f t="shared" si="16"/>
        <v>8.6305925925925919</v>
      </c>
      <c r="N110" s="238"/>
      <c r="O110" s="382">
        <f t="shared" si="12"/>
        <v>1.6967168328183402</v>
      </c>
      <c r="P110" s="382" t="str">
        <f t="shared" si="17"/>
        <v>Sol non sodique – Faible risque de dispersion, perméabilité normale</v>
      </c>
      <c r="Q110" s="382">
        <f t="shared" si="18"/>
        <v>1.1420562506393861</v>
      </c>
      <c r="R110" s="382">
        <f t="shared" si="19"/>
        <v>8.7937364071335367</v>
      </c>
      <c r="S110" s="382">
        <f t="shared" si="20"/>
        <v>45.257200598802392</v>
      </c>
      <c r="T110" s="382">
        <f t="shared" si="21"/>
        <v>6.1560600000000001</v>
      </c>
      <c r="U110" s="382"/>
      <c r="V110" s="383">
        <f t="shared" si="22"/>
        <v>0.14333939874110502</v>
      </c>
      <c r="W110" s="386" t="str">
        <f t="shared" si="23"/>
        <v>None to slight</v>
      </c>
    </row>
    <row r="111" spans="1:23" ht="16.2" thickBot="1" x14ac:dyDescent="0.35">
      <c r="A111" s="160">
        <v>2440</v>
      </c>
      <c r="B111" s="31">
        <v>1810.2360000000001</v>
      </c>
      <c r="C111" s="160">
        <v>12149</v>
      </c>
      <c r="D111" s="31">
        <v>8682.8902999999991</v>
      </c>
      <c r="E111" s="160">
        <v>1606</v>
      </c>
      <c r="F111" s="31">
        <v>968.41800000000001</v>
      </c>
      <c r="G111" s="160">
        <v>538.76</v>
      </c>
      <c r="H111" s="160"/>
      <c r="I111" s="160"/>
      <c r="J111" s="382">
        <f t="shared" si="13"/>
        <v>1.143659335038363</v>
      </c>
      <c r="K111" s="382">
        <f t="shared" si="14"/>
        <v>7.8705913043478271</v>
      </c>
      <c r="L111" s="382">
        <f t="shared" si="15"/>
        <v>43.38928571428572</v>
      </c>
      <c r="M111" s="382">
        <f t="shared" si="16"/>
        <v>7.970518518518519</v>
      </c>
      <c r="N111" s="238"/>
      <c r="O111" s="382">
        <f t="shared" si="12"/>
        <v>1.5531402668287519</v>
      </c>
      <c r="P111" s="382" t="str">
        <f t="shared" si="17"/>
        <v>Sol non sodique – Faible risque de dispersion, perméabilité normale</v>
      </c>
      <c r="Q111" s="382">
        <f t="shared" si="18"/>
        <v>1.143797125319693</v>
      </c>
      <c r="R111" s="382">
        <f t="shared" si="19"/>
        <v>7.8538494997825135</v>
      </c>
      <c r="S111" s="382">
        <f t="shared" si="20"/>
        <v>43.327795908183624</v>
      </c>
      <c r="T111" s="382">
        <f t="shared" si="21"/>
        <v>5.6852400000000003</v>
      </c>
      <c r="U111" s="382"/>
      <c r="V111" s="383">
        <f t="shared" si="22"/>
        <v>0.13538626261251227</v>
      </c>
      <c r="W111" s="386" t="str">
        <f t="shared" si="23"/>
        <v>None to slight</v>
      </c>
    </row>
    <row r="112" spans="1:23" ht="16.2" thickBot="1" x14ac:dyDescent="0.35">
      <c r="A112" s="160">
        <v>3359</v>
      </c>
      <c r="B112" s="31">
        <v>2492.0421000000001</v>
      </c>
      <c r="C112" s="160">
        <v>12971</v>
      </c>
      <c r="D112" s="31">
        <v>9270.3737000000001</v>
      </c>
      <c r="E112" s="160">
        <v>1906</v>
      </c>
      <c r="F112" s="31">
        <v>1149.318</v>
      </c>
      <c r="G112" s="160">
        <v>542.04</v>
      </c>
      <c r="H112" s="160"/>
      <c r="I112" s="160"/>
      <c r="J112" s="382">
        <f t="shared" si="13"/>
        <v>1.1506219948849103</v>
      </c>
      <c r="K112" s="382">
        <f t="shared" si="14"/>
        <v>10.834965652173913</v>
      </c>
      <c r="L112" s="382">
        <f t="shared" si="15"/>
        <v>46.325000000000003</v>
      </c>
      <c r="M112" s="382">
        <f t="shared" si="16"/>
        <v>9.4594074074074062</v>
      </c>
      <c r="N112" s="238"/>
      <c r="O112" s="382">
        <f t="shared" si="12"/>
        <v>2.0515689842530271</v>
      </c>
      <c r="P112" s="382" t="str">
        <f t="shared" si="17"/>
        <v>Sol non sodique – Faible risque de dispersion, perméabilité normale</v>
      </c>
      <c r="Q112" s="382">
        <f t="shared" si="18"/>
        <v>1.1507606240409205</v>
      </c>
      <c r="R112" s="382">
        <f t="shared" si="19"/>
        <v>10.811918225315354</v>
      </c>
      <c r="S112" s="382">
        <f t="shared" si="20"/>
        <v>46.2593498003992</v>
      </c>
      <c r="T112" s="382">
        <f t="shared" si="21"/>
        <v>6.7472400000000006</v>
      </c>
      <c r="U112" s="382"/>
      <c r="V112" s="383">
        <f t="shared" si="22"/>
        <v>0.16641588323244957</v>
      </c>
      <c r="W112" s="386" t="str">
        <f t="shared" si="23"/>
        <v>Light to moderate</v>
      </c>
    </row>
    <row r="113" spans="1:23" ht="16.2" thickBot="1" x14ac:dyDescent="0.35">
      <c r="A113" s="160">
        <v>2779</v>
      </c>
      <c r="B113" s="31">
        <v>2061.7401</v>
      </c>
      <c r="C113" s="160">
        <v>12235</v>
      </c>
      <c r="D113" s="31">
        <v>8744.3544999999995</v>
      </c>
      <c r="E113" s="160">
        <v>1719</v>
      </c>
      <c r="F113" s="31">
        <v>1036.557</v>
      </c>
      <c r="G113" s="160">
        <v>517.02</v>
      </c>
      <c r="H113" s="160"/>
      <c r="I113" s="160"/>
      <c r="J113" s="382">
        <f t="shared" si="13"/>
        <v>1.0975104859335036</v>
      </c>
      <c r="K113" s="382">
        <f t="shared" si="14"/>
        <v>8.9640873913043482</v>
      </c>
      <c r="L113" s="382">
        <f t="shared" si="15"/>
        <v>43.696428571428569</v>
      </c>
      <c r="M113" s="382">
        <f t="shared" si="16"/>
        <v>8.5313333333333325</v>
      </c>
      <c r="N113" s="238"/>
      <c r="O113" s="382">
        <f t="shared" si="12"/>
        <v>1.7541647188193383</v>
      </c>
      <c r="P113" s="382" t="str">
        <f t="shared" si="17"/>
        <v>Sol non sodique – Faible risque de dispersion, perméabilité normale</v>
      </c>
      <c r="Q113" s="382">
        <f t="shared" si="18"/>
        <v>1.0976427161125319</v>
      </c>
      <c r="R113" s="382">
        <f t="shared" si="19"/>
        <v>8.9450195737277074</v>
      </c>
      <c r="S113" s="382">
        <f t="shared" si="20"/>
        <v>43.634503493013966</v>
      </c>
      <c r="T113" s="382">
        <f t="shared" si="21"/>
        <v>6.0852599999999999</v>
      </c>
      <c r="U113" s="382"/>
      <c r="V113" s="383">
        <f t="shared" si="22"/>
        <v>0.14967631344532917</v>
      </c>
      <c r="W113" s="386" t="str">
        <f t="shared" si="23"/>
        <v>None to slight</v>
      </c>
    </row>
    <row r="114" spans="1:23" ht="16.2" thickBot="1" x14ac:dyDescent="0.35">
      <c r="A114" s="160">
        <v>1594</v>
      </c>
      <c r="B114" s="31">
        <v>1182.5886</v>
      </c>
      <c r="C114" s="160">
        <v>11463</v>
      </c>
      <c r="D114" s="31">
        <v>8192.6061000000009</v>
      </c>
      <c r="E114" s="160">
        <v>1241</v>
      </c>
      <c r="F114" s="31">
        <v>748.32299999999998</v>
      </c>
      <c r="G114" s="160">
        <v>521.44000000000005</v>
      </c>
      <c r="H114" s="160"/>
      <c r="I114" s="160"/>
      <c r="J114" s="382">
        <f t="shared" si="13"/>
        <v>1.1068930946291562</v>
      </c>
      <c r="K114" s="382">
        <f t="shared" si="14"/>
        <v>5.1416895652173915</v>
      </c>
      <c r="L114" s="382">
        <f t="shared" si="15"/>
        <v>40.939285714285717</v>
      </c>
      <c r="M114" s="382">
        <f t="shared" si="16"/>
        <v>6.1590370370370371</v>
      </c>
      <c r="N114" s="238"/>
      <c r="O114" s="382">
        <f t="shared" si="12"/>
        <v>1.0595418841210862</v>
      </c>
      <c r="P114" s="382" t="str">
        <f t="shared" si="17"/>
        <v>Sol non sodique – Faible risque de dispersion, perméabilité normale</v>
      </c>
      <c r="Q114" s="382">
        <f t="shared" si="18"/>
        <v>1.1070264552429667</v>
      </c>
      <c r="R114" s="382">
        <f t="shared" si="19"/>
        <v>5.1307525010874286</v>
      </c>
      <c r="S114" s="382">
        <f t="shared" si="20"/>
        <v>40.88126796407186</v>
      </c>
      <c r="T114" s="382">
        <f t="shared" si="21"/>
        <v>4.3931399999999998</v>
      </c>
      <c r="U114" s="382"/>
      <c r="V114" s="383">
        <f t="shared" si="22"/>
        <v>9.9602692252526145E-2</v>
      </c>
      <c r="W114" s="386" t="str">
        <f t="shared" si="23"/>
        <v>None to slight</v>
      </c>
    </row>
    <row r="115" spans="1:23" ht="16.2" thickBot="1" x14ac:dyDescent="0.35">
      <c r="A115" s="191">
        <v>52</v>
      </c>
      <c r="B115" s="31">
        <v>38.578800000000001</v>
      </c>
      <c r="C115" s="191">
        <v>4843</v>
      </c>
      <c r="D115" s="31">
        <v>3461.2921000000001</v>
      </c>
      <c r="E115" s="191">
        <v>1243</v>
      </c>
      <c r="F115" s="31">
        <v>749.529</v>
      </c>
      <c r="G115" s="191">
        <v>1210.02</v>
      </c>
      <c r="H115" s="191"/>
      <c r="I115" s="191"/>
      <c r="J115" s="382">
        <f t="shared" si="13"/>
        <v>2.5685846547314575</v>
      </c>
      <c r="K115" s="382">
        <f t="shared" si="14"/>
        <v>0.16773391304347826</v>
      </c>
      <c r="L115" s="382">
        <f t="shared" si="15"/>
        <v>17.296428571428571</v>
      </c>
      <c r="M115" s="382">
        <f t="shared" si="16"/>
        <v>6.1689629629629623</v>
      </c>
      <c r="N115" s="238"/>
      <c r="O115" s="382">
        <f t="shared" si="12"/>
        <v>4.8969083286323691E-2</v>
      </c>
      <c r="P115" s="382" t="str">
        <f t="shared" si="17"/>
        <v>Sol non sodique – Faible risque de dispersion, perméabilité normale</v>
      </c>
      <c r="Q115" s="382">
        <f t="shared" si="18"/>
        <v>2.5688941227621482</v>
      </c>
      <c r="R115" s="382">
        <f t="shared" si="19"/>
        <v>0.16737712048716832</v>
      </c>
      <c r="S115" s="382">
        <f t="shared" si="20"/>
        <v>17.271916666666666</v>
      </c>
      <c r="T115" s="382">
        <f t="shared" si="21"/>
        <v>4.40022</v>
      </c>
      <c r="U115" s="382"/>
      <c r="V115" s="383">
        <f t="shared" si="22"/>
        <v>6.8573551009515413E-3</v>
      </c>
      <c r="W115" s="386" t="str">
        <f t="shared" si="23"/>
        <v>None to slight</v>
      </c>
    </row>
    <row r="116" spans="1:23" ht="16.2" thickBot="1" x14ac:dyDescent="0.35">
      <c r="A116" s="177">
        <v>334</v>
      </c>
      <c r="B116" s="31">
        <v>247.7946</v>
      </c>
      <c r="C116" s="177">
        <v>4732</v>
      </c>
      <c r="D116" s="31">
        <v>3381.9603999999999</v>
      </c>
      <c r="E116" s="177">
        <v>1157</v>
      </c>
      <c r="F116" s="31">
        <v>697.67099999999994</v>
      </c>
      <c r="G116" s="191">
        <v>1040.8900000000001</v>
      </c>
      <c r="H116" s="191"/>
      <c r="I116" s="191"/>
      <c r="J116" s="382">
        <f t="shared" si="13"/>
        <v>2.2095618925831202</v>
      </c>
      <c r="K116" s="382">
        <f t="shared" si="14"/>
        <v>1.0773678260869566</v>
      </c>
      <c r="L116" s="382">
        <f t="shared" si="15"/>
        <v>16.899999999999999</v>
      </c>
      <c r="M116" s="382">
        <f t="shared" si="16"/>
        <v>5.7421481481481482</v>
      </c>
      <c r="N116" s="238"/>
      <c r="O116" s="382">
        <f t="shared" si="12"/>
        <v>0.32019915823213996</v>
      </c>
      <c r="P116" s="382" t="str">
        <f t="shared" si="17"/>
        <v>Sol non sodique – Faible risque de dispersion, perméabilité normale</v>
      </c>
      <c r="Q116" s="382">
        <f t="shared" si="18"/>
        <v>2.2098281048593353</v>
      </c>
      <c r="R116" s="382">
        <f t="shared" si="19"/>
        <v>1.0750761200521965</v>
      </c>
      <c r="S116" s="382">
        <f t="shared" si="20"/>
        <v>16.8760499001996</v>
      </c>
      <c r="T116" s="382">
        <f t="shared" si="21"/>
        <v>4.0957800000000004</v>
      </c>
      <c r="U116" s="382"/>
      <c r="V116" s="383">
        <f t="shared" si="22"/>
        <v>4.4320728194784179E-2</v>
      </c>
      <c r="W116" s="386" t="str">
        <f t="shared" si="23"/>
        <v>None to slight</v>
      </c>
    </row>
    <row r="117" spans="1:23" ht="16.2" thickBot="1" x14ac:dyDescent="0.35">
      <c r="A117" s="191">
        <v>345</v>
      </c>
      <c r="B117" s="31">
        <v>255.9555</v>
      </c>
      <c r="C117" s="191">
        <v>3769</v>
      </c>
      <c r="D117" s="31">
        <v>2693.7042999999999</v>
      </c>
      <c r="E117" s="191">
        <v>1203</v>
      </c>
      <c r="F117" s="31">
        <v>725.40899999999999</v>
      </c>
      <c r="G117" s="191">
        <v>913.09</v>
      </c>
      <c r="H117" s="191"/>
      <c r="I117" s="191"/>
      <c r="J117" s="382">
        <f t="shared" si="13"/>
        <v>1.9382728900255752</v>
      </c>
      <c r="K117" s="382">
        <f t="shared" si="14"/>
        <v>1.1128499999999999</v>
      </c>
      <c r="L117" s="382">
        <f t="shared" si="15"/>
        <v>13.460714285714285</v>
      </c>
      <c r="M117" s="382">
        <f t="shared" si="16"/>
        <v>5.9704444444444436</v>
      </c>
      <c r="N117" s="238"/>
      <c r="O117" s="382">
        <f t="shared" si="12"/>
        <v>0.35702800093987014</v>
      </c>
      <c r="P117" s="382" t="str">
        <f t="shared" si="17"/>
        <v>Sol non sodique – Faible risque de dispersion, perméabilité normale</v>
      </c>
      <c r="Q117" s="382">
        <f t="shared" si="18"/>
        <v>1.9385064168797954</v>
      </c>
      <c r="R117" s="382">
        <f t="shared" si="19"/>
        <v>1.1104828186167899</v>
      </c>
      <c r="S117" s="382">
        <f t="shared" si="20"/>
        <v>13.441638223552893</v>
      </c>
      <c r="T117" s="382">
        <f t="shared" si="21"/>
        <v>4.2586200000000005</v>
      </c>
      <c r="U117" s="382"/>
      <c r="V117" s="383">
        <f t="shared" si="22"/>
        <v>5.3519185252787045E-2</v>
      </c>
      <c r="W117" s="386" t="str">
        <f t="shared" si="23"/>
        <v>None to slight</v>
      </c>
    </row>
    <row r="118" spans="1:23" ht="16.2" thickBot="1" x14ac:dyDescent="0.35">
      <c r="A118" s="191">
        <v>397</v>
      </c>
      <c r="B118" s="31">
        <v>294.53429999999997</v>
      </c>
      <c r="C118" s="191">
        <v>4088</v>
      </c>
      <c r="D118" s="31">
        <v>2921.6936000000001</v>
      </c>
      <c r="E118" s="191">
        <v>1216</v>
      </c>
      <c r="F118" s="31">
        <v>733.24799999999993</v>
      </c>
      <c r="G118" s="191">
        <v>527.66999999999996</v>
      </c>
      <c r="H118" s="191"/>
      <c r="I118" s="191"/>
      <c r="J118" s="382">
        <f t="shared" si="13"/>
        <v>1.120117902813299</v>
      </c>
      <c r="K118" s="382">
        <f t="shared" si="14"/>
        <v>1.2805839130434782</v>
      </c>
      <c r="L118" s="382">
        <f t="shared" si="15"/>
        <v>14.6</v>
      </c>
      <c r="M118" s="382">
        <f t="shared" si="16"/>
        <v>6.0349629629629629</v>
      </c>
      <c r="N118" s="238"/>
      <c r="O118" s="382">
        <f t="shared" si="12"/>
        <v>0.39867701029839642</v>
      </c>
      <c r="P118" s="382" t="str">
        <f t="shared" si="17"/>
        <v>Sol non sodique – Faible risque de dispersion, perméabilité normale</v>
      </c>
      <c r="Q118" s="382">
        <f t="shared" si="18"/>
        <v>1.1202528567774934</v>
      </c>
      <c r="R118" s="382">
        <f t="shared" si="19"/>
        <v>1.277859939103958</v>
      </c>
      <c r="S118" s="382">
        <f t="shared" si="20"/>
        <v>14.579309381237525</v>
      </c>
      <c r="T118" s="382">
        <f t="shared" si="21"/>
        <v>4.30464</v>
      </c>
      <c r="U118" s="382"/>
      <c r="V118" s="383">
        <f t="shared" si="22"/>
        <v>6.0043990496269947E-2</v>
      </c>
      <c r="W118" s="386" t="str">
        <f t="shared" si="23"/>
        <v>None to slight</v>
      </c>
    </row>
    <row r="119" spans="1:23" ht="16.2" thickBot="1" x14ac:dyDescent="0.35">
      <c r="A119" s="191">
        <v>1009</v>
      </c>
      <c r="B119" s="31">
        <v>748.57709999999997</v>
      </c>
      <c r="C119" s="191">
        <v>10736</v>
      </c>
      <c r="D119" s="31">
        <v>7673.0191999999997</v>
      </c>
      <c r="E119" s="191">
        <v>1897</v>
      </c>
      <c r="F119" s="31">
        <v>1143.8910000000001</v>
      </c>
      <c r="G119" s="191">
        <v>793.4</v>
      </c>
      <c r="H119" s="191"/>
      <c r="I119" s="191"/>
      <c r="J119" s="382">
        <f t="shared" si="13"/>
        <v>1.6841994884910485</v>
      </c>
      <c r="K119" s="382">
        <f t="shared" si="14"/>
        <v>3.2546830434782605</v>
      </c>
      <c r="L119" s="382">
        <f t="shared" si="15"/>
        <v>38.342857142857142</v>
      </c>
      <c r="M119" s="382">
        <f t="shared" si="16"/>
        <v>9.4147407407407417</v>
      </c>
      <c r="N119" s="238"/>
      <c r="O119" s="382">
        <f t="shared" si="12"/>
        <v>0.66604329689549557</v>
      </c>
      <c r="P119" s="382" t="str">
        <f t="shared" si="17"/>
        <v>Sol non sodique – Faible risque de dispersion, perméabilité normale</v>
      </c>
      <c r="Q119" s="382">
        <f t="shared" si="18"/>
        <v>1.6844024040920715</v>
      </c>
      <c r="R119" s="382">
        <f t="shared" si="19"/>
        <v>3.2477598956067855</v>
      </c>
      <c r="S119" s="382">
        <f t="shared" si="20"/>
        <v>38.288518962075848</v>
      </c>
      <c r="T119" s="382">
        <f t="shared" si="21"/>
        <v>6.7153800000000006</v>
      </c>
      <c r="U119" s="382"/>
      <c r="V119" s="383">
        <f t="shared" si="22"/>
        <v>6.5038367335008382E-2</v>
      </c>
      <c r="W119" s="386" t="str">
        <f t="shared" si="23"/>
        <v>None to slight</v>
      </c>
    </row>
    <row r="120" spans="1:23" ht="16.2" thickBot="1" x14ac:dyDescent="0.35">
      <c r="A120" s="177">
        <v>689</v>
      </c>
      <c r="B120" s="31">
        <v>511.16910000000001</v>
      </c>
      <c r="C120" s="177">
        <v>11334</v>
      </c>
      <c r="D120" s="31">
        <v>8100.4098000000004</v>
      </c>
      <c r="E120" s="177">
        <v>1238</v>
      </c>
      <c r="F120" s="31">
        <v>746.51400000000001</v>
      </c>
      <c r="G120" s="191">
        <v>614.91999999999996</v>
      </c>
      <c r="H120" s="191"/>
      <c r="I120" s="191"/>
      <c r="J120" s="382">
        <f t="shared" si="13"/>
        <v>1.3053289002557544</v>
      </c>
      <c r="K120" s="382">
        <f t="shared" si="14"/>
        <v>2.2224743478260871</v>
      </c>
      <c r="L120" s="382">
        <f t="shared" si="15"/>
        <v>40.478571428571428</v>
      </c>
      <c r="M120" s="382">
        <f t="shared" si="16"/>
        <v>6.1441481481481475</v>
      </c>
      <c r="N120" s="238"/>
      <c r="O120" s="382">
        <f t="shared" si="12"/>
        <v>0.46031269584753726</v>
      </c>
      <c r="P120" s="382" t="str">
        <f t="shared" si="17"/>
        <v>Sol non sodique – Faible risque de dispersion, perméabilité normale</v>
      </c>
      <c r="Q120" s="382">
        <f t="shared" si="18"/>
        <v>1.3054861687979538</v>
      </c>
      <c r="R120" s="382">
        <f t="shared" si="19"/>
        <v>2.2177468464549803</v>
      </c>
      <c r="S120" s="382">
        <f t="shared" si="20"/>
        <v>40.421206586826351</v>
      </c>
      <c r="T120" s="382">
        <f t="shared" si="21"/>
        <v>4.3825200000000004</v>
      </c>
      <c r="U120" s="382"/>
      <c r="V120" s="383">
        <f t="shared" si="22"/>
        <v>4.5890469102872367E-2</v>
      </c>
      <c r="W120" s="386" t="str">
        <f t="shared" si="23"/>
        <v>None to slight</v>
      </c>
    </row>
    <row r="121" spans="1:23" ht="16.2" thickBot="1" x14ac:dyDescent="0.35">
      <c r="A121" s="191">
        <v>125</v>
      </c>
      <c r="B121" s="31">
        <v>92.737499999999997</v>
      </c>
      <c r="C121" s="191">
        <v>11097</v>
      </c>
      <c r="D121" s="31">
        <v>7931.0258999999996</v>
      </c>
      <c r="E121" s="191">
        <v>1336</v>
      </c>
      <c r="F121" s="31">
        <v>805.60799999999995</v>
      </c>
      <c r="G121" s="191">
        <v>1314.47</v>
      </c>
      <c r="H121" s="191"/>
      <c r="I121" s="191"/>
      <c r="J121" s="382">
        <f t="shared" si="13"/>
        <v>2.7903071611253196</v>
      </c>
      <c r="K121" s="382">
        <f t="shared" si="14"/>
        <v>0.40320652173913041</v>
      </c>
      <c r="L121" s="382">
        <f t="shared" si="15"/>
        <v>39.632142857142853</v>
      </c>
      <c r="M121" s="382">
        <f t="shared" si="16"/>
        <v>6.6305185185185183</v>
      </c>
      <c r="N121" s="238"/>
      <c r="O121" s="382">
        <f t="shared" si="12"/>
        <v>8.3835361118475407E-2</v>
      </c>
      <c r="P121" s="382" t="str">
        <f t="shared" si="17"/>
        <v>Sol non sodique – Faible risque de dispersion, perméabilité normale</v>
      </c>
      <c r="Q121" s="382">
        <f t="shared" si="18"/>
        <v>2.7906433427109971</v>
      </c>
      <c r="R121" s="382">
        <f t="shared" si="19"/>
        <v>0.40234884732492388</v>
      </c>
      <c r="S121" s="382">
        <f t="shared" si="20"/>
        <v>39.575977544910174</v>
      </c>
      <c r="T121" s="382">
        <f t="shared" si="21"/>
        <v>4.7294400000000003</v>
      </c>
      <c r="U121" s="382"/>
      <c r="V121" s="383">
        <f t="shared" si="22"/>
        <v>8.4707856446171285E-3</v>
      </c>
      <c r="W121" s="386" t="str">
        <f t="shared" si="23"/>
        <v>None to slight</v>
      </c>
    </row>
    <row r="122" spans="1:23" ht="16.2" thickBot="1" x14ac:dyDescent="0.35">
      <c r="A122" s="191">
        <v>335</v>
      </c>
      <c r="B122" s="31">
        <v>248.53649999999999</v>
      </c>
      <c r="C122" s="191">
        <v>11270</v>
      </c>
      <c r="D122" s="31">
        <v>8054.6689999999999</v>
      </c>
      <c r="E122" s="191">
        <v>1338</v>
      </c>
      <c r="F122" s="31">
        <v>806.81399999999996</v>
      </c>
      <c r="G122" s="191">
        <v>740.5</v>
      </c>
      <c r="H122" s="191"/>
      <c r="I122" s="191"/>
      <c r="J122" s="382">
        <f t="shared" si="13"/>
        <v>1.5719053708439898</v>
      </c>
      <c r="K122" s="382">
        <f t="shared" si="14"/>
        <v>1.0805934782608695</v>
      </c>
      <c r="L122" s="382">
        <f t="shared" si="15"/>
        <v>40.25</v>
      </c>
      <c r="M122" s="382">
        <f t="shared" si="16"/>
        <v>6.6404444444444444</v>
      </c>
      <c r="N122" s="238"/>
      <c r="O122" s="382">
        <f t="shared" si="12"/>
        <v>0.22316966697559434</v>
      </c>
      <c r="P122" s="382" t="str">
        <f t="shared" si="17"/>
        <v>Sol non sodique – Faible risque de dispersion, perméabilité normale</v>
      </c>
      <c r="Q122" s="382">
        <f t="shared" si="18"/>
        <v>1.572094757033248</v>
      </c>
      <c r="R122" s="382">
        <f t="shared" si="19"/>
        <v>1.078294910830796</v>
      </c>
      <c r="S122" s="382">
        <f t="shared" si="20"/>
        <v>40.192959081836328</v>
      </c>
      <c r="T122" s="382">
        <f t="shared" si="21"/>
        <v>4.7365200000000005</v>
      </c>
      <c r="U122" s="382"/>
      <c r="V122" s="383">
        <f t="shared" si="22"/>
        <v>2.2662839120118138E-2</v>
      </c>
      <c r="W122" s="386" t="str">
        <f t="shared" si="23"/>
        <v>None to slight</v>
      </c>
    </row>
    <row r="123" spans="1:23" ht="16.2" thickBot="1" x14ac:dyDescent="0.35">
      <c r="A123" s="191">
        <v>170</v>
      </c>
      <c r="B123" s="31">
        <v>126.123</v>
      </c>
      <c r="C123" s="191">
        <v>12035</v>
      </c>
      <c r="D123" s="31">
        <v>8601.4145000000008</v>
      </c>
      <c r="E123" s="191">
        <v>1150</v>
      </c>
      <c r="F123" s="31">
        <v>693.44999999999993</v>
      </c>
      <c r="G123" s="191">
        <v>988.68</v>
      </c>
      <c r="H123" s="191"/>
      <c r="I123" s="191"/>
      <c r="J123" s="382">
        <f t="shared" si="13"/>
        <v>2.0987324808184145</v>
      </c>
      <c r="K123" s="382">
        <f t="shared" si="14"/>
        <v>0.54836086956521746</v>
      </c>
      <c r="L123" s="382">
        <f t="shared" si="15"/>
        <v>42.982142857142854</v>
      </c>
      <c r="M123" s="382">
        <f t="shared" si="16"/>
        <v>5.7074074074074073</v>
      </c>
      <c r="N123" s="238"/>
      <c r="O123" s="382">
        <f t="shared" si="12"/>
        <v>0.11113825478563652</v>
      </c>
      <c r="P123" s="382" t="str">
        <f t="shared" si="17"/>
        <v>Sol non sodique – Faible risque de dispersion, perméabilité normale</v>
      </c>
      <c r="Q123" s="382">
        <f t="shared" si="18"/>
        <v>2.0989853401534524</v>
      </c>
      <c r="R123" s="382">
        <f t="shared" si="19"/>
        <v>0.54719443236189647</v>
      </c>
      <c r="S123" s="382">
        <f t="shared" si="20"/>
        <v>42.921230039920161</v>
      </c>
      <c r="T123" s="382">
        <f t="shared" si="21"/>
        <v>4.0710000000000006</v>
      </c>
      <c r="U123" s="382"/>
      <c r="V123" s="383">
        <f t="shared" si="22"/>
        <v>1.102360922578975E-2</v>
      </c>
      <c r="W123" s="386" t="str">
        <f t="shared" si="23"/>
        <v>None to slight</v>
      </c>
    </row>
    <row r="124" spans="1:23" ht="16.2" thickBot="1" x14ac:dyDescent="0.35">
      <c r="A124" s="177">
        <v>578</v>
      </c>
      <c r="B124" s="31">
        <v>428.81819999999999</v>
      </c>
      <c r="C124" s="177">
        <v>12310</v>
      </c>
      <c r="D124" s="31">
        <v>8797.9570000000003</v>
      </c>
      <c r="E124" s="177">
        <v>1371</v>
      </c>
      <c r="F124" s="31">
        <v>826.71299999999997</v>
      </c>
      <c r="G124" s="191">
        <v>364.14</v>
      </c>
      <c r="H124" s="191"/>
      <c r="I124" s="191"/>
      <c r="J124" s="382">
        <f t="shared" si="13"/>
        <v>0.77298260869565216</v>
      </c>
      <c r="K124" s="382">
        <f t="shared" si="14"/>
        <v>1.8644269565217391</v>
      </c>
      <c r="L124" s="382">
        <f t="shared" si="15"/>
        <v>43.964285714285715</v>
      </c>
      <c r="M124" s="382">
        <f t="shared" si="16"/>
        <v>6.8042222222222222</v>
      </c>
      <c r="N124" s="238"/>
      <c r="O124" s="382">
        <f t="shared" si="12"/>
        <v>0.37005235413958198</v>
      </c>
      <c r="P124" s="382" t="str">
        <f t="shared" si="17"/>
        <v>Sol non sodique – Faible risque de dispersion, perméabilité normale</v>
      </c>
      <c r="Q124" s="382">
        <f t="shared" si="18"/>
        <v>0.7730757391304347</v>
      </c>
      <c r="R124" s="382">
        <f t="shared" si="19"/>
        <v>1.8604610700304478</v>
      </c>
      <c r="S124" s="382">
        <f t="shared" si="20"/>
        <v>43.901981037924152</v>
      </c>
      <c r="T124" s="382">
        <f t="shared" si="21"/>
        <v>4.8533400000000002</v>
      </c>
      <c r="U124" s="382"/>
      <c r="V124" s="383">
        <f t="shared" si="22"/>
        <v>3.6203588637181199E-2</v>
      </c>
      <c r="W124" s="386" t="str">
        <f t="shared" si="23"/>
        <v>None to slight</v>
      </c>
    </row>
    <row r="125" spans="1:23" ht="16.2" thickBot="1" x14ac:dyDescent="0.35">
      <c r="A125" s="177">
        <v>40</v>
      </c>
      <c r="B125" s="31">
        <v>29.676000000000002</v>
      </c>
      <c r="C125" s="177">
        <v>12409</v>
      </c>
      <c r="D125" s="31">
        <v>8868.7122999999992</v>
      </c>
      <c r="E125" s="177">
        <v>978</v>
      </c>
      <c r="F125" s="31">
        <v>589.73400000000004</v>
      </c>
      <c r="G125" s="191">
        <v>1112.04</v>
      </c>
      <c r="H125" s="191"/>
      <c r="I125" s="191"/>
      <c r="J125" s="382">
        <f t="shared" si="13"/>
        <v>2.3605964194373401</v>
      </c>
      <c r="K125" s="382">
        <f t="shared" si="14"/>
        <v>0.12902608695652173</v>
      </c>
      <c r="L125" s="382">
        <f t="shared" si="15"/>
        <v>44.317857142857143</v>
      </c>
      <c r="M125" s="382">
        <f t="shared" si="16"/>
        <v>4.8537777777777782</v>
      </c>
      <c r="N125" s="238"/>
      <c r="O125" s="382">
        <f t="shared" si="12"/>
        <v>2.6021672097932297E-2</v>
      </c>
      <c r="P125" s="382" t="str">
        <f t="shared" si="17"/>
        <v>Sol non sodique – Faible risque de dispersion, perméabilité normale</v>
      </c>
      <c r="Q125" s="382">
        <f t="shared" si="18"/>
        <v>2.3608808286445009</v>
      </c>
      <c r="R125" s="382">
        <f t="shared" si="19"/>
        <v>0.12875163114397564</v>
      </c>
      <c r="S125" s="382">
        <f t="shared" si="20"/>
        <v>44.255051397205584</v>
      </c>
      <c r="T125" s="382">
        <f t="shared" si="21"/>
        <v>3.4621200000000001</v>
      </c>
      <c r="U125" s="382"/>
      <c r="V125" s="383">
        <f t="shared" si="22"/>
        <v>2.564425959292366E-3</v>
      </c>
      <c r="W125" s="386" t="str">
        <f t="shared" si="23"/>
        <v>None to slight</v>
      </c>
    </row>
    <row r="126" spans="1:23" ht="16.2" thickBot="1" x14ac:dyDescent="0.35">
      <c r="A126" s="177">
        <v>12</v>
      </c>
      <c r="B126" s="31">
        <v>8.9027999999999992</v>
      </c>
      <c r="C126" s="177">
        <v>12433</v>
      </c>
      <c r="D126" s="31">
        <v>8885.8651000000009</v>
      </c>
      <c r="E126" s="177">
        <v>869</v>
      </c>
      <c r="F126" s="31">
        <v>524.00699999999995</v>
      </c>
      <c r="G126" s="191">
        <v>866.76</v>
      </c>
      <c r="H126" s="191"/>
      <c r="I126" s="191"/>
      <c r="J126" s="382">
        <f t="shared" si="13"/>
        <v>1.8399253196930945</v>
      </c>
      <c r="K126" s="382">
        <f t="shared" si="14"/>
        <v>3.8707826086956519E-2</v>
      </c>
      <c r="L126" s="382">
        <f t="shared" si="15"/>
        <v>44.403571428571432</v>
      </c>
      <c r="M126" s="382">
        <f t="shared" si="16"/>
        <v>4.3128148148148142</v>
      </c>
      <c r="N126" s="238"/>
      <c r="O126" s="382">
        <f t="shared" si="12"/>
        <v>7.8428922126472598E-3</v>
      </c>
      <c r="P126" s="382" t="str">
        <f t="shared" si="17"/>
        <v>Sol non sodique – Faible risque de dispersion, perméabilité normale</v>
      </c>
      <c r="Q126" s="382">
        <f t="shared" si="18"/>
        <v>1.8401469974424549</v>
      </c>
      <c r="R126" s="382">
        <f t="shared" si="19"/>
        <v>3.8625489343192689E-2</v>
      </c>
      <c r="S126" s="382">
        <f t="shared" si="20"/>
        <v>44.340644211576851</v>
      </c>
      <c r="T126" s="382">
        <f t="shared" si="21"/>
        <v>3.07626</v>
      </c>
      <c r="U126" s="382"/>
      <c r="V126" s="383">
        <f t="shared" si="22"/>
        <v>7.8354719785144464E-4</v>
      </c>
      <c r="W126" s="386" t="str">
        <f t="shared" si="23"/>
        <v>None to slight</v>
      </c>
    </row>
    <row r="127" spans="1:23" ht="16.2" thickBot="1" x14ac:dyDescent="0.35">
      <c r="A127" s="177">
        <v>148</v>
      </c>
      <c r="B127" s="31">
        <v>109.80119999999999</v>
      </c>
      <c r="C127" s="177">
        <v>8855</v>
      </c>
      <c r="D127" s="31">
        <v>6328.6684999999998</v>
      </c>
      <c r="E127" s="177">
        <v>479</v>
      </c>
      <c r="F127" s="31">
        <v>288.83699999999999</v>
      </c>
      <c r="G127" s="177">
        <v>573.17999999999995</v>
      </c>
      <c r="H127" s="177"/>
      <c r="I127" s="177"/>
      <c r="J127" s="382">
        <f t="shared" si="13"/>
        <v>1.2167248081841431</v>
      </c>
      <c r="K127" s="382">
        <f t="shared" si="14"/>
        <v>0.47739652173913039</v>
      </c>
      <c r="L127" s="382">
        <f t="shared" si="15"/>
        <v>31.625</v>
      </c>
      <c r="M127" s="382">
        <f t="shared" si="16"/>
        <v>2.377259259259259</v>
      </c>
      <c r="N127" s="238"/>
      <c r="O127" s="382">
        <f t="shared" si="12"/>
        <v>0.11578181707256865</v>
      </c>
      <c r="P127" s="382" t="str">
        <f t="shared" si="17"/>
        <v>Sol non sodique – Faible risque de dispersion, perméabilité normale</v>
      </c>
      <c r="Q127" s="382">
        <f t="shared" si="18"/>
        <v>1.2168714015345268</v>
      </c>
      <c r="R127" s="382">
        <f t="shared" si="19"/>
        <v>0.47638103523270986</v>
      </c>
      <c r="S127" s="382">
        <f t="shared" si="20"/>
        <v>31.580182135728542</v>
      </c>
      <c r="T127" s="382">
        <f t="shared" si="21"/>
        <v>1.6956600000000002</v>
      </c>
      <c r="U127" s="382"/>
      <c r="V127" s="383">
        <f t="shared" si="22"/>
        <v>1.3622915922089604E-2</v>
      </c>
      <c r="W127" s="386" t="str">
        <f t="shared" si="23"/>
        <v>None to slight</v>
      </c>
    </row>
    <row r="128" spans="1:23" ht="16.2" thickBot="1" x14ac:dyDescent="0.35">
      <c r="A128" s="177">
        <v>185</v>
      </c>
      <c r="B128" s="31">
        <v>137.25149999999999</v>
      </c>
      <c r="C128" s="177">
        <v>11533</v>
      </c>
      <c r="D128" s="31">
        <v>8242.6350999999995</v>
      </c>
      <c r="E128" s="177">
        <v>517</v>
      </c>
      <c r="F128" s="31">
        <v>311.75099999999998</v>
      </c>
      <c r="G128" s="177">
        <v>605</v>
      </c>
      <c r="H128" s="177"/>
      <c r="I128" s="177"/>
      <c r="J128" s="382">
        <f t="shared" si="13"/>
        <v>1.2842710997442455</v>
      </c>
      <c r="K128" s="382">
        <f t="shared" si="14"/>
        <v>0.59674565217391307</v>
      </c>
      <c r="L128" s="382">
        <f t="shared" si="15"/>
        <v>41.189285714285717</v>
      </c>
      <c r="M128" s="382">
        <f t="shared" si="16"/>
        <v>2.5658518518518516</v>
      </c>
      <c r="N128" s="238"/>
      <c r="O128" s="382">
        <f t="shared" si="12"/>
        <v>0.12758209651647479</v>
      </c>
      <c r="P128" s="382" t="str">
        <f t="shared" si="17"/>
        <v>Sol non sodique – Faible risque de dispersion, perméabilité normale</v>
      </c>
      <c r="Q128" s="382">
        <f t="shared" si="18"/>
        <v>1.284425831202046</v>
      </c>
      <c r="R128" s="382">
        <f t="shared" si="19"/>
        <v>0.59547629404088731</v>
      </c>
      <c r="S128" s="382">
        <f t="shared" si="20"/>
        <v>41.130913672654685</v>
      </c>
      <c r="T128" s="382">
        <f t="shared" si="21"/>
        <v>1.8301800000000001</v>
      </c>
      <c r="U128" s="382"/>
      <c r="V128" s="383">
        <f t="shared" si="22"/>
        <v>1.3279729485151317E-2</v>
      </c>
      <c r="W128" s="386" t="str">
        <f t="shared" si="23"/>
        <v>None to slight</v>
      </c>
    </row>
    <row r="129" spans="1:23" ht="16.2" thickBot="1" x14ac:dyDescent="0.35">
      <c r="A129" s="222">
        <v>459</v>
      </c>
      <c r="B129" s="31">
        <v>340.53210000000001</v>
      </c>
      <c r="C129" s="222">
        <v>8979</v>
      </c>
      <c r="D129" s="31">
        <v>6417.2912999999999</v>
      </c>
      <c r="E129" s="222">
        <v>1451</v>
      </c>
      <c r="F129" s="31">
        <v>874.95299999999997</v>
      </c>
      <c r="G129" s="222">
        <v>465.97</v>
      </c>
      <c r="H129" s="222"/>
      <c r="I129" s="222"/>
      <c r="J129" s="382">
        <f t="shared" si="13"/>
        <v>0.98914347826086957</v>
      </c>
      <c r="K129" s="382">
        <f t="shared" si="14"/>
        <v>1.4805743478260869</v>
      </c>
      <c r="L129" s="382">
        <f t="shared" si="15"/>
        <v>32.067857142857143</v>
      </c>
      <c r="M129" s="382">
        <f t="shared" si="16"/>
        <v>7.2012592592592588</v>
      </c>
      <c r="N129" s="238"/>
      <c r="O129" s="382">
        <f t="shared" si="12"/>
        <v>0.33413321833202003</v>
      </c>
      <c r="P129" s="382" t="str">
        <f t="shared" si="17"/>
        <v>Sol non sodique – Faible risque de dispersion, perméabilité normale</v>
      </c>
      <c r="Q129" s="382">
        <f t="shared" si="18"/>
        <v>0.98926265217391307</v>
      </c>
      <c r="R129" s="382">
        <f t="shared" si="19"/>
        <v>1.4774249673771203</v>
      </c>
      <c r="S129" s="382">
        <f t="shared" si="20"/>
        <v>32.022411676646705</v>
      </c>
      <c r="T129" s="382">
        <f t="shared" si="21"/>
        <v>5.1365400000000001</v>
      </c>
      <c r="U129" s="382"/>
      <c r="V129" s="383">
        <f t="shared" si="22"/>
        <v>3.7284571141767954E-2</v>
      </c>
      <c r="W129" s="386" t="str">
        <f t="shared" si="23"/>
        <v>None to slight</v>
      </c>
    </row>
    <row r="130" spans="1:23" ht="16.2" thickBot="1" x14ac:dyDescent="0.35">
      <c r="A130" s="208">
        <v>2926</v>
      </c>
      <c r="B130" s="31">
        <v>2170.7993999999999</v>
      </c>
      <c r="C130" s="208">
        <v>6700</v>
      </c>
      <c r="D130" s="31">
        <v>4788.49</v>
      </c>
      <c r="E130" s="208">
        <v>2075</v>
      </c>
      <c r="F130" s="31">
        <v>1251.2249999999999</v>
      </c>
      <c r="G130" s="222">
        <v>674.07</v>
      </c>
      <c r="H130" s="222"/>
      <c r="I130" s="222"/>
      <c r="J130" s="382">
        <f t="shared" si="13"/>
        <v>1.4308902813299234</v>
      </c>
      <c r="K130" s="382">
        <f t="shared" si="14"/>
        <v>9.4382582608695653</v>
      </c>
      <c r="L130" s="382">
        <f t="shared" si="15"/>
        <v>23.928571428571427</v>
      </c>
      <c r="M130" s="382">
        <f t="shared" si="16"/>
        <v>10.298148148148147</v>
      </c>
      <c r="N130" s="238"/>
      <c r="O130" s="382">
        <f t="shared" ref="O130:O193" si="24">(K130/((L130+M130)/2)^0.5)</f>
        <v>2.2815196647027269</v>
      </c>
      <c r="P130" s="382" t="str">
        <f t="shared" si="17"/>
        <v>Sol non sodique – Faible risque de dispersion, perméabilité normale</v>
      </c>
      <c r="Q130" s="382">
        <f t="shared" si="18"/>
        <v>1.4310626777493607</v>
      </c>
      <c r="R130" s="382">
        <f t="shared" si="19"/>
        <v>9.4181818181818162</v>
      </c>
      <c r="S130" s="382">
        <f t="shared" si="20"/>
        <v>23.894660678642712</v>
      </c>
      <c r="T130" s="382">
        <f t="shared" si="21"/>
        <v>7.3455000000000004</v>
      </c>
      <c r="U130" s="382"/>
      <c r="V130" s="383">
        <f t="shared" si="22"/>
        <v>0.22376609455795582</v>
      </c>
      <c r="W130" s="386" t="str">
        <f t="shared" si="23"/>
        <v>Light to moderate</v>
      </c>
    </row>
    <row r="131" spans="1:23" ht="16.2" thickBot="1" x14ac:dyDescent="0.35">
      <c r="A131" s="222">
        <v>150</v>
      </c>
      <c r="B131" s="31">
        <v>111.285</v>
      </c>
      <c r="C131" s="222">
        <v>5048</v>
      </c>
      <c r="D131" s="31">
        <v>3607.8056000000001</v>
      </c>
      <c r="E131" s="222">
        <v>731</v>
      </c>
      <c r="F131" s="31">
        <v>440.79300000000001</v>
      </c>
      <c r="G131" s="222">
        <v>355.49</v>
      </c>
      <c r="H131" s="222"/>
      <c r="I131" s="222"/>
      <c r="J131" s="382">
        <f t="shared" ref="J131:J194" si="25">(G131*0.83/10)/39.1</f>
        <v>0.7546207161125319</v>
      </c>
      <c r="K131" s="382">
        <f t="shared" ref="K131:K194" si="26">(A131*0.7419/10)/23</f>
        <v>0.48384782608695648</v>
      </c>
      <c r="L131" s="382">
        <f t="shared" ref="L131:L194" si="27">((C131*40/56)/10)/20</f>
        <v>18.028571428571428</v>
      </c>
      <c r="M131" s="382">
        <f t="shared" ref="M131:M194" si="28">(E131*0.603/10)/12.15</f>
        <v>3.627925925925926</v>
      </c>
      <c r="N131" s="238"/>
      <c r="O131" s="382">
        <f t="shared" si="24"/>
        <v>0.14703803275798857</v>
      </c>
      <c r="P131" s="382" t="str">
        <f t="shared" ref="P131:P194" si="29">IF(O131 &lt; 10, "Sol non sodique – Faible risque de dispersion, perméabilité normale",
IF(O131 &lt;= 18, "Sol modérément sodique – Risque modéré de sodicité",
IF(O131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131" s="382">
        <f t="shared" ref="Q131:Q194" si="30">(G131*0.8301)/391</f>
        <v>0.75471163427109966</v>
      </c>
      <c r="R131" s="382">
        <f t="shared" ref="R131:R194" si="31">(A131*0.74)/229.9</f>
        <v>0.48281861678990862</v>
      </c>
      <c r="S131" s="382">
        <f t="shared" ref="S131:S194" si="32">C131*0.7147/200.4</f>
        <v>18.003021956087824</v>
      </c>
      <c r="T131" s="382">
        <f t="shared" ref="T131:T194" si="33">E131*0.00354</f>
        <v>2.5877400000000002</v>
      </c>
      <c r="U131" s="382"/>
      <c r="V131" s="383">
        <f t="shared" ref="V131:V194" si="34">R131/(Q131+R131+S131+T131)</f>
        <v>2.211893684618094E-2</v>
      </c>
      <c r="W131" s="386" t="str">
        <f t="shared" ref="W131:W194" si="35">IF(V131 &lt; 15%, "None to slight",
IF(V131 &lt; 30%, "Light to moderate",
IF(V131 &lt; 50%, "Moderate to high",
IF(V131 &lt; 70%, "High to very high",
"Extremely high"))))</f>
        <v>None to slight</v>
      </c>
    </row>
    <row r="132" spans="1:23" ht="16.2" thickBot="1" x14ac:dyDescent="0.35">
      <c r="A132" s="222">
        <v>91</v>
      </c>
      <c r="B132" s="31">
        <v>67.512900000000002</v>
      </c>
      <c r="C132" s="222">
        <v>2237</v>
      </c>
      <c r="D132" s="31">
        <v>1598.7838999999999</v>
      </c>
      <c r="E132" s="222">
        <v>326</v>
      </c>
      <c r="F132" s="31">
        <v>196.578</v>
      </c>
      <c r="G132" s="222">
        <v>287.48</v>
      </c>
      <c r="H132" s="222"/>
      <c r="I132" s="222"/>
      <c r="J132" s="382">
        <f t="shared" si="25"/>
        <v>0.61025166240409212</v>
      </c>
      <c r="K132" s="382">
        <f t="shared" si="26"/>
        <v>0.29353434782608695</v>
      </c>
      <c r="L132" s="382">
        <f t="shared" si="27"/>
        <v>7.9892857142857139</v>
      </c>
      <c r="M132" s="382">
        <f t="shared" si="28"/>
        <v>1.617925925925926</v>
      </c>
      <c r="N132" s="238"/>
      <c r="O132" s="382">
        <f t="shared" si="24"/>
        <v>0.13392919122349473</v>
      </c>
      <c r="P132" s="382" t="str">
        <f t="shared" si="29"/>
        <v>Sol non sodique – Faible risque de dispersion, perméabilité normale</v>
      </c>
      <c r="Q132" s="382">
        <f t="shared" si="30"/>
        <v>0.6103251867007673</v>
      </c>
      <c r="R132" s="382">
        <f t="shared" si="31"/>
        <v>0.29290996085254462</v>
      </c>
      <c r="S132" s="382">
        <f t="shared" si="32"/>
        <v>7.977963572854291</v>
      </c>
      <c r="T132" s="382">
        <f t="shared" si="33"/>
        <v>1.15404</v>
      </c>
      <c r="U132" s="382"/>
      <c r="V132" s="383">
        <f t="shared" si="34"/>
        <v>2.9188140811925542E-2</v>
      </c>
      <c r="W132" s="386" t="str">
        <f t="shared" si="35"/>
        <v>None to slight</v>
      </c>
    </row>
    <row r="133" spans="1:23" ht="16.2" thickBot="1" x14ac:dyDescent="0.35">
      <c r="A133" s="222">
        <v>138</v>
      </c>
      <c r="B133" s="31">
        <v>102.3822</v>
      </c>
      <c r="C133" s="222">
        <v>3067</v>
      </c>
      <c r="D133" s="31">
        <v>2191.9848999999999</v>
      </c>
      <c r="E133" s="222">
        <v>658</v>
      </c>
      <c r="F133" s="31">
        <v>396.774</v>
      </c>
      <c r="G133" s="222">
        <v>339.77</v>
      </c>
      <c r="H133" s="222"/>
      <c r="I133" s="222"/>
      <c r="J133" s="382">
        <f t="shared" si="25"/>
        <v>0.72125089514066498</v>
      </c>
      <c r="K133" s="382">
        <f t="shared" si="26"/>
        <v>0.44513999999999998</v>
      </c>
      <c r="L133" s="382">
        <f t="shared" si="27"/>
        <v>10.953571428571429</v>
      </c>
      <c r="M133" s="382">
        <f t="shared" si="28"/>
        <v>3.2656296296296294</v>
      </c>
      <c r="N133" s="238"/>
      <c r="O133" s="382">
        <f t="shared" si="24"/>
        <v>0.16694523266197803</v>
      </c>
      <c r="P133" s="382" t="str">
        <f t="shared" si="29"/>
        <v>Sol non sodique – Faible risque de dispersion, perméabilité normale</v>
      </c>
      <c r="Q133" s="382">
        <f t="shared" si="30"/>
        <v>0.72133779283887467</v>
      </c>
      <c r="R133" s="382">
        <f t="shared" si="31"/>
        <v>0.44419312744671596</v>
      </c>
      <c r="S133" s="382">
        <f t="shared" si="32"/>
        <v>10.938048403193612</v>
      </c>
      <c r="T133" s="382">
        <f t="shared" si="33"/>
        <v>2.3293200000000001</v>
      </c>
      <c r="U133" s="382"/>
      <c r="V133" s="383">
        <f t="shared" si="34"/>
        <v>3.0776430812075987E-2</v>
      </c>
      <c r="W133" s="386" t="str">
        <f t="shared" si="35"/>
        <v>None to slight</v>
      </c>
    </row>
    <row r="134" spans="1:23" ht="16.2" thickBot="1" x14ac:dyDescent="0.35">
      <c r="A134" s="208">
        <v>153</v>
      </c>
      <c r="B134" s="31">
        <v>113.5107</v>
      </c>
      <c r="C134" s="208">
        <v>3000</v>
      </c>
      <c r="D134" s="31">
        <v>2144.1</v>
      </c>
      <c r="E134" s="208">
        <v>622</v>
      </c>
      <c r="F134" s="31">
        <v>375.06599999999997</v>
      </c>
      <c r="G134" s="222">
        <v>375.02</v>
      </c>
      <c r="H134" s="222"/>
      <c r="I134" s="222"/>
      <c r="J134" s="382">
        <f t="shared" si="25"/>
        <v>0.79607826086956512</v>
      </c>
      <c r="K134" s="382">
        <f t="shared" si="26"/>
        <v>0.49352478260869564</v>
      </c>
      <c r="L134" s="382">
        <f t="shared" si="27"/>
        <v>10.714285714285714</v>
      </c>
      <c r="M134" s="382">
        <f t="shared" si="28"/>
        <v>3.0869629629629629</v>
      </c>
      <c r="N134" s="238"/>
      <c r="O134" s="382">
        <f t="shared" si="24"/>
        <v>0.18787317422222127</v>
      </c>
      <c r="P134" s="382" t="str">
        <f t="shared" si="29"/>
        <v>Sol non sodique – Faible risque de dispersion, perméabilité normale</v>
      </c>
      <c r="Q134" s="382">
        <f t="shared" si="30"/>
        <v>0.79617417391304335</v>
      </c>
      <c r="R134" s="382">
        <f t="shared" si="31"/>
        <v>0.49247498912570681</v>
      </c>
      <c r="S134" s="382">
        <f t="shared" si="32"/>
        <v>10.699101796407184</v>
      </c>
      <c r="T134" s="382">
        <f t="shared" si="33"/>
        <v>2.2018800000000001</v>
      </c>
      <c r="U134" s="382"/>
      <c r="V134" s="383">
        <f t="shared" si="34"/>
        <v>3.4706680570707145E-2</v>
      </c>
      <c r="W134" s="386" t="str">
        <f t="shared" si="35"/>
        <v>None to slight</v>
      </c>
    </row>
    <row r="135" spans="1:23" ht="16.2" thickBot="1" x14ac:dyDescent="0.35">
      <c r="A135" s="222">
        <v>2026</v>
      </c>
      <c r="B135" s="31">
        <v>1503.0894000000001</v>
      </c>
      <c r="C135" s="222">
        <v>9233</v>
      </c>
      <c r="D135" s="31">
        <v>6598.8251</v>
      </c>
      <c r="E135" s="222">
        <v>1975</v>
      </c>
      <c r="F135" s="31">
        <v>1190.925</v>
      </c>
      <c r="G135" s="222">
        <v>673.41</v>
      </c>
      <c r="H135" s="222"/>
      <c r="I135" s="222"/>
      <c r="J135" s="382">
        <f t="shared" si="25"/>
        <v>1.4294892583120202</v>
      </c>
      <c r="K135" s="382">
        <f t="shared" si="26"/>
        <v>6.5351713043478261</v>
      </c>
      <c r="L135" s="382">
        <f t="shared" si="27"/>
        <v>32.975000000000001</v>
      </c>
      <c r="M135" s="382">
        <f t="shared" si="28"/>
        <v>9.8018518518518523</v>
      </c>
      <c r="N135" s="238"/>
      <c r="O135" s="382">
        <f t="shared" si="24"/>
        <v>1.4130826499578177</v>
      </c>
      <c r="P135" s="382" t="str">
        <f t="shared" si="29"/>
        <v>Sol non sodique – Faible risque de dispersion, perméabilité normale</v>
      </c>
      <c r="Q135" s="382">
        <f t="shared" si="30"/>
        <v>1.4296614859335037</v>
      </c>
      <c r="R135" s="382">
        <f t="shared" si="31"/>
        <v>6.5212701174423664</v>
      </c>
      <c r="S135" s="382">
        <f t="shared" si="32"/>
        <v>32.928268962075848</v>
      </c>
      <c r="T135" s="382">
        <f t="shared" si="33"/>
        <v>6.9915000000000003</v>
      </c>
      <c r="U135" s="382"/>
      <c r="V135" s="383">
        <f t="shared" si="34"/>
        <v>0.13622675332536843</v>
      </c>
      <c r="W135" s="386" t="str">
        <f t="shared" si="35"/>
        <v>None to slight</v>
      </c>
    </row>
    <row r="136" spans="1:23" ht="16.2" thickBot="1" x14ac:dyDescent="0.35">
      <c r="A136" s="222">
        <v>21986</v>
      </c>
      <c r="B136" s="31">
        <v>16311.413399999999</v>
      </c>
      <c r="C136" s="222">
        <v>17410</v>
      </c>
      <c r="D136" s="31">
        <v>12442.927</v>
      </c>
      <c r="E136" s="222">
        <v>6975</v>
      </c>
      <c r="F136" s="31">
        <v>4205.9250000000002</v>
      </c>
      <c r="G136" s="222">
        <v>799.98</v>
      </c>
      <c r="H136" s="222"/>
      <c r="I136" s="222"/>
      <c r="J136" s="382">
        <f t="shared" si="25"/>
        <v>1.6981672634271097</v>
      </c>
      <c r="K136" s="382">
        <f t="shared" si="26"/>
        <v>70.919188695652167</v>
      </c>
      <c r="L136" s="382">
        <f t="shared" si="27"/>
        <v>62.178571428571431</v>
      </c>
      <c r="M136" s="382">
        <f t="shared" si="28"/>
        <v>34.616666666666667</v>
      </c>
      <c r="N136" s="238"/>
      <c r="O136" s="382">
        <f t="shared" si="24"/>
        <v>10.194167385532394</v>
      </c>
      <c r="P136" s="382" t="str">
        <f t="shared" si="29"/>
        <v>Sol modérément sodique – Risque modéré de sodicité</v>
      </c>
      <c r="Q136" s="382">
        <f t="shared" si="30"/>
        <v>1.6983718618925832</v>
      </c>
      <c r="R136" s="382">
        <f t="shared" si="31"/>
        <v>70.7683340582862</v>
      </c>
      <c r="S136" s="382">
        <f t="shared" si="32"/>
        <v>62.090454091816362</v>
      </c>
      <c r="T136" s="382">
        <f t="shared" si="33"/>
        <v>24.691500000000001</v>
      </c>
      <c r="U136" s="382"/>
      <c r="V136" s="383">
        <f t="shared" si="34"/>
        <v>0.4443888824744629</v>
      </c>
      <c r="W136" s="386" t="str">
        <f t="shared" si="35"/>
        <v>Moderate to high</v>
      </c>
    </row>
    <row r="137" spans="1:23" ht="16.2" thickBot="1" x14ac:dyDescent="0.35">
      <c r="A137" s="222">
        <v>708</v>
      </c>
      <c r="B137" s="31">
        <v>525.26520000000005</v>
      </c>
      <c r="C137" s="222">
        <v>6025</v>
      </c>
      <c r="D137" s="31">
        <v>4306.0675000000001</v>
      </c>
      <c r="E137" s="222">
        <v>1565</v>
      </c>
      <c r="F137" s="31">
        <v>943.69499999999994</v>
      </c>
      <c r="G137" s="222">
        <v>488.01</v>
      </c>
      <c r="H137" s="222"/>
      <c r="I137" s="222"/>
      <c r="J137" s="382">
        <f t="shared" si="25"/>
        <v>1.0359291560102302</v>
      </c>
      <c r="K137" s="382">
        <f t="shared" si="26"/>
        <v>2.2837617391304348</v>
      </c>
      <c r="L137" s="382">
        <f t="shared" si="27"/>
        <v>21.517857142857142</v>
      </c>
      <c r="M137" s="382">
        <f t="shared" si="28"/>
        <v>7.7670370370370359</v>
      </c>
      <c r="N137" s="238"/>
      <c r="O137" s="382">
        <f t="shared" si="24"/>
        <v>0.59682081454931957</v>
      </c>
      <c r="P137" s="382" t="str">
        <f t="shared" si="29"/>
        <v>Sol non sodique – Faible risque de dispersion, perméabilité normale</v>
      </c>
      <c r="Q137" s="382">
        <f t="shared" si="30"/>
        <v>1.036053966751918</v>
      </c>
      <c r="R137" s="382">
        <f t="shared" si="31"/>
        <v>2.2789038712483687</v>
      </c>
      <c r="S137" s="382">
        <f t="shared" si="32"/>
        <v>21.487362774451096</v>
      </c>
      <c r="T137" s="382">
        <f t="shared" si="33"/>
        <v>5.5401000000000007</v>
      </c>
      <c r="U137" s="382"/>
      <c r="V137" s="383">
        <f t="shared" si="34"/>
        <v>7.5106198689803685E-2</v>
      </c>
      <c r="W137" s="386" t="str">
        <f t="shared" si="35"/>
        <v>None to slight</v>
      </c>
    </row>
    <row r="138" spans="1:23" ht="16.2" thickBot="1" x14ac:dyDescent="0.35">
      <c r="A138" s="208">
        <v>68</v>
      </c>
      <c r="B138" s="31">
        <v>50.449199999999998</v>
      </c>
      <c r="C138" s="208">
        <v>2106</v>
      </c>
      <c r="D138" s="31">
        <v>1505.1582000000001</v>
      </c>
      <c r="E138" s="208">
        <v>316</v>
      </c>
      <c r="F138" s="31">
        <v>190.548</v>
      </c>
      <c r="G138" s="222">
        <v>279.31</v>
      </c>
      <c r="H138" s="222"/>
      <c r="I138" s="222"/>
      <c r="J138" s="382">
        <f t="shared" si="25"/>
        <v>0.59290869565217386</v>
      </c>
      <c r="K138" s="382">
        <f t="shared" si="26"/>
        <v>0.21934434782608694</v>
      </c>
      <c r="L138" s="382">
        <f t="shared" si="27"/>
        <v>7.5214285714285705</v>
      </c>
      <c r="M138" s="382">
        <f t="shared" si="28"/>
        <v>1.5682962962962963</v>
      </c>
      <c r="N138" s="238"/>
      <c r="O138" s="382">
        <f t="shared" si="24"/>
        <v>0.10288832015579463</v>
      </c>
      <c r="P138" s="382" t="str">
        <f t="shared" si="29"/>
        <v>Sol non sodique – Faible risque de dispersion, perméabilité normale</v>
      </c>
      <c r="Q138" s="382">
        <f t="shared" si="30"/>
        <v>0.59298013043478259</v>
      </c>
      <c r="R138" s="382">
        <f t="shared" si="31"/>
        <v>0.21887777294475858</v>
      </c>
      <c r="S138" s="382">
        <f t="shared" si="32"/>
        <v>7.5107694610778442</v>
      </c>
      <c r="T138" s="382">
        <f t="shared" si="33"/>
        <v>1.1186400000000001</v>
      </c>
      <c r="U138" s="382"/>
      <c r="V138" s="383">
        <f t="shared" si="34"/>
        <v>2.3183092321773058E-2</v>
      </c>
      <c r="W138" s="386" t="str">
        <f t="shared" si="35"/>
        <v>None to slight</v>
      </c>
    </row>
    <row r="139" spans="1:23" ht="16.2" thickBot="1" x14ac:dyDescent="0.35">
      <c r="A139" s="208">
        <v>431</v>
      </c>
      <c r="B139" s="31">
        <v>319.75889999999998</v>
      </c>
      <c r="C139" s="208">
        <v>3251</v>
      </c>
      <c r="D139" s="31">
        <v>2323.4897000000001</v>
      </c>
      <c r="E139" s="208">
        <v>1620</v>
      </c>
      <c r="F139" s="31">
        <v>976.86</v>
      </c>
      <c r="G139" s="222">
        <v>1144.1600000000001</v>
      </c>
      <c r="H139" s="222"/>
      <c r="I139" s="222"/>
      <c r="J139" s="382">
        <f t="shared" si="25"/>
        <v>2.428779539641944</v>
      </c>
      <c r="K139" s="382">
        <f t="shared" si="26"/>
        <v>1.3902560869565217</v>
      </c>
      <c r="L139" s="382">
        <f t="shared" si="27"/>
        <v>11.610714285714286</v>
      </c>
      <c r="M139" s="382">
        <f t="shared" si="28"/>
        <v>8.0400000000000009</v>
      </c>
      <c r="N139" s="238"/>
      <c r="O139" s="382">
        <f t="shared" si="24"/>
        <v>0.44352758162149375</v>
      </c>
      <c r="P139" s="382" t="str">
        <f t="shared" si="29"/>
        <v>Sol non sodique – Faible risque de dispersion, perméabilité normale</v>
      </c>
      <c r="Q139" s="382">
        <f t="shared" si="30"/>
        <v>2.4290721636828643</v>
      </c>
      <c r="R139" s="382">
        <f t="shared" si="31"/>
        <v>1.3872988255763374</v>
      </c>
      <c r="S139" s="382">
        <f t="shared" si="32"/>
        <v>11.59425998003992</v>
      </c>
      <c r="T139" s="382">
        <f t="shared" si="33"/>
        <v>5.7347999999999999</v>
      </c>
      <c r="U139" s="382"/>
      <c r="V139" s="383">
        <f t="shared" si="34"/>
        <v>6.560749826241638E-2</v>
      </c>
      <c r="W139" s="386" t="str">
        <f t="shared" si="35"/>
        <v>None to slight</v>
      </c>
    </row>
    <row r="140" spans="1:23" ht="16.2" thickBot="1" x14ac:dyDescent="0.35">
      <c r="A140" s="208">
        <v>422</v>
      </c>
      <c r="B140" s="31">
        <v>313.08179999999999</v>
      </c>
      <c r="C140" s="208">
        <v>9170</v>
      </c>
      <c r="D140" s="31">
        <v>6553.799</v>
      </c>
      <c r="E140" s="208">
        <v>1619</v>
      </c>
      <c r="F140" s="31">
        <v>976.25699999999995</v>
      </c>
      <c r="G140" s="222">
        <v>605.5</v>
      </c>
      <c r="H140" s="222"/>
      <c r="I140" s="222"/>
      <c r="J140" s="382">
        <f t="shared" si="25"/>
        <v>1.2853324808184143</v>
      </c>
      <c r="K140" s="382">
        <f t="shared" si="26"/>
        <v>1.3612252173913044</v>
      </c>
      <c r="L140" s="382">
        <f t="shared" si="27"/>
        <v>32.75</v>
      </c>
      <c r="M140" s="382">
        <f t="shared" si="28"/>
        <v>8.0350370370370356</v>
      </c>
      <c r="N140" s="238"/>
      <c r="O140" s="382">
        <f t="shared" si="24"/>
        <v>0.3014356079824731</v>
      </c>
      <c r="P140" s="382" t="str">
        <f t="shared" si="29"/>
        <v>Sol non sodique – Faible risque de dispersion, perméabilité normale</v>
      </c>
      <c r="Q140" s="382">
        <f t="shared" si="30"/>
        <v>1.2854873401534526</v>
      </c>
      <c r="R140" s="382">
        <f t="shared" si="31"/>
        <v>1.358329708568943</v>
      </c>
      <c r="S140" s="382">
        <f t="shared" si="32"/>
        <v>32.703587824351295</v>
      </c>
      <c r="T140" s="382">
        <f t="shared" si="33"/>
        <v>5.7312600000000007</v>
      </c>
      <c r="U140" s="382"/>
      <c r="V140" s="383">
        <f t="shared" si="34"/>
        <v>3.3066549576670955E-2</v>
      </c>
      <c r="W140" s="386" t="str">
        <f t="shared" si="35"/>
        <v>None to slight</v>
      </c>
    </row>
    <row r="141" spans="1:23" ht="16.2" thickBot="1" x14ac:dyDescent="0.35">
      <c r="A141" s="208">
        <v>895</v>
      </c>
      <c r="B141" s="31">
        <v>664.00049999999999</v>
      </c>
      <c r="C141" s="208">
        <v>5536</v>
      </c>
      <c r="D141" s="31">
        <v>3956.5792000000001</v>
      </c>
      <c r="E141" s="208">
        <v>1556</v>
      </c>
      <c r="F141" s="31">
        <v>938.26799999999992</v>
      </c>
      <c r="G141" s="222">
        <v>773</v>
      </c>
      <c r="H141" s="222"/>
      <c r="I141" s="222"/>
      <c r="J141" s="382">
        <f t="shared" si="25"/>
        <v>1.6408951406649614</v>
      </c>
      <c r="K141" s="382">
        <f t="shared" si="26"/>
        <v>2.8869586956521736</v>
      </c>
      <c r="L141" s="382">
        <f t="shared" si="27"/>
        <v>19.771428571428572</v>
      </c>
      <c r="M141" s="382">
        <f t="shared" si="28"/>
        <v>7.7223703703703697</v>
      </c>
      <c r="N141" s="238"/>
      <c r="O141" s="382">
        <f t="shared" si="24"/>
        <v>0.77864265641201225</v>
      </c>
      <c r="P141" s="382" t="str">
        <f t="shared" si="29"/>
        <v>Sol non sodique – Faible risque de dispersion, perméabilité normale</v>
      </c>
      <c r="Q141" s="382">
        <f t="shared" si="30"/>
        <v>1.6410928388746802</v>
      </c>
      <c r="R141" s="382">
        <f t="shared" si="31"/>
        <v>2.8808177468464549</v>
      </c>
      <c r="S141" s="382">
        <f t="shared" si="32"/>
        <v>19.743409181636725</v>
      </c>
      <c r="T141" s="382">
        <f t="shared" si="33"/>
        <v>5.5082400000000007</v>
      </c>
      <c r="U141" s="382"/>
      <c r="V141" s="383">
        <f t="shared" si="34"/>
        <v>9.6757585231875082E-2</v>
      </c>
      <c r="W141" s="386" t="str">
        <f t="shared" si="35"/>
        <v>None to slight</v>
      </c>
    </row>
    <row r="142" spans="1:23" ht="16.2" thickBot="1" x14ac:dyDescent="0.35">
      <c r="A142" s="251">
        <v>27849</v>
      </c>
      <c r="B142" s="31">
        <v>20661.1731</v>
      </c>
      <c r="C142" s="251">
        <v>9723</v>
      </c>
      <c r="D142" s="31">
        <v>6949.0281000000004</v>
      </c>
      <c r="E142" s="251">
        <v>1411</v>
      </c>
      <c r="F142" s="31">
        <v>850.83299999999997</v>
      </c>
      <c r="G142" s="251">
        <v>426.92</v>
      </c>
      <c r="H142" s="251"/>
      <c r="I142" s="251"/>
      <c r="J142" s="382">
        <f t="shared" si="25"/>
        <v>0.90624961636828638</v>
      </c>
      <c r="K142" s="382">
        <f t="shared" si="26"/>
        <v>89.831187391304354</v>
      </c>
      <c r="L142" s="382">
        <f t="shared" si="27"/>
        <v>34.725000000000001</v>
      </c>
      <c r="M142" s="382">
        <f t="shared" si="28"/>
        <v>7.00274074074074</v>
      </c>
      <c r="N142" s="238"/>
      <c r="O142" s="382">
        <f t="shared" si="24"/>
        <v>19.666618912053774</v>
      </c>
      <c r="P142" s="382" t="str">
        <f t="shared" si="29"/>
        <v>Sol sodique – Risque élevé de dispersion, structure du sol détériorée</v>
      </c>
      <c r="Q142" s="382">
        <f t="shared" si="30"/>
        <v>0.90635880306905359</v>
      </c>
      <c r="R142" s="382">
        <f t="shared" si="31"/>
        <v>89.640104393214429</v>
      </c>
      <c r="S142" s="382">
        <f t="shared" si="32"/>
        <v>34.675788922155689</v>
      </c>
      <c r="T142" s="382">
        <f t="shared" si="33"/>
        <v>4.9949400000000006</v>
      </c>
      <c r="U142" s="382"/>
      <c r="V142" s="383">
        <f t="shared" si="34"/>
        <v>0.68838916685964302</v>
      </c>
      <c r="W142" s="386" t="str">
        <f t="shared" si="35"/>
        <v>High to very high</v>
      </c>
    </row>
    <row r="143" spans="1:23" ht="16.2" thickBot="1" x14ac:dyDescent="0.35">
      <c r="A143" s="251">
        <v>17888</v>
      </c>
      <c r="B143" s="31">
        <v>13271.1072</v>
      </c>
      <c r="C143" s="251">
        <v>10947</v>
      </c>
      <c r="D143" s="31">
        <v>7823.8208999999997</v>
      </c>
      <c r="E143" s="251">
        <v>3138</v>
      </c>
      <c r="F143" s="31">
        <v>1892.2139999999999</v>
      </c>
      <c r="G143" s="251">
        <v>607.12</v>
      </c>
      <c r="H143" s="251"/>
      <c r="I143" s="251"/>
      <c r="J143" s="382">
        <f t="shared" si="25"/>
        <v>1.288771355498721</v>
      </c>
      <c r="K143" s="382">
        <f t="shared" si="26"/>
        <v>57.700466086956524</v>
      </c>
      <c r="L143" s="382">
        <f t="shared" si="27"/>
        <v>39.096428571428575</v>
      </c>
      <c r="M143" s="382">
        <f t="shared" si="28"/>
        <v>15.573777777777776</v>
      </c>
      <c r="N143" s="238"/>
      <c r="O143" s="382">
        <f t="shared" si="24"/>
        <v>11.036184760683048</v>
      </c>
      <c r="P143" s="382" t="str">
        <f t="shared" si="29"/>
        <v>Sol modérément sodique – Risque modéré de sodicité</v>
      </c>
      <c r="Q143" s="382">
        <f t="shared" si="30"/>
        <v>1.2889266291560102</v>
      </c>
      <c r="R143" s="382">
        <f t="shared" si="31"/>
        <v>57.577729447585902</v>
      </c>
      <c r="S143" s="382">
        <f t="shared" si="32"/>
        <v>39.041022455089816</v>
      </c>
      <c r="T143" s="382">
        <f t="shared" si="33"/>
        <v>11.10852</v>
      </c>
      <c r="U143" s="382"/>
      <c r="V143" s="383">
        <f t="shared" si="34"/>
        <v>0.52815756028012428</v>
      </c>
      <c r="W143" s="386" t="str">
        <f t="shared" si="35"/>
        <v>High to very high</v>
      </c>
    </row>
    <row r="144" spans="1:23" ht="16.2" thickBot="1" x14ac:dyDescent="0.35">
      <c r="A144" s="251">
        <v>13095</v>
      </c>
      <c r="B144" s="31">
        <v>9715.1805000000004</v>
      </c>
      <c r="C144" s="251">
        <v>9072</v>
      </c>
      <c r="D144" s="31">
        <v>6483.7583999999997</v>
      </c>
      <c r="E144" s="251">
        <v>1503</v>
      </c>
      <c r="F144" s="31">
        <v>906.30899999999997</v>
      </c>
      <c r="G144" s="251">
        <v>516.66999999999996</v>
      </c>
      <c r="H144" s="251"/>
      <c r="I144" s="251"/>
      <c r="J144" s="382">
        <f t="shared" si="25"/>
        <v>1.0967675191815853</v>
      </c>
      <c r="K144" s="382">
        <f t="shared" si="26"/>
        <v>42.239915217391307</v>
      </c>
      <c r="L144" s="382">
        <f t="shared" si="27"/>
        <v>32.4</v>
      </c>
      <c r="M144" s="382">
        <f t="shared" si="28"/>
        <v>7.4593333333333325</v>
      </c>
      <c r="N144" s="238"/>
      <c r="O144" s="382">
        <f t="shared" si="24"/>
        <v>9.4617838012866269</v>
      </c>
      <c r="P144" s="382" t="str">
        <f t="shared" si="29"/>
        <v>Sol non sodique – Faible risque de dispersion, perméabilité normale</v>
      </c>
      <c r="Q144" s="382">
        <f t="shared" si="30"/>
        <v>1.0968996598465472</v>
      </c>
      <c r="R144" s="382">
        <f t="shared" si="31"/>
        <v>42.150065245759023</v>
      </c>
      <c r="S144" s="382">
        <f t="shared" si="32"/>
        <v>32.354083832335327</v>
      </c>
      <c r="T144" s="382">
        <f t="shared" si="33"/>
        <v>5.3206199999999999</v>
      </c>
      <c r="U144" s="382"/>
      <c r="V144" s="383">
        <f t="shared" si="34"/>
        <v>0.52087488929892223</v>
      </c>
      <c r="W144" s="386" t="str">
        <f t="shared" si="35"/>
        <v>High to very high</v>
      </c>
    </row>
    <row r="145" spans="1:23" ht="16.2" thickBot="1" x14ac:dyDescent="0.35">
      <c r="A145" s="247">
        <v>20582</v>
      </c>
      <c r="B145" s="31">
        <v>15269.7858</v>
      </c>
      <c r="C145" s="247">
        <v>10761</v>
      </c>
      <c r="D145" s="31">
        <v>7690.8867</v>
      </c>
      <c r="E145" s="247">
        <v>3111</v>
      </c>
      <c r="F145" s="31">
        <v>1875.933</v>
      </c>
      <c r="G145" s="251">
        <v>505.14</v>
      </c>
      <c r="H145" s="251"/>
      <c r="I145" s="251"/>
      <c r="J145" s="382">
        <f t="shared" si="25"/>
        <v>1.0722920716112532</v>
      </c>
      <c r="K145" s="382">
        <f t="shared" si="26"/>
        <v>66.390373043478263</v>
      </c>
      <c r="L145" s="382">
        <f t="shared" si="27"/>
        <v>38.432142857142857</v>
      </c>
      <c r="M145" s="382">
        <f t="shared" si="28"/>
        <v>15.439777777777778</v>
      </c>
      <c r="N145" s="238"/>
      <c r="O145" s="382">
        <f t="shared" si="24"/>
        <v>12.792012559621154</v>
      </c>
      <c r="P145" s="382" t="str">
        <f t="shared" si="29"/>
        <v>Sol modérément sodique – Risque modéré de sodicité</v>
      </c>
      <c r="Q145" s="382">
        <f t="shared" si="30"/>
        <v>1.07242126342711</v>
      </c>
      <c r="R145" s="382">
        <f t="shared" si="31"/>
        <v>66.249151805132669</v>
      </c>
      <c r="S145" s="382">
        <f t="shared" si="32"/>
        <v>38.377678143712572</v>
      </c>
      <c r="T145" s="382">
        <f t="shared" si="33"/>
        <v>11.01294</v>
      </c>
      <c r="U145" s="382"/>
      <c r="V145" s="383">
        <f t="shared" si="34"/>
        <v>0.56762837812410583</v>
      </c>
      <c r="W145" s="386" t="str">
        <f t="shared" si="35"/>
        <v>High to very high</v>
      </c>
    </row>
    <row r="146" spans="1:23" ht="16.2" thickBot="1" x14ac:dyDescent="0.35">
      <c r="A146" s="247">
        <v>18130</v>
      </c>
      <c r="B146" s="31">
        <v>13450.647000000001</v>
      </c>
      <c r="C146" s="247">
        <v>10209</v>
      </c>
      <c r="D146" s="31">
        <v>7296.3723</v>
      </c>
      <c r="E146" s="247">
        <v>1661</v>
      </c>
      <c r="F146" s="31">
        <v>1001.583</v>
      </c>
      <c r="G146" s="251">
        <v>447.89</v>
      </c>
      <c r="H146" s="251"/>
      <c r="I146" s="251"/>
      <c r="J146" s="382">
        <f t="shared" si="25"/>
        <v>0.95076393861892572</v>
      </c>
      <c r="K146" s="382">
        <f t="shared" si="26"/>
        <v>58.481073913043481</v>
      </c>
      <c r="L146" s="382">
        <f t="shared" si="27"/>
        <v>36.460714285714282</v>
      </c>
      <c r="M146" s="382">
        <f t="shared" si="28"/>
        <v>8.2434814814814814</v>
      </c>
      <c r="N146" s="238"/>
      <c r="O146" s="382">
        <f t="shared" si="24"/>
        <v>12.36961532110413</v>
      </c>
      <c r="P146" s="382" t="str">
        <f t="shared" si="29"/>
        <v>Sol modérément sodique – Risque modéré de sodicité</v>
      </c>
      <c r="Q146" s="382">
        <f t="shared" si="30"/>
        <v>0.9508784884910485</v>
      </c>
      <c r="R146" s="382">
        <f t="shared" si="31"/>
        <v>58.35667681600696</v>
      </c>
      <c r="S146" s="382">
        <f t="shared" si="32"/>
        <v>36.409043413173649</v>
      </c>
      <c r="T146" s="382">
        <f t="shared" si="33"/>
        <v>5.8799400000000004</v>
      </c>
      <c r="U146" s="382"/>
      <c r="V146" s="383">
        <f t="shared" si="34"/>
        <v>0.57439630869881619</v>
      </c>
      <c r="W146" s="386" t="str">
        <f t="shared" si="35"/>
        <v>High to very high</v>
      </c>
    </row>
    <row r="147" spans="1:23" ht="16.2" thickBot="1" x14ac:dyDescent="0.35">
      <c r="A147" s="247">
        <v>8792</v>
      </c>
      <c r="B147" s="31">
        <v>6522.7848000000004</v>
      </c>
      <c r="C147" s="247">
        <v>11186</v>
      </c>
      <c r="D147" s="31">
        <v>7994.6342000000004</v>
      </c>
      <c r="E147" s="247">
        <v>2677</v>
      </c>
      <c r="F147" s="31">
        <v>1614.231</v>
      </c>
      <c r="G147" s="251">
        <v>418.59</v>
      </c>
      <c r="H147" s="251"/>
      <c r="I147" s="251"/>
      <c r="J147" s="382">
        <f t="shared" si="25"/>
        <v>0.88856700767263419</v>
      </c>
      <c r="K147" s="382">
        <f t="shared" si="26"/>
        <v>28.359933913043481</v>
      </c>
      <c r="L147" s="382">
        <f t="shared" si="27"/>
        <v>39.950000000000003</v>
      </c>
      <c r="M147" s="382">
        <f t="shared" si="28"/>
        <v>13.285851851851852</v>
      </c>
      <c r="N147" s="238"/>
      <c r="O147" s="382">
        <f t="shared" si="24"/>
        <v>5.4969034438061941</v>
      </c>
      <c r="P147" s="382" t="str">
        <f t="shared" si="29"/>
        <v>Sol non sodique – Faible risque de dispersion, perméabilité normale</v>
      </c>
      <c r="Q147" s="382">
        <f t="shared" si="30"/>
        <v>0.88867406393861881</v>
      </c>
      <c r="R147" s="382">
        <f t="shared" si="31"/>
        <v>28.299608525445844</v>
      </c>
      <c r="S147" s="382">
        <f t="shared" si="32"/>
        <v>39.893384231536928</v>
      </c>
      <c r="T147" s="382">
        <f t="shared" si="33"/>
        <v>9.4765800000000002</v>
      </c>
      <c r="U147" s="382"/>
      <c r="V147" s="383">
        <f t="shared" si="34"/>
        <v>0.3602372719691242</v>
      </c>
      <c r="W147" s="386" t="str">
        <f t="shared" si="35"/>
        <v>Moderate to high</v>
      </c>
    </row>
    <row r="148" spans="1:23" ht="16.2" thickBot="1" x14ac:dyDescent="0.35">
      <c r="A148" s="247">
        <v>17568</v>
      </c>
      <c r="B148" s="31">
        <v>13033.699200000001</v>
      </c>
      <c r="C148" s="247">
        <v>11494</v>
      </c>
      <c r="D148" s="31">
        <v>8214.7618000000002</v>
      </c>
      <c r="E148" s="247">
        <v>2149</v>
      </c>
      <c r="F148" s="31">
        <v>1295.847</v>
      </c>
      <c r="G148" s="251">
        <v>219.44</v>
      </c>
      <c r="H148" s="251"/>
      <c r="I148" s="251"/>
      <c r="J148" s="382">
        <f t="shared" si="25"/>
        <v>0.46581892583120199</v>
      </c>
      <c r="K148" s="382">
        <f t="shared" si="26"/>
        <v>56.668257391304351</v>
      </c>
      <c r="L148" s="382">
        <f t="shared" si="27"/>
        <v>41.05</v>
      </c>
      <c r="M148" s="382">
        <f t="shared" si="28"/>
        <v>10.665407407407407</v>
      </c>
      <c r="N148" s="238"/>
      <c r="O148" s="382">
        <f t="shared" si="24"/>
        <v>11.144096920179674</v>
      </c>
      <c r="P148" s="382" t="str">
        <f t="shared" si="29"/>
        <v>Sol modérément sodique – Risque modéré de sodicité</v>
      </c>
      <c r="Q148" s="382">
        <f t="shared" si="30"/>
        <v>0.46587504859335033</v>
      </c>
      <c r="R148" s="382">
        <f t="shared" si="31"/>
        <v>56.547716398434098</v>
      </c>
      <c r="S148" s="382">
        <f t="shared" si="32"/>
        <v>40.991825349301401</v>
      </c>
      <c r="T148" s="382">
        <f t="shared" si="33"/>
        <v>7.6074600000000006</v>
      </c>
      <c r="U148" s="382"/>
      <c r="V148" s="383">
        <f t="shared" si="34"/>
        <v>0.53542444930729993</v>
      </c>
      <c r="W148" s="386" t="str">
        <f t="shared" si="35"/>
        <v>High to very high</v>
      </c>
    </row>
    <row r="149" spans="1:23" ht="16.2" thickBot="1" x14ac:dyDescent="0.35">
      <c r="A149" s="247">
        <v>13919</v>
      </c>
      <c r="B149" s="31">
        <v>10326.506100000001</v>
      </c>
      <c r="C149" s="247">
        <v>13277</v>
      </c>
      <c r="D149" s="31">
        <v>9489.0719000000008</v>
      </c>
      <c r="E149" s="247">
        <v>4122</v>
      </c>
      <c r="F149" s="31">
        <v>2485.5659999999998</v>
      </c>
      <c r="G149" s="251">
        <v>194.65</v>
      </c>
      <c r="H149" s="251"/>
      <c r="I149" s="251"/>
      <c r="J149" s="382">
        <f t="shared" si="25"/>
        <v>0.41319565217391296</v>
      </c>
      <c r="K149" s="382">
        <f t="shared" si="26"/>
        <v>44.897852608695658</v>
      </c>
      <c r="L149" s="382">
        <f t="shared" si="27"/>
        <v>47.417857142857144</v>
      </c>
      <c r="M149" s="382">
        <f t="shared" si="28"/>
        <v>20.457333333333331</v>
      </c>
      <c r="N149" s="238"/>
      <c r="O149" s="382">
        <f t="shared" si="24"/>
        <v>7.7069942870886319</v>
      </c>
      <c r="P149" s="382" t="str">
        <f t="shared" si="29"/>
        <v>Sol non sodique – Faible risque de dispersion, perméabilité normale</v>
      </c>
      <c r="Q149" s="382">
        <f t="shared" si="30"/>
        <v>0.41324543478260867</v>
      </c>
      <c r="R149" s="382">
        <f t="shared" si="31"/>
        <v>44.802348847324922</v>
      </c>
      <c r="S149" s="382">
        <f t="shared" si="32"/>
        <v>47.350658183632738</v>
      </c>
      <c r="T149" s="382">
        <f t="shared" si="33"/>
        <v>14.591880000000002</v>
      </c>
      <c r="U149" s="382"/>
      <c r="V149" s="383">
        <f t="shared" si="34"/>
        <v>0.41809564814549904</v>
      </c>
      <c r="W149" s="386" t="str">
        <f t="shared" si="35"/>
        <v>Moderate to high</v>
      </c>
    </row>
    <row r="150" spans="1:23" ht="16.2" thickBot="1" x14ac:dyDescent="0.35">
      <c r="A150" s="247">
        <v>27924</v>
      </c>
      <c r="B150" s="31">
        <v>20716.815600000002</v>
      </c>
      <c r="C150" s="247">
        <v>9949</v>
      </c>
      <c r="D150" s="31">
        <v>7110.5502999999999</v>
      </c>
      <c r="E150" s="247">
        <v>1024</v>
      </c>
      <c r="F150" s="31">
        <v>617.47199999999998</v>
      </c>
      <c r="G150" s="251">
        <v>298.08999999999997</v>
      </c>
      <c r="H150" s="251"/>
      <c r="I150" s="251"/>
      <c r="J150" s="382">
        <f t="shared" si="25"/>
        <v>0.6327741687979539</v>
      </c>
      <c r="K150" s="382">
        <f t="shared" si="26"/>
        <v>90.073111304347819</v>
      </c>
      <c r="L150" s="382">
        <f t="shared" si="27"/>
        <v>35.532142857142858</v>
      </c>
      <c r="M150" s="382">
        <f t="shared" si="28"/>
        <v>5.0820740740740735</v>
      </c>
      <c r="N150" s="238"/>
      <c r="O150" s="382">
        <f t="shared" si="24"/>
        <v>19.988081894252311</v>
      </c>
      <c r="P150" s="382" t="str">
        <f t="shared" si="29"/>
        <v>Sol sodique – Risque élevé de dispersion, structure du sol détériorée</v>
      </c>
      <c r="Q150" s="382">
        <f t="shared" si="30"/>
        <v>0.63285040664961623</v>
      </c>
      <c r="R150" s="382">
        <f t="shared" si="31"/>
        <v>89.881513701609393</v>
      </c>
      <c r="S150" s="382">
        <f t="shared" si="32"/>
        <v>35.481787924151696</v>
      </c>
      <c r="T150" s="382">
        <f t="shared" si="33"/>
        <v>3.6249600000000002</v>
      </c>
      <c r="U150" s="382"/>
      <c r="V150" s="383">
        <f t="shared" si="34"/>
        <v>0.69341723961707158</v>
      </c>
      <c r="W150" s="386" t="str">
        <f t="shared" si="35"/>
        <v>High to very high</v>
      </c>
    </row>
    <row r="151" spans="1:23" ht="16.2" thickBot="1" x14ac:dyDescent="0.35">
      <c r="A151" s="247">
        <v>23145</v>
      </c>
      <c r="B151" s="31">
        <v>17171.2755</v>
      </c>
      <c r="C151" s="247">
        <v>10445</v>
      </c>
      <c r="D151" s="31">
        <v>7465.0415000000003</v>
      </c>
      <c r="E151" s="247">
        <v>2130</v>
      </c>
      <c r="F151" s="31">
        <v>1284.3899999999999</v>
      </c>
      <c r="G151" s="251">
        <v>277.38</v>
      </c>
      <c r="H151" s="251"/>
      <c r="I151" s="251"/>
      <c r="J151" s="382">
        <f t="shared" si="25"/>
        <v>0.58881176470588237</v>
      </c>
      <c r="K151" s="382">
        <f t="shared" si="26"/>
        <v>74.657719565217391</v>
      </c>
      <c r="L151" s="382">
        <f t="shared" si="27"/>
        <v>37.303571428571431</v>
      </c>
      <c r="M151" s="382">
        <f t="shared" si="28"/>
        <v>10.57111111111111</v>
      </c>
      <c r="N151" s="238"/>
      <c r="O151" s="382">
        <f t="shared" si="24"/>
        <v>15.259375649143665</v>
      </c>
      <c r="P151" s="382" t="str">
        <f t="shared" si="29"/>
        <v>Sol modérément sodique – Risque modéré de sodicité</v>
      </c>
      <c r="Q151" s="382">
        <f t="shared" si="30"/>
        <v>0.58888270588235292</v>
      </c>
      <c r="R151" s="382">
        <f t="shared" si="31"/>
        <v>74.498912570682904</v>
      </c>
      <c r="S151" s="382">
        <f t="shared" si="32"/>
        <v>37.250706087824355</v>
      </c>
      <c r="T151" s="382">
        <f t="shared" si="33"/>
        <v>7.5402000000000005</v>
      </c>
      <c r="U151" s="382"/>
      <c r="V151" s="383">
        <f t="shared" si="34"/>
        <v>0.6214524492072373</v>
      </c>
      <c r="W151" s="386" t="str">
        <f t="shared" si="35"/>
        <v>High to very high</v>
      </c>
    </row>
    <row r="152" spans="1:23" ht="16.2" thickBot="1" x14ac:dyDescent="0.35">
      <c r="A152" s="247">
        <v>71</v>
      </c>
      <c r="B152" s="31">
        <v>52.674900000000001</v>
      </c>
      <c r="C152" s="247">
        <v>3754</v>
      </c>
      <c r="D152" s="31">
        <v>2682.9838</v>
      </c>
      <c r="E152" s="247">
        <v>682</v>
      </c>
      <c r="F152" s="31">
        <v>411.24599999999998</v>
      </c>
      <c r="G152" s="251">
        <v>501.73</v>
      </c>
      <c r="H152" s="251"/>
      <c r="I152" s="251"/>
      <c r="J152" s="382">
        <f t="shared" si="25"/>
        <v>1.0650534526854221</v>
      </c>
      <c r="K152" s="382">
        <f t="shared" si="26"/>
        <v>0.22902130434782611</v>
      </c>
      <c r="L152" s="382">
        <f t="shared" si="27"/>
        <v>13.407142857142858</v>
      </c>
      <c r="M152" s="382">
        <f t="shared" si="28"/>
        <v>3.3847407407407406</v>
      </c>
      <c r="N152" s="238"/>
      <c r="O152" s="382">
        <f t="shared" si="24"/>
        <v>7.9038952166234772E-2</v>
      </c>
      <c r="P152" s="382" t="str">
        <f t="shared" si="29"/>
        <v>Sol non sodique – Faible risque de dispersion, perméabilité normale</v>
      </c>
      <c r="Q152" s="382">
        <f t="shared" si="30"/>
        <v>1.0651817723785166</v>
      </c>
      <c r="R152" s="382">
        <f t="shared" si="31"/>
        <v>0.22853414528055677</v>
      </c>
      <c r="S152" s="382">
        <f t="shared" si="32"/>
        <v>13.388142714570858</v>
      </c>
      <c r="T152" s="382">
        <f t="shared" si="33"/>
        <v>2.4142800000000002</v>
      </c>
      <c r="U152" s="382"/>
      <c r="V152" s="383">
        <f t="shared" si="34"/>
        <v>1.3367588447704812E-2</v>
      </c>
      <c r="W152" s="386" t="str">
        <f t="shared" si="35"/>
        <v>None to slight</v>
      </c>
    </row>
    <row r="153" spans="1:23" ht="16.2" thickBot="1" x14ac:dyDescent="0.35">
      <c r="A153" s="247">
        <v>80</v>
      </c>
      <c r="B153" s="31">
        <v>59.352000000000004</v>
      </c>
      <c r="C153" s="247">
        <v>3915</v>
      </c>
      <c r="D153" s="31">
        <v>2798.0504999999998</v>
      </c>
      <c r="E153" s="247">
        <v>758</v>
      </c>
      <c r="F153" s="31">
        <v>457.07400000000001</v>
      </c>
      <c r="G153" s="251">
        <v>402.88</v>
      </c>
      <c r="H153" s="251"/>
      <c r="I153" s="251"/>
      <c r="J153" s="382">
        <f t="shared" si="25"/>
        <v>0.85521841432225054</v>
      </c>
      <c r="K153" s="382">
        <f t="shared" si="26"/>
        <v>0.25805217391304347</v>
      </c>
      <c r="L153" s="382">
        <f t="shared" si="27"/>
        <v>13.982142857142858</v>
      </c>
      <c r="M153" s="382">
        <f t="shared" si="28"/>
        <v>3.7619259259259259</v>
      </c>
      <c r="N153" s="238"/>
      <c r="O153" s="382">
        <f t="shared" si="24"/>
        <v>8.6635505495619561E-2</v>
      </c>
      <c r="P153" s="382" t="str">
        <f t="shared" si="29"/>
        <v>Sol non sodique – Faible risque de dispersion, perméabilité normale</v>
      </c>
      <c r="Q153" s="382">
        <f t="shared" si="30"/>
        <v>0.85532145268542192</v>
      </c>
      <c r="R153" s="382">
        <f t="shared" si="31"/>
        <v>0.25750326228795128</v>
      </c>
      <c r="S153" s="382">
        <f t="shared" si="32"/>
        <v>13.962327844311377</v>
      </c>
      <c r="T153" s="382">
        <f t="shared" si="33"/>
        <v>2.6833200000000001</v>
      </c>
      <c r="U153" s="382"/>
      <c r="V153" s="383">
        <f t="shared" si="34"/>
        <v>1.4500304653359369E-2</v>
      </c>
      <c r="W153" s="386" t="str">
        <f t="shared" si="35"/>
        <v>None to slight</v>
      </c>
    </row>
    <row r="154" spans="1:23" ht="16.2" thickBot="1" x14ac:dyDescent="0.35">
      <c r="A154" s="247">
        <v>112</v>
      </c>
      <c r="B154" s="31">
        <v>83.092799999999997</v>
      </c>
      <c r="C154" s="247">
        <v>3132</v>
      </c>
      <c r="D154" s="31">
        <v>2238.4404</v>
      </c>
      <c r="E154" s="247">
        <v>408</v>
      </c>
      <c r="F154" s="31">
        <v>246.024</v>
      </c>
      <c r="G154" s="251">
        <v>264.02</v>
      </c>
      <c r="H154" s="251"/>
      <c r="I154" s="251"/>
      <c r="J154" s="382">
        <f t="shared" si="25"/>
        <v>0.56045166240409205</v>
      </c>
      <c r="K154" s="382">
        <f t="shared" si="26"/>
        <v>0.36127304347826084</v>
      </c>
      <c r="L154" s="382">
        <f t="shared" si="27"/>
        <v>11.185714285714287</v>
      </c>
      <c r="M154" s="382">
        <f t="shared" si="28"/>
        <v>2.024888888888889</v>
      </c>
      <c r="N154" s="238"/>
      <c r="O154" s="382">
        <f t="shared" si="24"/>
        <v>0.1405688953392889</v>
      </c>
      <c r="P154" s="382" t="str">
        <f t="shared" si="29"/>
        <v>Sol non sodique – Faible risque de dispersion, perméabilité normale</v>
      </c>
      <c r="Q154" s="382">
        <f t="shared" si="30"/>
        <v>0.56051918670076717</v>
      </c>
      <c r="R154" s="382">
        <f t="shared" si="31"/>
        <v>0.36050456720313179</v>
      </c>
      <c r="S154" s="382">
        <f t="shared" si="32"/>
        <v>11.169862275449102</v>
      </c>
      <c r="T154" s="382">
        <f t="shared" si="33"/>
        <v>1.44432</v>
      </c>
      <c r="U154" s="382"/>
      <c r="V154" s="383">
        <f t="shared" si="34"/>
        <v>2.6634582910768173E-2</v>
      </c>
      <c r="W154" s="386" t="str">
        <f t="shared" si="35"/>
        <v>None to slight</v>
      </c>
    </row>
    <row r="155" spans="1:23" ht="16.2" thickBot="1" x14ac:dyDescent="0.35">
      <c r="A155" s="247">
        <v>567</v>
      </c>
      <c r="B155" s="31">
        <v>420.65730000000002</v>
      </c>
      <c r="C155" s="247">
        <v>4810</v>
      </c>
      <c r="D155" s="31">
        <v>3437.7069999999999</v>
      </c>
      <c r="E155" s="247">
        <v>881</v>
      </c>
      <c r="F155" s="31">
        <v>531.24299999999994</v>
      </c>
      <c r="G155" s="251">
        <v>269.20999999999998</v>
      </c>
      <c r="H155" s="251"/>
      <c r="I155" s="251"/>
      <c r="J155" s="382">
        <f t="shared" si="25"/>
        <v>0.5714687979539641</v>
      </c>
      <c r="K155" s="382">
        <f t="shared" si="26"/>
        <v>1.8289447826086958</v>
      </c>
      <c r="L155" s="382">
        <f t="shared" si="27"/>
        <v>17.178571428571427</v>
      </c>
      <c r="M155" s="382">
        <f t="shared" si="28"/>
        <v>4.3723703703703691</v>
      </c>
      <c r="N155" s="238"/>
      <c r="O155" s="382">
        <f t="shared" si="24"/>
        <v>0.55716325225225827</v>
      </c>
      <c r="P155" s="382" t="str">
        <f t="shared" si="29"/>
        <v>Sol non sodique – Faible risque de dispersion, perméabilité normale</v>
      </c>
      <c r="Q155" s="382">
        <f t="shared" si="30"/>
        <v>0.57153764961636822</v>
      </c>
      <c r="R155" s="382">
        <f t="shared" si="31"/>
        <v>1.8250543714658547</v>
      </c>
      <c r="S155" s="382">
        <f t="shared" si="32"/>
        <v>17.154226546906187</v>
      </c>
      <c r="T155" s="382">
        <f t="shared" si="33"/>
        <v>3.1187400000000003</v>
      </c>
      <c r="U155" s="382"/>
      <c r="V155" s="383">
        <f t="shared" si="34"/>
        <v>8.0506833249192875E-2</v>
      </c>
      <c r="W155" s="386" t="str">
        <f t="shared" si="35"/>
        <v>None to slight</v>
      </c>
    </row>
    <row r="156" spans="1:23" ht="16.2" thickBot="1" x14ac:dyDescent="0.35">
      <c r="A156" s="247">
        <v>523</v>
      </c>
      <c r="B156" s="31">
        <v>388.01370000000003</v>
      </c>
      <c r="C156" s="247">
        <v>3864</v>
      </c>
      <c r="D156" s="31">
        <v>2761.6008000000002</v>
      </c>
      <c r="E156" s="247">
        <v>681</v>
      </c>
      <c r="F156" s="31">
        <v>410.64299999999997</v>
      </c>
      <c r="G156" s="251">
        <v>429.05</v>
      </c>
      <c r="H156" s="251"/>
      <c r="I156" s="251"/>
      <c r="J156" s="382">
        <f t="shared" si="25"/>
        <v>0.91077109974424542</v>
      </c>
      <c r="K156" s="382">
        <f t="shared" si="26"/>
        <v>1.6870160869565221</v>
      </c>
      <c r="L156" s="382">
        <f t="shared" si="27"/>
        <v>13.8</v>
      </c>
      <c r="M156" s="382">
        <f t="shared" si="28"/>
        <v>3.3797777777777775</v>
      </c>
      <c r="N156" s="238"/>
      <c r="O156" s="382">
        <f t="shared" si="24"/>
        <v>0.57560618360983185</v>
      </c>
      <c r="P156" s="382" t="str">
        <f t="shared" si="29"/>
        <v>Sol non sodique – Faible risque de dispersion, perméabilité normale</v>
      </c>
      <c r="Q156" s="382">
        <f t="shared" si="30"/>
        <v>0.91088083120204599</v>
      </c>
      <c r="R156" s="382">
        <f t="shared" si="31"/>
        <v>1.6834275772074814</v>
      </c>
      <c r="S156" s="382">
        <f t="shared" si="32"/>
        <v>13.780443113772456</v>
      </c>
      <c r="T156" s="382">
        <f t="shared" si="33"/>
        <v>2.4107400000000001</v>
      </c>
      <c r="U156" s="382"/>
      <c r="V156" s="383">
        <f t="shared" si="34"/>
        <v>8.9613177021196561E-2</v>
      </c>
      <c r="W156" s="386" t="str">
        <f t="shared" si="35"/>
        <v>None to slight</v>
      </c>
    </row>
    <row r="157" spans="1:23" ht="16.2" thickBot="1" x14ac:dyDescent="0.35">
      <c r="A157" s="247">
        <v>408</v>
      </c>
      <c r="B157" s="31">
        <v>302.6952</v>
      </c>
      <c r="C157" s="247">
        <v>4017</v>
      </c>
      <c r="D157" s="31">
        <v>2870.9499000000001</v>
      </c>
      <c r="E157" s="247">
        <v>924</v>
      </c>
      <c r="F157" s="31">
        <v>557.17200000000003</v>
      </c>
      <c r="G157" s="251">
        <v>318.5</v>
      </c>
      <c r="H157" s="251"/>
      <c r="I157" s="251"/>
      <c r="J157" s="382">
        <f t="shared" si="25"/>
        <v>0.67609974424552421</v>
      </c>
      <c r="K157" s="382">
        <f t="shared" si="26"/>
        <v>1.3160660869565217</v>
      </c>
      <c r="L157" s="382">
        <f t="shared" si="27"/>
        <v>14.346428571428572</v>
      </c>
      <c r="M157" s="382">
        <f t="shared" si="28"/>
        <v>4.5857777777777784</v>
      </c>
      <c r="N157" s="238"/>
      <c r="O157" s="382">
        <f t="shared" si="24"/>
        <v>0.42775203200775491</v>
      </c>
      <c r="P157" s="382" t="str">
        <f t="shared" si="29"/>
        <v>Sol non sodique – Faible risque de dispersion, perméabilité normale</v>
      </c>
      <c r="Q157" s="382">
        <f t="shared" si="30"/>
        <v>0.67618120204603571</v>
      </c>
      <c r="R157" s="382">
        <f t="shared" si="31"/>
        <v>1.3132666376685516</v>
      </c>
      <c r="S157" s="382">
        <f t="shared" si="32"/>
        <v>14.326097305389222</v>
      </c>
      <c r="T157" s="382">
        <f t="shared" si="33"/>
        <v>3.2709600000000001</v>
      </c>
      <c r="U157" s="382"/>
      <c r="V157" s="383">
        <f t="shared" si="34"/>
        <v>6.7049564378096269E-2</v>
      </c>
      <c r="W157" s="386" t="str">
        <f t="shared" si="35"/>
        <v>None to slight</v>
      </c>
    </row>
    <row r="158" spans="1:23" ht="16.2" thickBot="1" x14ac:dyDescent="0.35">
      <c r="A158" s="247">
        <v>117</v>
      </c>
      <c r="B158" s="31">
        <v>86.802300000000002</v>
      </c>
      <c r="C158" s="247">
        <v>49582</v>
      </c>
      <c r="D158" s="31">
        <v>35436.255400000002</v>
      </c>
      <c r="E158" s="247">
        <v>262</v>
      </c>
      <c r="F158" s="31">
        <v>157.98599999999999</v>
      </c>
      <c r="G158" s="251">
        <v>185.64</v>
      </c>
      <c r="H158" s="251"/>
      <c r="I158" s="251"/>
      <c r="J158" s="382">
        <f t="shared" si="25"/>
        <v>0.39406956521739123</v>
      </c>
      <c r="K158" s="382">
        <f t="shared" si="26"/>
        <v>0.37740130434782609</v>
      </c>
      <c r="L158" s="382">
        <f t="shared" si="27"/>
        <v>177.07857142857142</v>
      </c>
      <c r="M158" s="382">
        <f t="shared" si="28"/>
        <v>1.3002962962962961</v>
      </c>
      <c r="N158" s="238"/>
      <c r="O158" s="382">
        <f t="shared" si="24"/>
        <v>3.9961951943157124E-2</v>
      </c>
      <c r="P158" s="382" t="str">
        <f t="shared" si="29"/>
        <v>Sol non sodique – Faible risque de dispersion, perméabilité normale</v>
      </c>
      <c r="Q158" s="382">
        <f t="shared" si="30"/>
        <v>0.39411704347826088</v>
      </c>
      <c r="R158" s="382">
        <f t="shared" si="31"/>
        <v>0.37659852109612874</v>
      </c>
      <c r="S158" s="382">
        <f t="shared" si="32"/>
        <v>176.82762175648702</v>
      </c>
      <c r="T158" s="382">
        <f t="shared" si="33"/>
        <v>0.92748000000000008</v>
      </c>
      <c r="U158" s="382"/>
      <c r="V158" s="383">
        <f t="shared" si="34"/>
        <v>2.109490530542441E-3</v>
      </c>
      <c r="W158" s="386" t="str">
        <f t="shared" si="35"/>
        <v>None to slight</v>
      </c>
    </row>
    <row r="159" spans="1:23" ht="16.2" thickBot="1" x14ac:dyDescent="0.35">
      <c r="A159" s="247">
        <v>289</v>
      </c>
      <c r="B159" s="31">
        <v>214.4091</v>
      </c>
      <c r="C159" s="247">
        <v>49890</v>
      </c>
      <c r="D159" s="31">
        <v>35656.383000000002</v>
      </c>
      <c r="E159" s="247">
        <v>316</v>
      </c>
      <c r="F159" s="31">
        <v>190.548</v>
      </c>
      <c r="G159" s="251">
        <v>154.28</v>
      </c>
      <c r="H159" s="251"/>
      <c r="I159" s="251"/>
      <c r="J159" s="382">
        <f t="shared" si="25"/>
        <v>0.3274997442455243</v>
      </c>
      <c r="K159" s="382">
        <f t="shared" si="26"/>
        <v>0.93221347826086953</v>
      </c>
      <c r="L159" s="382">
        <f t="shared" si="27"/>
        <v>178.17857142857142</v>
      </c>
      <c r="M159" s="382">
        <f t="shared" si="28"/>
        <v>1.5682962962962963</v>
      </c>
      <c r="N159" s="238"/>
      <c r="O159" s="382">
        <f t="shared" si="24"/>
        <v>9.8333095330942533E-2</v>
      </c>
      <c r="P159" s="382" t="str">
        <f t="shared" si="29"/>
        <v>Sol non sodique – Faible risque de dispersion, perméabilité normale</v>
      </c>
      <c r="Q159" s="382">
        <f t="shared" si="30"/>
        <v>0.32753920204603576</v>
      </c>
      <c r="R159" s="382">
        <f t="shared" si="31"/>
        <v>0.9302305350152239</v>
      </c>
      <c r="S159" s="382">
        <f t="shared" si="32"/>
        <v>177.9260628742515</v>
      </c>
      <c r="T159" s="382">
        <f t="shared" si="33"/>
        <v>1.1186400000000001</v>
      </c>
      <c r="U159" s="382"/>
      <c r="V159" s="383">
        <f t="shared" si="34"/>
        <v>5.1592777489001453E-3</v>
      </c>
      <c r="W159" s="386" t="str">
        <f t="shared" si="35"/>
        <v>None to slight</v>
      </c>
    </row>
    <row r="160" spans="1:23" ht="16.2" thickBot="1" x14ac:dyDescent="0.35">
      <c r="A160" s="247">
        <v>44047</v>
      </c>
      <c r="B160" s="31">
        <v>32678.469300000001</v>
      </c>
      <c r="C160" s="247">
        <v>13425</v>
      </c>
      <c r="D160" s="31">
        <v>9594.8474999999999</v>
      </c>
      <c r="E160" s="247">
        <v>4087</v>
      </c>
      <c r="F160" s="31">
        <v>2464.4609999999998</v>
      </c>
      <c r="G160" s="251">
        <v>1458.75</v>
      </c>
      <c r="H160" s="251"/>
      <c r="I160" s="251"/>
      <c r="J160" s="382">
        <f t="shared" si="25"/>
        <v>3.0965792838874679</v>
      </c>
      <c r="K160" s="382">
        <f t="shared" si="26"/>
        <v>142.08030130434784</v>
      </c>
      <c r="L160" s="382">
        <f t="shared" si="27"/>
        <v>47.946428571428569</v>
      </c>
      <c r="M160" s="382">
        <f t="shared" si="28"/>
        <v>20.283629629629626</v>
      </c>
      <c r="N160" s="238"/>
      <c r="O160" s="382">
        <f t="shared" si="24"/>
        <v>24.325456346061181</v>
      </c>
      <c r="P160" s="382" t="str">
        <f t="shared" si="29"/>
        <v>Sol sodique – Risque élevé de dispersion, structure du sol détériorée</v>
      </c>
      <c r="Q160" s="382">
        <f t="shared" si="30"/>
        <v>3.0969523657289</v>
      </c>
      <c r="R160" s="382">
        <f t="shared" si="31"/>
        <v>141.77807742496736</v>
      </c>
      <c r="S160" s="382">
        <f t="shared" si="32"/>
        <v>47.878480538922155</v>
      </c>
      <c r="T160" s="382">
        <f t="shared" si="33"/>
        <v>14.467980000000001</v>
      </c>
      <c r="U160" s="382"/>
      <c r="V160" s="383">
        <f t="shared" si="34"/>
        <v>0.68418616814041344</v>
      </c>
      <c r="W160" s="386" t="str">
        <f t="shared" si="35"/>
        <v>High to very high</v>
      </c>
    </row>
    <row r="161" spans="1:23" ht="16.2" thickBot="1" x14ac:dyDescent="0.35">
      <c r="A161" s="247">
        <v>27962</v>
      </c>
      <c r="B161" s="31">
        <v>20745.007799999999</v>
      </c>
      <c r="C161" s="247">
        <v>25536</v>
      </c>
      <c r="D161" s="31">
        <v>18250.5792</v>
      </c>
      <c r="E161" s="247">
        <v>4995</v>
      </c>
      <c r="F161" s="31">
        <v>3011.9850000000001</v>
      </c>
      <c r="G161" s="251">
        <v>2101.94</v>
      </c>
      <c r="H161" s="251"/>
      <c r="I161" s="251"/>
      <c r="J161" s="382">
        <f t="shared" si="25"/>
        <v>4.4619186700767264</v>
      </c>
      <c r="K161" s="382">
        <f t="shared" si="26"/>
        <v>90.195686086956513</v>
      </c>
      <c r="L161" s="382">
        <f t="shared" si="27"/>
        <v>91.2</v>
      </c>
      <c r="M161" s="382">
        <f t="shared" si="28"/>
        <v>24.790000000000003</v>
      </c>
      <c r="N161" s="238"/>
      <c r="O161" s="382">
        <f t="shared" si="24"/>
        <v>11.843784318361124</v>
      </c>
      <c r="P161" s="382" t="str">
        <f t="shared" si="29"/>
        <v>Sol modérément sodique – Risque modéré de sodicité</v>
      </c>
      <c r="Q161" s="382">
        <f t="shared" si="30"/>
        <v>4.4624562506393861</v>
      </c>
      <c r="R161" s="382">
        <f t="shared" si="31"/>
        <v>90.00382775119617</v>
      </c>
      <c r="S161" s="382">
        <f t="shared" si="32"/>
        <v>91.070754491017965</v>
      </c>
      <c r="T161" s="382">
        <f t="shared" si="33"/>
        <v>17.682300000000001</v>
      </c>
      <c r="U161" s="382"/>
      <c r="V161" s="383">
        <f t="shared" si="34"/>
        <v>0.44289007344820813</v>
      </c>
      <c r="W161" s="386" t="str">
        <f t="shared" si="35"/>
        <v>Moderate to high</v>
      </c>
    </row>
    <row r="162" spans="1:23" ht="16.2" thickBot="1" x14ac:dyDescent="0.35">
      <c r="A162" s="247">
        <v>816</v>
      </c>
      <c r="B162" s="31">
        <v>605.3904</v>
      </c>
      <c r="C162" s="247">
        <v>10108</v>
      </c>
      <c r="D162" s="31">
        <v>7224.1876000000002</v>
      </c>
      <c r="E162" s="247">
        <v>1461</v>
      </c>
      <c r="F162" s="31">
        <v>880.98299999999995</v>
      </c>
      <c r="G162" s="251">
        <v>1294.24</v>
      </c>
      <c r="H162" s="251"/>
      <c r="I162" s="251"/>
      <c r="J162" s="382">
        <f t="shared" si="25"/>
        <v>2.7473636828644499</v>
      </c>
      <c r="K162" s="382">
        <f t="shared" si="26"/>
        <v>2.6321321739130434</v>
      </c>
      <c r="L162" s="382">
        <f t="shared" si="27"/>
        <v>36.1</v>
      </c>
      <c r="M162" s="382">
        <f t="shared" si="28"/>
        <v>7.2508888888888885</v>
      </c>
      <c r="N162" s="238"/>
      <c r="O162" s="382">
        <f t="shared" si="24"/>
        <v>0.56535819037520341</v>
      </c>
      <c r="P162" s="382" t="str">
        <f t="shared" si="29"/>
        <v>Sol non sodique – Faible risque de dispersion, perméabilité normale</v>
      </c>
      <c r="Q162" s="382">
        <f t="shared" si="30"/>
        <v>2.7476946905370845</v>
      </c>
      <c r="R162" s="382">
        <f t="shared" si="31"/>
        <v>2.6265332753371031</v>
      </c>
      <c r="S162" s="382">
        <f t="shared" si="32"/>
        <v>36.048840319361275</v>
      </c>
      <c r="T162" s="382">
        <f t="shared" si="33"/>
        <v>5.1719400000000002</v>
      </c>
      <c r="U162" s="382"/>
      <c r="V162" s="383">
        <f t="shared" si="34"/>
        <v>5.6369413205349113E-2</v>
      </c>
      <c r="W162" s="386" t="str">
        <f t="shared" si="35"/>
        <v>None to slight</v>
      </c>
    </row>
    <row r="163" spans="1:23" ht="16.2" thickBot="1" x14ac:dyDescent="0.35">
      <c r="A163" s="247">
        <v>6078</v>
      </c>
      <c r="B163" s="31">
        <v>4509.2682000000004</v>
      </c>
      <c r="C163" s="247">
        <v>10067</v>
      </c>
      <c r="D163" s="31">
        <v>7194.8849</v>
      </c>
      <c r="E163" s="247">
        <v>2345</v>
      </c>
      <c r="F163" s="31">
        <v>1414.0349999999999</v>
      </c>
      <c r="G163" s="251">
        <v>1409.6</v>
      </c>
      <c r="H163" s="251"/>
      <c r="I163" s="251"/>
      <c r="J163" s="382">
        <f t="shared" si="25"/>
        <v>2.9922455242966746</v>
      </c>
      <c r="K163" s="382">
        <f t="shared" si="26"/>
        <v>19.605513913043477</v>
      </c>
      <c r="L163" s="382">
        <f t="shared" si="27"/>
        <v>35.953571428571429</v>
      </c>
      <c r="M163" s="382">
        <f t="shared" si="28"/>
        <v>11.638148148148145</v>
      </c>
      <c r="N163" s="238"/>
      <c r="O163" s="382">
        <f t="shared" si="24"/>
        <v>4.0190881366859577</v>
      </c>
      <c r="P163" s="382" t="str">
        <f t="shared" si="29"/>
        <v>Sol non sodique – Faible risque de dispersion, perméabilité normale</v>
      </c>
      <c r="Q163" s="382">
        <f t="shared" si="30"/>
        <v>2.9926060358056259</v>
      </c>
      <c r="R163" s="382">
        <f t="shared" si="31"/>
        <v>19.563810352327099</v>
      </c>
      <c r="S163" s="382">
        <f t="shared" si="32"/>
        <v>35.902619261477042</v>
      </c>
      <c r="T163" s="382">
        <f t="shared" si="33"/>
        <v>8.3013000000000012</v>
      </c>
      <c r="U163" s="382"/>
      <c r="V163" s="383">
        <f t="shared" si="34"/>
        <v>0.29304541629340136</v>
      </c>
      <c r="W163" s="386" t="str">
        <f t="shared" si="35"/>
        <v>Light to moderate</v>
      </c>
    </row>
    <row r="164" spans="1:23" ht="16.2" thickBot="1" x14ac:dyDescent="0.35">
      <c r="A164" s="247">
        <v>13378</v>
      </c>
      <c r="B164" s="31">
        <v>9925.1381999999994</v>
      </c>
      <c r="C164" s="247">
        <v>10230</v>
      </c>
      <c r="D164" s="31">
        <v>7311.3810000000003</v>
      </c>
      <c r="E164" s="247">
        <v>1836</v>
      </c>
      <c r="F164" s="31">
        <v>1107.1079999999999</v>
      </c>
      <c r="G164" s="251">
        <v>328.52</v>
      </c>
      <c r="H164" s="251"/>
      <c r="I164" s="251"/>
      <c r="J164" s="382">
        <f t="shared" si="25"/>
        <v>0.69736982097186695</v>
      </c>
      <c r="K164" s="382">
        <f t="shared" si="26"/>
        <v>43.152774782608688</v>
      </c>
      <c r="L164" s="382">
        <f t="shared" si="27"/>
        <v>36.535714285714285</v>
      </c>
      <c r="M164" s="382">
        <f t="shared" si="28"/>
        <v>9.1119999999999983</v>
      </c>
      <c r="N164" s="238"/>
      <c r="O164" s="382">
        <f t="shared" si="24"/>
        <v>9.0326297033034688</v>
      </c>
      <c r="P164" s="382" t="str">
        <f t="shared" si="29"/>
        <v>Sol non sodique – Faible risque de dispersion, perméabilité normale</v>
      </c>
      <c r="Q164" s="382">
        <f t="shared" si="30"/>
        <v>0.69745384143222489</v>
      </c>
      <c r="R164" s="382">
        <f t="shared" si="31"/>
        <v>43.060983036102648</v>
      </c>
      <c r="S164" s="382">
        <f t="shared" si="32"/>
        <v>36.483937125748504</v>
      </c>
      <c r="T164" s="382">
        <f t="shared" si="33"/>
        <v>6.4994399999999999</v>
      </c>
      <c r="U164" s="382"/>
      <c r="V164" s="383">
        <f t="shared" si="34"/>
        <v>0.49642705229190498</v>
      </c>
      <c r="W164" s="386" t="str">
        <f t="shared" si="35"/>
        <v>Moderate to high</v>
      </c>
    </row>
    <row r="165" spans="1:23" ht="16.2" thickBot="1" x14ac:dyDescent="0.35">
      <c r="A165" s="247">
        <v>74</v>
      </c>
      <c r="B165" s="31">
        <v>54.900599999999997</v>
      </c>
      <c r="C165" s="247">
        <v>10100</v>
      </c>
      <c r="D165" s="31">
        <v>7218.47</v>
      </c>
      <c r="E165" s="247">
        <v>597</v>
      </c>
      <c r="F165" s="31">
        <v>359.99099999999999</v>
      </c>
      <c r="G165" s="251">
        <v>640.84</v>
      </c>
      <c r="H165" s="251"/>
      <c r="I165" s="251"/>
      <c r="J165" s="382">
        <f t="shared" si="25"/>
        <v>1.3603508951406649</v>
      </c>
      <c r="K165" s="382">
        <f t="shared" si="26"/>
        <v>0.23869826086956519</v>
      </c>
      <c r="L165" s="382">
        <f t="shared" si="27"/>
        <v>36.071428571428569</v>
      </c>
      <c r="M165" s="382">
        <f t="shared" si="28"/>
        <v>2.9628888888888887</v>
      </c>
      <c r="N165" s="238"/>
      <c r="O165" s="382">
        <f t="shared" si="24"/>
        <v>5.4030745233015758E-2</v>
      </c>
      <c r="P165" s="382" t="str">
        <f t="shared" si="29"/>
        <v>Sol non sodique – Faible risque de dispersion, perméabilité normale</v>
      </c>
      <c r="Q165" s="382">
        <f t="shared" si="30"/>
        <v>1.3605147928388746</v>
      </c>
      <c r="R165" s="382">
        <f t="shared" si="31"/>
        <v>0.23819051761635493</v>
      </c>
      <c r="S165" s="382">
        <f t="shared" si="32"/>
        <v>36.020309381237524</v>
      </c>
      <c r="T165" s="382">
        <f t="shared" si="33"/>
        <v>2.1133800000000003</v>
      </c>
      <c r="U165" s="382"/>
      <c r="V165" s="383">
        <f t="shared" si="34"/>
        <v>5.9948694123426642E-3</v>
      </c>
      <c r="W165" s="386" t="str">
        <f t="shared" si="35"/>
        <v>None to slight</v>
      </c>
    </row>
    <row r="166" spans="1:23" ht="16.2" thickBot="1" x14ac:dyDescent="0.35">
      <c r="A166" s="247">
        <v>154</v>
      </c>
      <c r="B166" s="31">
        <v>114.2526</v>
      </c>
      <c r="C166" s="247">
        <v>10032</v>
      </c>
      <c r="D166" s="31">
        <v>7169.8703999999998</v>
      </c>
      <c r="E166" s="247">
        <v>619</v>
      </c>
      <c r="F166" s="31">
        <v>373.25700000000001</v>
      </c>
      <c r="G166" s="251">
        <v>774.5</v>
      </c>
      <c r="H166" s="251"/>
      <c r="I166" s="251"/>
      <c r="J166" s="382">
        <f t="shared" si="25"/>
        <v>1.6440792838874676</v>
      </c>
      <c r="K166" s="382">
        <f t="shared" si="26"/>
        <v>0.49675043478260866</v>
      </c>
      <c r="L166" s="382">
        <f t="shared" si="27"/>
        <v>35.828571428571429</v>
      </c>
      <c r="M166" s="382">
        <f t="shared" si="28"/>
        <v>3.0720740740740737</v>
      </c>
      <c r="N166" s="238"/>
      <c r="O166" s="382">
        <f t="shared" si="24"/>
        <v>0.11263538549996156</v>
      </c>
      <c r="P166" s="382" t="str">
        <f t="shared" si="29"/>
        <v>Sol non sodique – Faible risque de dispersion, perméabilité normale</v>
      </c>
      <c r="Q166" s="382">
        <f t="shared" si="30"/>
        <v>1.6442773657289</v>
      </c>
      <c r="R166" s="382">
        <f t="shared" si="31"/>
        <v>0.49569377990430619</v>
      </c>
      <c r="S166" s="382">
        <f t="shared" si="32"/>
        <v>35.777796407185626</v>
      </c>
      <c r="T166" s="382">
        <f t="shared" si="33"/>
        <v>2.1912600000000002</v>
      </c>
      <c r="U166" s="382"/>
      <c r="V166" s="383">
        <f t="shared" si="34"/>
        <v>1.2358658639916819E-2</v>
      </c>
      <c r="W166" s="386" t="str">
        <f t="shared" si="35"/>
        <v>None to slight</v>
      </c>
    </row>
    <row r="167" spans="1:23" ht="16.2" thickBot="1" x14ac:dyDescent="0.35">
      <c r="A167" s="6">
        <v>30</v>
      </c>
      <c r="B167" s="31">
        <v>22.257000000000001</v>
      </c>
      <c r="C167" s="6">
        <v>2487</v>
      </c>
      <c r="D167" s="31">
        <v>1777.4589000000001</v>
      </c>
      <c r="E167" s="6">
        <v>415</v>
      </c>
      <c r="F167" s="31">
        <v>250.245</v>
      </c>
      <c r="G167" s="282">
        <v>731.13</v>
      </c>
      <c r="H167" s="282"/>
      <c r="I167" s="282"/>
      <c r="J167" s="382">
        <f t="shared" si="25"/>
        <v>1.5520150895140665</v>
      </c>
      <c r="K167" s="382">
        <f t="shared" si="26"/>
        <v>9.6769565217391315E-2</v>
      </c>
      <c r="L167" s="382">
        <f t="shared" si="27"/>
        <v>8.8821428571428562</v>
      </c>
      <c r="M167" s="382">
        <f t="shared" si="28"/>
        <v>2.0596296296296295</v>
      </c>
      <c r="N167" s="238"/>
      <c r="O167" s="382">
        <f t="shared" si="24"/>
        <v>4.1372326894432085E-2</v>
      </c>
      <c r="P167" s="382" t="str">
        <f t="shared" si="29"/>
        <v>Sol non sodique – Faible risque de dispersion, perméabilité normale</v>
      </c>
      <c r="Q167" s="382">
        <f t="shared" si="30"/>
        <v>1.5522020792838873</v>
      </c>
      <c r="R167" s="382">
        <f t="shared" si="31"/>
        <v>9.6563723357981732E-2</v>
      </c>
      <c r="S167" s="382">
        <f t="shared" si="32"/>
        <v>8.8695553892215564</v>
      </c>
      <c r="T167" s="382">
        <f t="shared" si="33"/>
        <v>1.4691000000000001</v>
      </c>
      <c r="U167" s="382"/>
      <c r="V167" s="383">
        <f t="shared" si="34"/>
        <v>8.0554209126751358E-3</v>
      </c>
      <c r="W167" s="386" t="str">
        <f t="shared" si="35"/>
        <v>None to slight</v>
      </c>
    </row>
    <row r="168" spans="1:23" ht="16.2" thickBot="1" x14ac:dyDescent="0.35">
      <c r="A168" s="6">
        <v>38</v>
      </c>
      <c r="B168" s="31">
        <v>28.1922</v>
      </c>
      <c r="C168" s="6">
        <v>3103</v>
      </c>
      <c r="D168" s="31">
        <v>2217.7141000000001</v>
      </c>
      <c r="E168" s="6">
        <v>443</v>
      </c>
      <c r="F168" s="31">
        <v>267.12900000000002</v>
      </c>
      <c r="G168" s="282">
        <v>590.36</v>
      </c>
      <c r="H168" s="282"/>
      <c r="I168" s="282"/>
      <c r="J168" s="382">
        <f t="shared" si="25"/>
        <v>1.2531938618925831</v>
      </c>
      <c r="K168" s="382">
        <f t="shared" si="26"/>
        <v>0.12257478260869566</v>
      </c>
      <c r="L168" s="382">
        <f t="shared" si="27"/>
        <v>11.082142857142859</v>
      </c>
      <c r="M168" s="382">
        <f t="shared" si="28"/>
        <v>2.1985925925925924</v>
      </c>
      <c r="N168" s="238"/>
      <c r="O168" s="382">
        <f t="shared" si="24"/>
        <v>4.756692386417926E-2</v>
      </c>
      <c r="P168" s="382" t="str">
        <f t="shared" si="29"/>
        <v>Sol non sodique – Faible risque de dispersion, perméabilité normale</v>
      </c>
      <c r="Q168" s="382">
        <f t="shared" si="30"/>
        <v>1.2533448491048593</v>
      </c>
      <c r="R168" s="382">
        <f t="shared" si="31"/>
        <v>0.12231404958677686</v>
      </c>
      <c r="S168" s="382">
        <f t="shared" si="32"/>
        <v>11.066437624750499</v>
      </c>
      <c r="T168" s="382">
        <f t="shared" si="33"/>
        <v>1.5682200000000002</v>
      </c>
      <c r="U168" s="382"/>
      <c r="V168" s="383">
        <f t="shared" si="34"/>
        <v>8.7302845286985741E-3</v>
      </c>
      <c r="W168" s="386" t="str">
        <f t="shared" si="35"/>
        <v>None to slight</v>
      </c>
    </row>
    <row r="169" spans="1:23" ht="16.2" thickBot="1" x14ac:dyDescent="0.35">
      <c r="A169" s="6">
        <v>55</v>
      </c>
      <c r="B169" s="31">
        <v>40.804499999999997</v>
      </c>
      <c r="C169" s="6">
        <v>10020</v>
      </c>
      <c r="D169" s="31">
        <v>7161.2939999999999</v>
      </c>
      <c r="E169" s="6">
        <v>602</v>
      </c>
      <c r="F169" s="31">
        <v>363.00599999999997</v>
      </c>
      <c r="G169" s="282">
        <v>674.08</v>
      </c>
      <c r="H169" s="282"/>
      <c r="I169" s="282"/>
      <c r="J169" s="382">
        <f t="shared" si="25"/>
        <v>1.4309115089514066</v>
      </c>
      <c r="K169" s="382">
        <f t="shared" si="26"/>
        <v>0.1774108695652174</v>
      </c>
      <c r="L169" s="382">
        <f t="shared" si="27"/>
        <v>35.785714285714285</v>
      </c>
      <c r="M169" s="382">
        <f t="shared" si="28"/>
        <v>2.9877037037037031</v>
      </c>
      <c r="N169" s="238"/>
      <c r="O169" s="382">
        <f t="shared" si="24"/>
        <v>4.029286779699421E-2</v>
      </c>
      <c r="P169" s="382" t="str">
        <f t="shared" si="29"/>
        <v>Sol non sodique – Faible risque de dispersion, perméabilité normale</v>
      </c>
      <c r="Q169" s="382">
        <f t="shared" si="30"/>
        <v>1.4310839079283888</v>
      </c>
      <c r="R169" s="382">
        <f t="shared" si="31"/>
        <v>0.17703349282296652</v>
      </c>
      <c r="S169" s="382">
        <f t="shared" si="32"/>
        <v>35.734999999999999</v>
      </c>
      <c r="T169" s="382">
        <f t="shared" si="33"/>
        <v>2.1310800000000003</v>
      </c>
      <c r="U169" s="382"/>
      <c r="V169" s="383">
        <f t="shared" si="34"/>
        <v>4.4847901789029625E-3</v>
      </c>
      <c r="W169" s="386" t="str">
        <f t="shared" si="35"/>
        <v>None to slight</v>
      </c>
    </row>
    <row r="170" spans="1:23" ht="16.2" thickBot="1" x14ac:dyDescent="0.35">
      <c r="A170" s="6">
        <v>179</v>
      </c>
      <c r="B170" s="31">
        <v>132.80010000000001</v>
      </c>
      <c r="C170" s="6">
        <v>9862</v>
      </c>
      <c r="D170" s="31">
        <v>7048.3714</v>
      </c>
      <c r="E170" s="6">
        <v>605</v>
      </c>
      <c r="F170" s="31">
        <v>364.815</v>
      </c>
      <c r="G170" s="282">
        <v>836.3</v>
      </c>
      <c r="H170" s="282"/>
      <c r="I170" s="282"/>
      <c r="J170" s="382">
        <f t="shared" si="25"/>
        <v>1.7752659846547312</v>
      </c>
      <c r="K170" s="382">
        <f t="shared" si="26"/>
        <v>0.57739173913043484</v>
      </c>
      <c r="L170" s="382">
        <f t="shared" si="27"/>
        <v>35.221428571428575</v>
      </c>
      <c r="M170" s="382">
        <f t="shared" si="28"/>
        <v>3.0025925925925923</v>
      </c>
      <c r="N170" s="238"/>
      <c r="O170" s="382">
        <f t="shared" si="24"/>
        <v>0.13207401409139938</v>
      </c>
      <c r="P170" s="382" t="str">
        <f t="shared" si="29"/>
        <v>Sol non sodique – Faible risque de dispersion, perméabilité normale</v>
      </c>
      <c r="Q170" s="382">
        <f t="shared" si="30"/>
        <v>1.7754798721227618</v>
      </c>
      <c r="R170" s="382">
        <f t="shared" si="31"/>
        <v>0.57616354936929104</v>
      </c>
      <c r="S170" s="382">
        <f t="shared" si="32"/>
        <v>35.171513972055884</v>
      </c>
      <c r="T170" s="382">
        <f t="shared" si="33"/>
        <v>2.1417000000000002</v>
      </c>
      <c r="U170" s="382"/>
      <c r="V170" s="383">
        <f t="shared" si="34"/>
        <v>1.452579404616774E-2</v>
      </c>
      <c r="W170" s="386" t="str">
        <f t="shared" si="35"/>
        <v>None to slight</v>
      </c>
    </row>
    <row r="171" spans="1:23" ht="16.2" thickBot="1" x14ac:dyDescent="0.35">
      <c r="A171" s="6">
        <v>25554</v>
      </c>
      <c r="B171" s="31">
        <v>18958.512600000002</v>
      </c>
      <c r="C171" s="6">
        <v>9470</v>
      </c>
      <c r="D171" s="31">
        <v>6768.2089999999998</v>
      </c>
      <c r="E171" s="6">
        <v>1876</v>
      </c>
      <c r="F171" s="31">
        <v>1131.2280000000001</v>
      </c>
      <c r="G171" s="282">
        <v>147.66999999999999</v>
      </c>
      <c r="H171" s="282"/>
      <c r="I171" s="282"/>
      <c r="J171" s="382">
        <f t="shared" si="25"/>
        <v>0.31346828644501273</v>
      </c>
      <c r="K171" s="382">
        <f t="shared" si="26"/>
        <v>82.428315652173922</v>
      </c>
      <c r="L171" s="382">
        <f t="shared" si="27"/>
        <v>33.821428571428569</v>
      </c>
      <c r="M171" s="382">
        <f t="shared" si="28"/>
        <v>9.3105185185185189</v>
      </c>
      <c r="N171" s="238"/>
      <c r="O171" s="382">
        <f t="shared" si="24"/>
        <v>17.749735733590704</v>
      </c>
      <c r="P171" s="382" t="str">
        <f t="shared" si="29"/>
        <v>Sol modérément sodique – Risque modéré de sodicité</v>
      </c>
      <c r="Q171" s="382">
        <f t="shared" si="30"/>
        <v>0.31350605370843987</v>
      </c>
      <c r="R171" s="382">
        <f t="shared" si="31"/>
        <v>82.252979556328839</v>
      </c>
      <c r="S171" s="382">
        <f t="shared" si="32"/>
        <v>33.773498003992017</v>
      </c>
      <c r="T171" s="382">
        <f t="shared" si="33"/>
        <v>6.6410400000000003</v>
      </c>
      <c r="U171" s="382"/>
      <c r="V171" s="383">
        <f t="shared" si="34"/>
        <v>0.66882659730070482</v>
      </c>
      <c r="W171" s="386" t="str">
        <f t="shared" si="35"/>
        <v>High to very high</v>
      </c>
    </row>
    <row r="172" spans="1:23" ht="16.2" thickBot="1" x14ac:dyDescent="0.35">
      <c r="A172" s="6">
        <v>10479</v>
      </c>
      <c r="B172" s="31">
        <v>7774.3701000000001</v>
      </c>
      <c r="C172" s="6">
        <v>9876</v>
      </c>
      <c r="D172" s="31">
        <v>7058.3771999999999</v>
      </c>
      <c r="E172" s="6">
        <v>1835</v>
      </c>
      <c r="F172" s="31">
        <v>1106.5049999999999</v>
      </c>
      <c r="G172" s="282">
        <v>129.96</v>
      </c>
      <c r="H172" s="282"/>
      <c r="I172" s="282"/>
      <c r="J172" s="382">
        <f t="shared" si="25"/>
        <v>0.27587416879795396</v>
      </c>
      <c r="K172" s="382">
        <f t="shared" si="26"/>
        <v>33.801609130434784</v>
      </c>
      <c r="L172" s="382">
        <f t="shared" si="27"/>
        <v>35.271428571428572</v>
      </c>
      <c r="M172" s="382">
        <f t="shared" si="28"/>
        <v>9.1070370370370366</v>
      </c>
      <c r="N172" s="238"/>
      <c r="O172" s="382">
        <f t="shared" si="24"/>
        <v>7.175732360327415</v>
      </c>
      <c r="P172" s="382" t="str">
        <f t="shared" si="29"/>
        <v>Sol non sodique – Faible risque de dispersion, perméabilité normale</v>
      </c>
      <c r="Q172" s="382">
        <f t="shared" si="30"/>
        <v>0.27590740664961638</v>
      </c>
      <c r="R172" s="382">
        <f t="shared" si="31"/>
        <v>33.729708568943018</v>
      </c>
      <c r="S172" s="382">
        <f t="shared" si="32"/>
        <v>35.221443113772452</v>
      </c>
      <c r="T172" s="382">
        <f t="shared" si="33"/>
        <v>6.4959000000000007</v>
      </c>
      <c r="U172" s="382"/>
      <c r="V172" s="383">
        <f t="shared" si="34"/>
        <v>0.44543569050354487</v>
      </c>
      <c r="W172" s="386" t="str">
        <f t="shared" si="35"/>
        <v>Moderate to high</v>
      </c>
    </row>
    <row r="173" spans="1:23" ht="16.2" thickBot="1" x14ac:dyDescent="0.35">
      <c r="A173" s="6">
        <v>5470</v>
      </c>
      <c r="B173" s="31">
        <v>4058.1930000000002</v>
      </c>
      <c r="C173" s="6">
        <v>8606</v>
      </c>
      <c r="D173" s="31">
        <v>6150.7082</v>
      </c>
      <c r="E173" s="6">
        <v>1393</v>
      </c>
      <c r="F173" s="31">
        <v>839.97899999999993</v>
      </c>
      <c r="G173" s="282">
        <v>1758.64</v>
      </c>
      <c r="H173" s="282"/>
      <c r="I173" s="282"/>
      <c r="J173" s="382">
        <f t="shared" si="25"/>
        <v>3.7331744245524292</v>
      </c>
      <c r="K173" s="382">
        <f t="shared" si="26"/>
        <v>17.644317391304348</v>
      </c>
      <c r="L173" s="382">
        <f t="shared" si="27"/>
        <v>30.735714285714284</v>
      </c>
      <c r="M173" s="382">
        <f t="shared" si="28"/>
        <v>6.9134074074074059</v>
      </c>
      <c r="N173" s="238"/>
      <c r="O173" s="382">
        <f t="shared" si="24"/>
        <v>4.0667027992829983</v>
      </c>
      <c r="P173" s="382" t="str">
        <f t="shared" si="29"/>
        <v>Sol non sodique – Faible risque de dispersion, perméabilité normale</v>
      </c>
      <c r="Q173" s="382">
        <f t="shared" si="30"/>
        <v>3.7336242046035806</v>
      </c>
      <c r="R173" s="382">
        <f t="shared" si="31"/>
        <v>17.606785558938668</v>
      </c>
      <c r="S173" s="382">
        <f t="shared" si="32"/>
        <v>30.692156686626745</v>
      </c>
      <c r="T173" s="382">
        <f t="shared" si="33"/>
        <v>4.9312200000000006</v>
      </c>
      <c r="U173" s="382"/>
      <c r="V173" s="383">
        <f t="shared" si="34"/>
        <v>0.30908734577082231</v>
      </c>
      <c r="W173" s="386" t="str">
        <f t="shared" si="35"/>
        <v>Moderate to high</v>
      </c>
    </row>
    <row r="174" spans="1:23" ht="16.2" thickBot="1" x14ac:dyDescent="0.35">
      <c r="A174" s="6">
        <v>2948</v>
      </c>
      <c r="B174" s="31">
        <v>2187.1212</v>
      </c>
      <c r="C174" s="6">
        <v>9166</v>
      </c>
      <c r="D174" s="31">
        <v>6550.9402</v>
      </c>
      <c r="E174" s="6">
        <v>1707</v>
      </c>
      <c r="F174" s="31">
        <v>1029.3209999999999</v>
      </c>
      <c r="G174" s="282">
        <v>1509.95</v>
      </c>
      <c r="H174" s="282"/>
      <c r="I174" s="282"/>
      <c r="J174" s="382">
        <f t="shared" si="25"/>
        <v>3.2052647058823527</v>
      </c>
      <c r="K174" s="382">
        <f t="shared" si="26"/>
        <v>9.5092226086956515</v>
      </c>
      <c r="L174" s="382">
        <f t="shared" si="27"/>
        <v>32.73571428571428</v>
      </c>
      <c r="M174" s="382">
        <f t="shared" si="28"/>
        <v>8.4717777777777776</v>
      </c>
      <c r="N174" s="238"/>
      <c r="O174" s="382">
        <f t="shared" si="24"/>
        <v>2.0949415974366516</v>
      </c>
      <c r="P174" s="382" t="str">
        <f t="shared" si="29"/>
        <v>Sol non sodique – Faible risque de dispersion, perméabilité normale</v>
      </c>
      <c r="Q174" s="382">
        <f t="shared" si="30"/>
        <v>3.2056508823529408</v>
      </c>
      <c r="R174" s="382">
        <f t="shared" si="31"/>
        <v>9.4889952153110038</v>
      </c>
      <c r="S174" s="382">
        <f t="shared" si="32"/>
        <v>32.68932235528942</v>
      </c>
      <c r="T174" s="382">
        <f t="shared" si="33"/>
        <v>6.0427800000000005</v>
      </c>
      <c r="U174" s="382"/>
      <c r="V174" s="383">
        <f t="shared" si="34"/>
        <v>0.18451478074667316</v>
      </c>
      <c r="W174" s="386" t="str">
        <f t="shared" si="35"/>
        <v>Light to moderate</v>
      </c>
    </row>
    <row r="175" spans="1:23" ht="16.2" thickBot="1" x14ac:dyDescent="0.35">
      <c r="A175" s="6">
        <v>8705</v>
      </c>
      <c r="B175" s="31">
        <v>6458.2394999999997</v>
      </c>
      <c r="C175" s="6">
        <v>12150</v>
      </c>
      <c r="D175" s="31">
        <v>8683.6049999999996</v>
      </c>
      <c r="E175" s="6">
        <v>2745</v>
      </c>
      <c r="F175" s="31">
        <v>1655.2349999999999</v>
      </c>
      <c r="G175" s="282">
        <v>1541.79</v>
      </c>
      <c r="H175" s="282"/>
      <c r="I175" s="282"/>
      <c r="J175" s="382">
        <f t="shared" si="25"/>
        <v>3.272853452685422</v>
      </c>
      <c r="K175" s="382">
        <f t="shared" si="26"/>
        <v>28.079302173913042</v>
      </c>
      <c r="L175" s="382">
        <f t="shared" si="27"/>
        <v>43.392857142857146</v>
      </c>
      <c r="M175" s="382">
        <f t="shared" si="28"/>
        <v>13.623333333333331</v>
      </c>
      <c r="N175" s="238"/>
      <c r="O175" s="382">
        <f t="shared" si="24"/>
        <v>5.258988365491982</v>
      </c>
      <c r="P175" s="382" t="str">
        <f t="shared" si="29"/>
        <v>Sol non sodique – Faible risque de dispersion, perméabilité normale</v>
      </c>
      <c r="Q175" s="382">
        <f t="shared" si="30"/>
        <v>3.2732477723785163</v>
      </c>
      <c r="R175" s="382">
        <f t="shared" si="31"/>
        <v>28.019573727707698</v>
      </c>
      <c r="S175" s="382">
        <f t="shared" si="32"/>
        <v>43.331362275449095</v>
      </c>
      <c r="T175" s="382">
        <f t="shared" si="33"/>
        <v>9.7172999999999998</v>
      </c>
      <c r="U175" s="382"/>
      <c r="V175" s="383">
        <f t="shared" si="34"/>
        <v>0.33221580263252681</v>
      </c>
      <c r="W175" s="386" t="str">
        <f t="shared" si="35"/>
        <v>Moderate to high</v>
      </c>
    </row>
    <row r="176" spans="1:23" ht="16.2" thickBot="1" x14ac:dyDescent="0.35">
      <c r="A176" s="6">
        <v>10409</v>
      </c>
      <c r="B176" s="31">
        <v>7722.4371000000001</v>
      </c>
      <c r="C176" s="6">
        <v>12193</v>
      </c>
      <c r="D176" s="31">
        <v>8714.3371000000006</v>
      </c>
      <c r="E176" s="6">
        <v>3291</v>
      </c>
      <c r="F176" s="31">
        <v>1984.473</v>
      </c>
      <c r="G176" s="282">
        <v>1851.74</v>
      </c>
      <c r="H176" s="282"/>
      <c r="I176" s="282"/>
      <c r="J176" s="382">
        <f t="shared" si="25"/>
        <v>3.9308035805626593</v>
      </c>
      <c r="K176" s="382">
        <f t="shared" si="26"/>
        <v>33.575813478260869</v>
      </c>
      <c r="L176" s="382">
        <f t="shared" si="27"/>
        <v>43.546428571428564</v>
      </c>
      <c r="M176" s="382">
        <f t="shared" si="28"/>
        <v>16.333111111111108</v>
      </c>
      <c r="N176" s="238"/>
      <c r="O176" s="382">
        <f t="shared" si="24"/>
        <v>6.1362396825221701</v>
      </c>
      <c r="P176" s="382" t="str">
        <f t="shared" si="29"/>
        <v>Sol non sodique – Faible risque de dispersion, perméabilité normale</v>
      </c>
      <c r="Q176" s="382">
        <f t="shared" si="30"/>
        <v>3.9312771713554984</v>
      </c>
      <c r="R176" s="382">
        <f t="shared" si="31"/>
        <v>33.504393214441059</v>
      </c>
      <c r="S176" s="382">
        <f t="shared" si="32"/>
        <v>43.484716067864277</v>
      </c>
      <c r="T176" s="382">
        <f t="shared" si="33"/>
        <v>11.65014</v>
      </c>
      <c r="U176" s="382"/>
      <c r="V176" s="383">
        <f t="shared" si="34"/>
        <v>0.36193370069265807</v>
      </c>
      <c r="W176" s="386" t="str">
        <f t="shared" si="35"/>
        <v>Moderate to high</v>
      </c>
    </row>
    <row r="177" spans="1:23" ht="16.2" thickBot="1" x14ac:dyDescent="0.35">
      <c r="A177" s="6">
        <v>2011</v>
      </c>
      <c r="B177" s="31">
        <v>1491.9609</v>
      </c>
      <c r="C177" s="6">
        <v>9089</v>
      </c>
      <c r="D177" s="31">
        <v>6495.9083000000001</v>
      </c>
      <c r="E177" s="6">
        <v>1455</v>
      </c>
      <c r="F177" s="31">
        <v>877.36500000000001</v>
      </c>
      <c r="G177" s="282">
        <v>1514.29</v>
      </c>
      <c r="H177" s="282"/>
      <c r="I177" s="282"/>
      <c r="J177" s="382">
        <f t="shared" si="25"/>
        <v>3.2144774936061382</v>
      </c>
      <c r="K177" s="382">
        <f t="shared" si="26"/>
        <v>6.4867865217391305</v>
      </c>
      <c r="L177" s="382">
        <f t="shared" si="27"/>
        <v>32.460714285714282</v>
      </c>
      <c r="M177" s="382">
        <f t="shared" si="28"/>
        <v>7.221111111111111</v>
      </c>
      <c r="N177" s="238"/>
      <c r="O177" s="382">
        <f t="shared" si="24"/>
        <v>1.4562930690260532</v>
      </c>
      <c r="P177" s="382" t="str">
        <f t="shared" si="29"/>
        <v>Sol non sodique – Faible risque de dispersion, perméabilité normale</v>
      </c>
      <c r="Q177" s="382">
        <f t="shared" si="30"/>
        <v>3.2148647800511507</v>
      </c>
      <c r="R177" s="382">
        <f t="shared" si="31"/>
        <v>6.4729882557633749</v>
      </c>
      <c r="S177" s="382">
        <f t="shared" si="32"/>
        <v>32.4147120758483</v>
      </c>
      <c r="T177" s="382">
        <f t="shared" si="33"/>
        <v>5.1507000000000005</v>
      </c>
      <c r="U177" s="382"/>
      <c r="V177" s="383">
        <f t="shared" si="34"/>
        <v>0.13698499438011835</v>
      </c>
      <c r="W177" s="386" t="str">
        <f t="shared" si="35"/>
        <v>None to slight</v>
      </c>
    </row>
    <row r="178" spans="1:23" ht="16.2" thickBot="1" x14ac:dyDescent="0.35">
      <c r="A178" s="6">
        <v>11552</v>
      </c>
      <c r="B178" s="31">
        <v>8570.4287999999997</v>
      </c>
      <c r="C178" s="6">
        <v>11107</v>
      </c>
      <c r="D178" s="31">
        <v>7938.1728999999996</v>
      </c>
      <c r="E178" s="6">
        <v>2571</v>
      </c>
      <c r="F178" s="31">
        <v>1550.3129999999999</v>
      </c>
      <c r="G178" s="282">
        <v>1530.89</v>
      </c>
      <c r="H178" s="282"/>
      <c r="I178" s="282"/>
      <c r="J178" s="382">
        <f t="shared" si="25"/>
        <v>3.2497153452685419</v>
      </c>
      <c r="K178" s="382">
        <f t="shared" si="26"/>
        <v>37.262733913043476</v>
      </c>
      <c r="L178" s="382">
        <f t="shared" si="27"/>
        <v>39.667857142857144</v>
      </c>
      <c r="M178" s="382">
        <f t="shared" si="28"/>
        <v>12.759777777777776</v>
      </c>
      <c r="N178" s="238"/>
      <c r="O178" s="382">
        <f t="shared" si="24"/>
        <v>7.277958583694498</v>
      </c>
      <c r="P178" s="382" t="str">
        <f t="shared" si="29"/>
        <v>Sol non sodique – Faible risque de dispersion, perméabilité normale</v>
      </c>
      <c r="Q178" s="382">
        <f t="shared" si="30"/>
        <v>3.2501068772378519</v>
      </c>
      <c r="R178" s="382">
        <f t="shared" si="31"/>
        <v>37.183471074380165</v>
      </c>
      <c r="S178" s="382">
        <f t="shared" si="32"/>
        <v>39.611641217564866</v>
      </c>
      <c r="T178" s="382">
        <f t="shared" si="33"/>
        <v>9.1013400000000004</v>
      </c>
      <c r="U178" s="382"/>
      <c r="V178" s="383">
        <f t="shared" si="34"/>
        <v>0.41710494965726208</v>
      </c>
      <c r="W178" s="386" t="str">
        <f t="shared" si="35"/>
        <v>Moderate to high</v>
      </c>
    </row>
    <row r="179" spans="1:23" ht="16.2" thickBot="1" x14ac:dyDescent="0.35">
      <c r="A179" s="6">
        <v>1639</v>
      </c>
      <c r="B179" s="31">
        <v>1215.9740999999999</v>
      </c>
      <c r="C179" s="6">
        <v>9809</v>
      </c>
      <c r="D179" s="31">
        <v>7010.4922999999999</v>
      </c>
      <c r="E179" s="6">
        <v>1468</v>
      </c>
      <c r="F179" s="31">
        <v>885.20399999999995</v>
      </c>
      <c r="G179" s="282">
        <v>1237.74</v>
      </c>
      <c r="H179" s="282"/>
      <c r="I179" s="282"/>
      <c r="J179" s="382">
        <f t="shared" si="25"/>
        <v>2.6274276214833758</v>
      </c>
      <c r="K179" s="382">
        <f t="shared" si="26"/>
        <v>5.2868439130434783</v>
      </c>
      <c r="L179" s="382">
        <f t="shared" si="27"/>
        <v>35.032142857142858</v>
      </c>
      <c r="M179" s="382">
        <f t="shared" si="28"/>
        <v>7.2856296296296295</v>
      </c>
      <c r="N179" s="238"/>
      <c r="O179" s="382">
        <f t="shared" si="24"/>
        <v>1.1493441424027624</v>
      </c>
      <c r="P179" s="382" t="str">
        <f t="shared" si="29"/>
        <v>Sol non sodique – Faible risque de dispersion, perméabilité normale</v>
      </c>
      <c r="Q179" s="382">
        <f t="shared" si="30"/>
        <v>2.6277441790281326</v>
      </c>
      <c r="R179" s="382">
        <f t="shared" si="31"/>
        <v>5.2755980861244014</v>
      </c>
      <c r="S179" s="382">
        <f t="shared" si="32"/>
        <v>34.982496506986024</v>
      </c>
      <c r="T179" s="382">
        <f t="shared" si="33"/>
        <v>5.19672</v>
      </c>
      <c r="U179" s="382"/>
      <c r="V179" s="383">
        <f t="shared" si="34"/>
        <v>0.1097195785924219</v>
      </c>
      <c r="W179" s="386" t="str">
        <f t="shared" si="35"/>
        <v>None to slight</v>
      </c>
    </row>
    <row r="180" spans="1:23" ht="16.2" thickBot="1" x14ac:dyDescent="0.35">
      <c r="A180" s="6">
        <v>7021</v>
      </c>
      <c r="B180" s="31">
        <v>5208.8798999999999</v>
      </c>
      <c r="C180" s="6">
        <v>9356</v>
      </c>
      <c r="D180" s="31">
        <v>6686.7331999999997</v>
      </c>
      <c r="E180" s="6">
        <v>1943</v>
      </c>
      <c r="F180" s="31">
        <v>1171.6289999999999</v>
      </c>
      <c r="G180" s="282">
        <v>1723.81</v>
      </c>
      <c r="H180" s="282"/>
      <c r="I180" s="282"/>
      <c r="J180" s="382">
        <f t="shared" si="25"/>
        <v>3.6592386189258308</v>
      </c>
      <c r="K180" s="382">
        <f t="shared" si="26"/>
        <v>22.647303913043476</v>
      </c>
      <c r="L180" s="382">
        <f t="shared" si="27"/>
        <v>33.414285714285718</v>
      </c>
      <c r="M180" s="382">
        <f t="shared" si="28"/>
        <v>9.6430370370370362</v>
      </c>
      <c r="N180" s="238"/>
      <c r="O180" s="382">
        <f t="shared" si="24"/>
        <v>4.8809908632719443</v>
      </c>
      <c r="P180" s="382" t="str">
        <f t="shared" si="29"/>
        <v>Sol non sodique – Faible risque de dispersion, perméabilité normale</v>
      </c>
      <c r="Q180" s="382">
        <f t="shared" si="30"/>
        <v>3.659679491048593</v>
      </c>
      <c r="R180" s="382">
        <f t="shared" si="31"/>
        <v>22.599130056546322</v>
      </c>
      <c r="S180" s="382">
        <f t="shared" si="32"/>
        <v>33.36693213572854</v>
      </c>
      <c r="T180" s="382">
        <f t="shared" si="33"/>
        <v>6.8782200000000007</v>
      </c>
      <c r="U180" s="382"/>
      <c r="V180" s="383">
        <f t="shared" si="34"/>
        <v>0.33981629792459844</v>
      </c>
      <c r="W180" s="386" t="str">
        <f t="shared" si="35"/>
        <v>Moderate to high</v>
      </c>
    </row>
    <row r="181" spans="1:23" ht="16.2" thickBot="1" x14ac:dyDescent="0.35">
      <c r="A181" s="6">
        <v>7297</v>
      </c>
      <c r="B181" s="31">
        <v>5413.6442999999999</v>
      </c>
      <c r="C181" s="6">
        <v>12695</v>
      </c>
      <c r="D181" s="31">
        <v>9073.1165000000001</v>
      </c>
      <c r="E181" s="6">
        <v>1722</v>
      </c>
      <c r="F181" s="31">
        <v>1038.366</v>
      </c>
      <c r="G181" s="282">
        <v>1470.9</v>
      </c>
      <c r="H181" s="282"/>
      <c r="I181" s="282"/>
      <c r="J181" s="382">
        <f t="shared" si="25"/>
        <v>3.1223708439897697</v>
      </c>
      <c r="K181" s="382">
        <f t="shared" si="26"/>
        <v>23.537583913043477</v>
      </c>
      <c r="L181" s="382">
        <f t="shared" si="27"/>
        <v>45.339285714285715</v>
      </c>
      <c r="M181" s="382">
        <f t="shared" si="28"/>
        <v>8.5462222222222231</v>
      </c>
      <c r="N181" s="238"/>
      <c r="O181" s="382">
        <f t="shared" si="24"/>
        <v>4.5346198904773285</v>
      </c>
      <c r="P181" s="382" t="str">
        <f t="shared" si="29"/>
        <v>Sol non sodique – Faible risque de dispersion, perméabilité normale</v>
      </c>
      <c r="Q181" s="382">
        <f t="shared" si="30"/>
        <v>3.1227470332480816</v>
      </c>
      <c r="R181" s="382">
        <f t="shared" si="31"/>
        <v>23.487516311439755</v>
      </c>
      <c r="S181" s="382">
        <f t="shared" si="32"/>
        <v>45.275032435129738</v>
      </c>
      <c r="T181" s="382">
        <f t="shared" si="33"/>
        <v>6.0958800000000002</v>
      </c>
      <c r="U181" s="382"/>
      <c r="V181" s="383">
        <f t="shared" si="34"/>
        <v>0.3011946931623285</v>
      </c>
      <c r="W181" s="386" t="str">
        <f t="shared" si="35"/>
        <v>Moderate to high</v>
      </c>
    </row>
    <row r="182" spans="1:23" ht="16.2" thickBot="1" x14ac:dyDescent="0.35">
      <c r="A182" s="6">
        <v>12522</v>
      </c>
      <c r="B182" s="31">
        <v>9290.0717999999997</v>
      </c>
      <c r="C182" s="6">
        <v>11295</v>
      </c>
      <c r="D182" s="31">
        <v>8072.5365000000002</v>
      </c>
      <c r="E182" s="6">
        <v>2506</v>
      </c>
      <c r="F182" s="31">
        <v>1511.1179999999999</v>
      </c>
      <c r="G182" s="282">
        <v>1383</v>
      </c>
      <c r="H182" s="282"/>
      <c r="I182" s="282"/>
      <c r="J182" s="382">
        <f t="shared" si="25"/>
        <v>2.9357800511508949</v>
      </c>
      <c r="K182" s="382">
        <f t="shared" si="26"/>
        <v>40.391616521739131</v>
      </c>
      <c r="L182" s="382">
        <f t="shared" si="27"/>
        <v>40.339285714285715</v>
      </c>
      <c r="M182" s="382">
        <f t="shared" si="28"/>
        <v>12.437185185185184</v>
      </c>
      <c r="N182" s="238"/>
      <c r="O182" s="382">
        <f t="shared" si="24"/>
        <v>7.8629598722447795</v>
      </c>
      <c r="P182" s="382" t="str">
        <f t="shared" si="29"/>
        <v>Sol non sodique – Faible risque de dispersion, perméabilité normale</v>
      </c>
      <c r="Q182" s="382">
        <f t="shared" si="30"/>
        <v>2.9361337595907928</v>
      </c>
      <c r="R182" s="382">
        <f t="shared" si="31"/>
        <v>40.305698129621575</v>
      </c>
      <c r="S182" s="382">
        <f t="shared" si="32"/>
        <v>40.282118263473052</v>
      </c>
      <c r="T182" s="382">
        <f t="shared" si="33"/>
        <v>8.8712400000000002</v>
      </c>
      <c r="U182" s="382"/>
      <c r="V182" s="383">
        <f t="shared" si="34"/>
        <v>0.43623156208689412</v>
      </c>
      <c r="W182" s="386" t="str">
        <f t="shared" si="35"/>
        <v>Moderate to high</v>
      </c>
    </row>
    <row r="183" spans="1:23" ht="16.2" thickBot="1" x14ac:dyDescent="0.35">
      <c r="A183" s="6">
        <v>31143</v>
      </c>
      <c r="B183" s="31">
        <v>23104.991699999999</v>
      </c>
      <c r="C183" s="6">
        <v>9731</v>
      </c>
      <c r="D183" s="31">
        <v>6954.7457000000004</v>
      </c>
      <c r="E183" s="6">
        <v>2597</v>
      </c>
      <c r="F183" s="31">
        <v>1565.991</v>
      </c>
      <c r="G183" s="282">
        <v>1364.2</v>
      </c>
      <c r="H183" s="282"/>
      <c r="I183" s="282"/>
      <c r="J183" s="382">
        <f t="shared" si="25"/>
        <v>2.8958721227621482</v>
      </c>
      <c r="K183" s="382">
        <f t="shared" si="26"/>
        <v>100.45648565217391</v>
      </c>
      <c r="L183" s="382">
        <f t="shared" si="27"/>
        <v>34.753571428571426</v>
      </c>
      <c r="M183" s="382">
        <f t="shared" si="28"/>
        <v>12.888814814814815</v>
      </c>
      <c r="N183" s="238"/>
      <c r="O183" s="382">
        <f t="shared" si="24"/>
        <v>20.582410035915395</v>
      </c>
      <c r="P183" s="382" t="str">
        <f t="shared" si="29"/>
        <v>Sol sodique – Risque élevé de dispersion, structure du sol détériorée</v>
      </c>
      <c r="Q183" s="382">
        <f t="shared" si="30"/>
        <v>2.8962210230179024</v>
      </c>
      <c r="R183" s="382">
        <f t="shared" si="31"/>
        <v>100.24280121792083</v>
      </c>
      <c r="S183" s="382">
        <f t="shared" si="32"/>
        <v>34.70431986027944</v>
      </c>
      <c r="T183" s="382">
        <f t="shared" si="33"/>
        <v>9.1933800000000012</v>
      </c>
      <c r="U183" s="382"/>
      <c r="V183" s="383">
        <f t="shared" si="34"/>
        <v>0.68175350882016383</v>
      </c>
      <c r="W183" s="386" t="str">
        <f t="shared" si="35"/>
        <v>High to very high</v>
      </c>
    </row>
    <row r="184" spans="1:23" ht="16.2" thickBot="1" x14ac:dyDescent="0.35">
      <c r="A184" s="6">
        <v>15801</v>
      </c>
      <c r="B184" s="31">
        <v>11722.7619</v>
      </c>
      <c r="C184" s="6">
        <v>13799</v>
      </c>
      <c r="D184" s="31">
        <v>9862.1453000000001</v>
      </c>
      <c r="E184" s="6">
        <v>2919</v>
      </c>
      <c r="F184" s="31">
        <v>1760.1569999999999</v>
      </c>
      <c r="G184" s="282">
        <v>1812.38</v>
      </c>
      <c r="H184" s="282"/>
      <c r="I184" s="282"/>
      <c r="J184" s="382">
        <f t="shared" si="25"/>
        <v>3.8472516624040916</v>
      </c>
      <c r="K184" s="382">
        <f t="shared" si="26"/>
        <v>50.968530000000001</v>
      </c>
      <c r="L184" s="382">
        <f t="shared" si="27"/>
        <v>49.282142857142858</v>
      </c>
      <c r="M184" s="382">
        <f t="shared" si="28"/>
        <v>14.486888888888886</v>
      </c>
      <c r="N184" s="238"/>
      <c r="O184" s="382">
        <f t="shared" si="24"/>
        <v>9.0263505222905263</v>
      </c>
      <c r="P184" s="382" t="str">
        <f t="shared" si="29"/>
        <v>Sol non sodique – Faible risque de dispersion, perméabilité normale</v>
      </c>
      <c r="Q184" s="382">
        <f t="shared" si="30"/>
        <v>3.8477151867007677</v>
      </c>
      <c r="R184" s="382">
        <f t="shared" si="31"/>
        <v>50.860113092648973</v>
      </c>
      <c r="S184" s="382">
        <f t="shared" si="32"/>
        <v>49.212301896207585</v>
      </c>
      <c r="T184" s="382">
        <f t="shared" si="33"/>
        <v>10.333260000000001</v>
      </c>
      <c r="U184" s="382"/>
      <c r="V184" s="383">
        <f t="shared" si="34"/>
        <v>0.44515189452583687</v>
      </c>
      <c r="W184" s="386" t="str">
        <f t="shared" si="35"/>
        <v>Moderate to high</v>
      </c>
    </row>
    <row r="185" spans="1:23" ht="16.2" thickBot="1" x14ac:dyDescent="0.35">
      <c r="A185" s="6">
        <v>20050</v>
      </c>
      <c r="B185" s="31">
        <v>14875.094999999999</v>
      </c>
      <c r="C185" s="6">
        <v>12741</v>
      </c>
      <c r="D185" s="31">
        <v>9105.9927000000007</v>
      </c>
      <c r="E185" s="6">
        <v>1969</v>
      </c>
      <c r="F185" s="31">
        <v>1187.307</v>
      </c>
      <c r="G185" s="282">
        <v>1156.54</v>
      </c>
      <c r="H185" s="282"/>
      <c r="I185" s="282"/>
      <c r="J185" s="382">
        <f t="shared" si="25"/>
        <v>2.4550593350383632</v>
      </c>
      <c r="K185" s="382">
        <f t="shared" si="26"/>
        <v>64.674326086956512</v>
      </c>
      <c r="L185" s="382">
        <f t="shared" si="27"/>
        <v>45.503571428571433</v>
      </c>
      <c r="M185" s="382">
        <f t="shared" si="28"/>
        <v>9.772074074074073</v>
      </c>
      <c r="N185" s="238"/>
      <c r="O185" s="382">
        <f t="shared" si="24"/>
        <v>12.302121115879801</v>
      </c>
      <c r="P185" s="382" t="str">
        <f t="shared" si="29"/>
        <v>Sol modérément sodique – Risque modéré de sodicité</v>
      </c>
      <c r="Q185" s="382">
        <f t="shared" si="30"/>
        <v>2.4553551253196928</v>
      </c>
      <c r="R185" s="382">
        <f t="shared" si="31"/>
        <v>64.536755110917795</v>
      </c>
      <c r="S185" s="382">
        <f t="shared" si="32"/>
        <v>45.439085329341317</v>
      </c>
      <c r="T185" s="382">
        <f t="shared" si="33"/>
        <v>6.9702600000000006</v>
      </c>
      <c r="U185" s="382"/>
      <c r="V185" s="383">
        <f t="shared" si="34"/>
        <v>0.54050224769221766</v>
      </c>
      <c r="W185" s="386" t="str">
        <f t="shared" si="35"/>
        <v>High to very high</v>
      </c>
    </row>
    <row r="186" spans="1:23" ht="16.2" thickBot="1" x14ac:dyDescent="0.35">
      <c r="A186" s="6">
        <v>12351</v>
      </c>
      <c r="B186" s="31">
        <v>9163.2068999999992</v>
      </c>
      <c r="C186" s="6">
        <v>19544</v>
      </c>
      <c r="D186" s="31">
        <v>13968.096799999999</v>
      </c>
      <c r="E186" s="6">
        <v>2798</v>
      </c>
      <c r="F186" s="31">
        <v>1687.194</v>
      </c>
      <c r="G186" s="282">
        <v>1519.7</v>
      </c>
      <c r="H186" s="282"/>
      <c r="I186" s="282"/>
      <c r="J186" s="382">
        <f t="shared" si="25"/>
        <v>3.2259616368286443</v>
      </c>
      <c r="K186" s="382">
        <f t="shared" si="26"/>
        <v>39.840029999999999</v>
      </c>
      <c r="L186" s="382">
        <f t="shared" si="27"/>
        <v>69.8</v>
      </c>
      <c r="M186" s="382">
        <f t="shared" si="28"/>
        <v>13.88637037037037</v>
      </c>
      <c r="N186" s="238"/>
      <c r="O186" s="382">
        <f t="shared" si="24"/>
        <v>6.1589586530300915</v>
      </c>
      <c r="P186" s="382" t="str">
        <f t="shared" si="29"/>
        <v>Sol non sodique – Faible risque de dispersion, perméabilité normale</v>
      </c>
      <c r="Q186" s="382">
        <f t="shared" si="30"/>
        <v>3.2263503069053709</v>
      </c>
      <c r="R186" s="382">
        <f t="shared" si="31"/>
        <v>39.75528490648108</v>
      </c>
      <c r="S186" s="382">
        <f t="shared" si="32"/>
        <v>69.701081836327333</v>
      </c>
      <c r="T186" s="382">
        <f t="shared" si="33"/>
        <v>9.9049200000000006</v>
      </c>
      <c r="U186" s="382"/>
      <c r="V186" s="383">
        <f t="shared" si="34"/>
        <v>0.32430093167028623</v>
      </c>
      <c r="W186" s="386" t="str">
        <f t="shared" si="35"/>
        <v>Moderate to high</v>
      </c>
    </row>
    <row r="187" spans="1:23" ht="16.2" thickBot="1" x14ac:dyDescent="0.35">
      <c r="A187" s="6">
        <v>6027</v>
      </c>
      <c r="B187" s="31">
        <v>4471.4313000000002</v>
      </c>
      <c r="C187" s="6">
        <v>15903</v>
      </c>
      <c r="D187" s="31">
        <v>11365.874100000001</v>
      </c>
      <c r="E187" s="6">
        <v>1667</v>
      </c>
      <c r="F187" s="31">
        <v>1005.201</v>
      </c>
      <c r="G187" s="282">
        <v>1440.96</v>
      </c>
      <c r="H187" s="282"/>
      <c r="I187" s="282"/>
      <c r="J187" s="382">
        <f t="shared" si="25"/>
        <v>3.0588153452685418</v>
      </c>
      <c r="K187" s="382">
        <f t="shared" si="26"/>
        <v>19.441005652173914</v>
      </c>
      <c r="L187" s="382">
        <f t="shared" si="27"/>
        <v>56.796428571428564</v>
      </c>
      <c r="M187" s="382">
        <f t="shared" si="28"/>
        <v>8.2732592592592589</v>
      </c>
      <c r="N187" s="238"/>
      <c r="O187" s="382">
        <f t="shared" si="24"/>
        <v>3.4083513899263931</v>
      </c>
      <c r="P187" s="382" t="str">
        <f t="shared" si="29"/>
        <v>Sol non sodique – Faible risque de dispersion, perméabilité normale</v>
      </c>
      <c r="Q187" s="382">
        <f t="shared" si="30"/>
        <v>3.0591838772378512</v>
      </c>
      <c r="R187" s="382">
        <f t="shared" si="31"/>
        <v>19.399652022618529</v>
      </c>
      <c r="S187" s="382">
        <f t="shared" si="32"/>
        <v>56.715938622754493</v>
      </c>
      <c r="T187" s="382">
        <f t="shared" si="33"/>
        <v>5.9011800000000001</v>
      </c>
      <c r="U187" s="382"/>
      <c r="V187" s="383">
        <f t="shared" si="34"/>
        <v>0.22802743891004632</v>
      </c>
      <c r="W187" s="386" t="str">
        <f t="shared" si="35"/>
        <v>Light to moderate</v>
      </c>
    </row>
    <row r="188" spans="1:23" ht="16.2" thickBot="1" x14ac:dyDescent="0.35">
      <c r="A188" s="6">
        <v>25478</v>
      </c>
      <c r="B188" s="31">
        <v>18902.128199999999</v>
      </c>
      <c r="C188" s="6">
        <v>15837</v>
      </c>
      <c r="D188" s="31">
        <v>11318.7039</v>
      </c>
      <c r="E188" s="6">
        <v>3447</v>
      </c>
      <c r="F188" s="31">
        <v>2078.5409999999997</v>
      </c>
      <c r="G188" s="282">
        <v>1562.87</v>
      </c>
      <c r="H188" s="282"/>
      <c r="I188" s="282"/>
      <c r="J188" s="382">
        <f t="shared" si="25"/>
        <v>3.3176012787723774</v>
      </c>
      <c r="K188" s="382">
        <f t="shared" si="26"/>
        <v>82.183166086956518</v>
      </c>
      <c r="L188" s="382">
        <f t="shared" si="27"/>
        <v>56.56071428571429</v>
      </c>
      <c r="M188" s="382">
        <f t="shared" si="28"/>
        <v>17.10733333333333</v>
      </c>
      <c r="N188" s="238"/>
      <c r="O188" s="382">
        <f t="shared" si="24"/>
        <v>13.541235343572097</v>
      </c>
      <c r="P188" s="382" t="str">
        <f t="shared" si="29"/>
        <v>Sol modérément sodique – Risque modéré de sodicité</v>
      </c>
      <c r="Q188" s="382">
        <f t="shared" si="30"/>
        <v>3.3180009897698204</v>
      </c>
      <c r="R188" s="382">
        <f t="shared" si="31"/>
        <v>82.008351457155285</v>
      </c>
      <c r="S188" s="382">
        <f t="shared" si="32"/>
        <v>56.480558383233536</v>
      </c>
      <c r="T188" s="382">
        <f t="shared" si="33"/>
        <v>12.20238</v>
      </c>
      <c r="U188" s="382"/>
      <c r="V188" s="383">
        <f t="shared" si="34"/>
        <v>0.53248963757383994</v>
      </c>
      <c r="W188" s="386" t="str">
        <f t="shared" si="35"/>
        <v>High to very high</v>
      </c>
    </row>
    <row r="189" spans="1:23" ht="16.2" thickBot="1" x14ac:dyDescent="0.35">
      <c r="A189" s="6">
        <v>10151</v>
      </c>
      <c r="B189" s="31">
        <v>7531.0268999999998</v>
      </c>
      <c r="C189" s="6">
        <v>14311</v>
      </c>
      <c r="D189" s="31">
        <v>10228.0717</v>
      </c>
      <c r="E189" s="6">
        <v>1763</v>
      </c>
      <c r="F189" s="31">
        <v>1063.0889999999999</v>
      </c>
      <c r="G189" s="282">
        <v>1421.46</v>
      </c>
      <c r="H189" s="282"/>
      <c r="I189" s="282"/>
      <c r="J189" s="382">
        <f t="shared" si="25"/>
        <v>3.0174214833759589</v>
      </c>
      <c r="K189" s="382">
        <f t="shared" si="26"/>
        <v>32.743595217391302</v>
      </c>
      <c r="L189" s="382">
        <f t="shared" si="27"/>
        <v>51.11071428571428</v>
      </c>
      <c r="M189" s="382">
        <f t="shared" si="28"/>
        <v>8.7497037037037035</v>
      </c>
      <c r="N189" s="238"/>
      <c r="O189" s="382">
        <f t="shared" si="24"/>
        <v>5.9851010620837464</v>
      </c>
      <c r="P189" s="382" t="str">
        <f t="shared" si="29"/>
        <v>Sol non sodique – Faible risque de dispersion, perméabilité normale</v>
      </c>
      <c r="Q189" s="382">
        <f t="shared" si="30"/>
        <v>3.0177850281329919</v>
      </c>
      <c r="R189" s="382">
        <f t="shared" si="31"/>
        <v>32.673945193562417</v>
      </c>
      <c r="S189" s="382">
        <f t="shared" si="32"/>
        <v>51.038281936127746</v>
      </c>
      <c r="T189" s="382">
        <f t="shared" si="33"/>
        <v>6.2410200000000007</v>
      </c>
      <c r="U189" s="382"/>
      <c r="V189" s="383">
        <f t="shared" si="34"/>
        <v>0.35144221200101011</v>
      </c>
      <c r="W189" s="386" t="str">
        <f t="shared" si="35"/>
        <v>Moderate to high</v>
      </c>
    </row>
    <row r="190" spans="1:23" ht="16.2" thickBot="1" x14ac:dyDescent="0.35">
      <c r="A190" s="6">
        <v>20235</v>
      </c>
      <c r="B190" s="31">
        <v>15012.3465</v>
      </c>
      <c r="C190" s="6">
        <v>13491</v>
      </c>
      <c r="D190" s="31">
        <v>9642.0177000000003</v>
      </c>
      <c r="E190" s="6">
        <v>3555</v>
      </c>
      <c r="F190" s="31">
        <v>2143.665</v>
      </c>
      <c r="G190" s="282">
        <v>1673.3</v>
      </c>
      <c r="H190" s="282"/>
      <c r="I190" s="282"/>
      <c r="J190" s="382">
        <f t="shared" si="25"/>
        <v>3.5520179028132985</v>
      </c>
      <c r="K190" s="382">
        <f t="shared" si="26"/>
        <v>65.271071739130434</v>
      </c>
      <c r="L190" s="382">
        <f t="shared" si="27"/>
        <v>48.182142857142857</v>
      </c>
      <c r="M190" s="382">
        <f t="shared" si="28"/>
        <v>17.643333333333334</v>
      </c>
      <c r="N190" s="238"/>
      <c r="O190" s="382">
        <f t="shared" si="24"/>
        <v>11.377287609075825</v>
      </c>
      <c r="P190" s="382" t="str">
        <f t="shared" si="29"/>
        <v>Sol modérément sodique – Risque modéré de sodicité</v>
      </c>
      <c r="Q190" s="382">
        <f t="shared" si="30"/>
        <v>3.5524458567774935</v>
      </c>
      <c r="R190" s="382">
        <f t="shared" si="31"/>
        <v>65.132231404958674</v>
      </c>
      <c r="S190" s="382">
        <f t="shared" si="32"/>
        <v>48.113860778443112</v>
      </c>
      <c r="T190" s="382">
        <f t="shared" si="33"/>
        <v>12.5847</v>
      </c>
      <c r="U190" s="382"/>
      <c r="V190" s="383">
        <f t="shared" si="34"/>
        <v>0.5034054827467852</v>
      </c>
      <c r="W190" s="386" t="str">
        <f t="shared" si="35"/>
        <v>High to very high</v>
      </c>
    </row>
    <row r="191" spans="1:23" ht="16.2" thickBot="1" x14ac:dyDescent="0.35">
      <c r="A191" s="6">
        <v>13759</v>
      </c>
      <c r="B191" s="31">
        <v>10207.802100000001</v>
      </c>
      <c r="C191" s="6">
        <v>16778</v>
      </c>
      <c r="D191" s="31">
        <v>11991.2366</v>
      </c>
      <c r="E191" s="6">
        <v>2118</v>
      </c>
      <c r="F191" s="31">
        <v>1277.154</v>
      </c>
      <c r="G191" s="282">
        <v>1185.96</v>
      </c>
      <c r="H191" s="282"/>
      <c r="I191" s="282"/>
      <c r="J191" s="382">
        <f t="shared" si="25"/>
        <v>2.517510997442455</v>
      </c>
      <c r="K191" s="382">
        <f t="shared" si="26"/>
        <v>44.381748260869571</v>
      </c>
      <c r="L191" s="382">
        <f t="shared" si="27"/>
        <v>59.921428571428564</v>
      </c>
      <c r="M191" s="382">
        <f t="shared" si="28"/>
        <v>10.511555555555555</v>
      </c>
      <c r="N191" s="238"/>
      <c r="O191" s="382">
        <f t="shared" si="24"/>
        <v>7.478790350133905</v>
      </c>
      <c r="P191" s="382" t="str">
        <f t="shared" si="29"/>
        <v>Sol non sodique – Faible risque de dispersion, perméabilité normale</v>
      </c>
      <c r="Q191" s="382">
        <f t="shared" si="30"/>
        <v>2.5178143120204601</v>
      </c>
      <c r="R191" s="382">
        <f t="shared" si="31"/>
        <v>44.287342322749019</v>
      </c>
      <c r="S191" s="382">
        <f t="shared" si="32"/>
        <v>59.836509980039921</v>
      </c>
      <c r="T191" s="382">
        <f t="shared" si="33"/>
        <v>7.4977200000000002</v>
      </c>
      <c r="U191" s="382"/>
      <c r="V191" s="383">
        <f t="shared" si="34"/>
        <v>0.38801104190446745</v>
      </c>
      <c r="W191" s="386" t="str">
        <f t="shared" si="35"/>
        <v>Moderate to high</v>
      </c>
    </row>
    <row r="192" spans="1:23" ht="16.2" thickBot="1" x14ac:dyDescent="0.35">
      <c r="A192" s="6">
        <v>11546</v>
      </c>
      <c r="B192" s="31">
        <v>8565.9773999999998</v>
      </c>
      <c r="C192" s="6">
        <v>19475</v>
      </c>
      <c r="D192" s="31">
        <v>13918.782499999999</v>
      </c>
      <c r="E192" s="6">
        <v>2552</v>
      </c>
      <c r="F192" s="31">
        <v>1538.856</v>
      </c>
      <c r="G192" s="282">
        <v>1587.36</v>
      </c>
      <c r="H192" s="282"/>
      <c r="I192" s="282"/>
      <c r="J192" s="382">
        <f t="shared" si="25"/>
        <v>3.3695877237851661</v>
      </c>
      <c r="K192" s="382">
        <f t="shared" si="26"/>
        <v>37.243379999999995</v>
      </c>
      <c r="L192" s="382">
        <f t="shared" si="27"/>
        <v>69.553571428571431</v>
      </c>
      <c r="M192" s="382">
        <f t="shared" si="28"/>
        <v>12.665481481481482</v>
      </c>
      <c r="N192" s="238"/>
      <c r="O192" s="382">
        <f t="shared" si="24"/>
        <v>5.8086853406000802</v>
      </c>
      <c r="P192" s="382" t="str">
        <f t="shared" si="29"/>
        <v>Sol non sodique – Faible risque de dispersion, perméabilité normale</v>
      </c>
      <c r="Q192" s="382">
        <f t="shared" si="30"/>
        <v>3.3699936982097185</v>
      </c>
      <c r="R192" s="382">
        <f t="shared" si="31"/>
        <v>37.164158329708563</v>
      </c>
      <c r="S192" s="382">
        <f t="shared" si="32"/>
        <v>69.455002495009978</v>
      </c>
      <c r="T192" s="382">
        <f t="shared" si="33"/>
        <v>9.0340800000000012</v>
      </c>
      <c r="U192" s="382"/>
      <c r="V192" s="383">
        <f t="shared" si="34"/>
        <v>0.31224288668234246</v>
      </c>
      <c r="W192" s="386" t="str">
        <f t="shared" si="35"/>
        <v>Moderate to high</v>
      </c>
    </row>
    <row r="193" spans="1:23" ht="16.2" thickBot="1" x14ac:dyDescent="0.35">
      <c r="A193" s="6">
        <v>8527</v>
      </c>
      <c r="B193" s="31">
        <v>6326.1813000000002</v>
      </c>
      <c r="C193" s="6">
        <v>14460</v>
      </c>
      <c r="D193" s="31">
        <v>10334.562</v>
      </c>
      <c r="E193" s="6">
        <v>1754</v>
      </c>
      <c r="F193" s="31">
        <v>1057.662</v>
      </c>
      <c r="G193" s="282">
        <v>1416.5</v>
      </c>
      <c r="H193" s="282"/>
      <c r="I193" s="282"/>
      <c r="J193" s="382">
        <f t="shared" si="25"/>
        <v>3.0068925831202042</v>
      </c>
      <c r="K193" s="382">
        <f t="shared" si="26"/>
        <v>27.505136086956526</v>
      </c>
      <c r="L193" s="382">
        <f t="shared" si="27"/>
        <v>51.642857142857146</v>
      </c>
      <c r="M193" s="382">
        <f t="shared" si="28"/>
        <v>8.7050370370370374</v>
      </c>
      <c r="N193" s="238"/>
      <c r="O193" s="382">
        <f t="shared" si="24"/>
        <v>5.0072322512023701</v>
      </c>
      <c r="P193" s="382" t="str">
        <f t="shared" si="29"/>
        <v>Sol non sodique – Faible risque de dispersion, perméabilité normale</v>
      </c>
      <c r="Q193" s="382">
        <f t="shared" si="30"/>
        <v>3.0072548593350383</v>
      </c>
      <c r="R193" s="382">
        <f t="shared" si="31"/>
        <v>27.446628969117004</v>
      </c>
      <c r="S193" s="382">
        <f t="shared" si="32"/>
        <v>51.569670658682632</v>
      </c>
      <c r="T193" s="382">
        <f t="shared" si="33"/>
        <v>6.2091600000000007</v>
      </c>
      <c r="U193" s="382"/>
      <c r="V193" s="383">
        <f t="shared" si="34"/>
        <v>0.3110708893935144</v>
      </c>
      <c r="W193" s="386" t="str">
        <f t="shared" si="35"/>
        <v>Moderate to high</v>
      </c>
    </row>
    <row r="194" spans="1:23" ht="16.2" thickBot="1" x14ac:dyDescent="0.35">
      <c r="A194" s="6">
        <v>52769</v>
      </c>
      <c r="B194" s="31">
        <v>39149.321100000001</v>
      </c>
      <c r="C194" s="6">
        <v>12447</v>
      </c>
      <c r="D194" s="31">
        <v>8895.8708999999999</v>
      </c>
      <c r="E194" s="6">
        <v>4301</v>
      </c>
      <c r="F194" s="31">
        <v>2593.5029999999997</v>
      </c>
      <c r="G194" s="282">
        <v>1597.58</v>
      </c>
      <c r="H194" s="282"/>
      <c r="I194" s="282"/>
      <c r="J194" s="382">
        <f t="shared" si="25"/>
        <v>3.3912823529411757</v>
      </c>
      <c r="K194" s="382">
        <f t="shared" si="26"/>
        <v>170.21443956521739</v>
      </c>
      <c r="L194" s="382">
        <f t="shared" si="27"/>
        <v>44.453571428571436</v>
      </c>
      <c r="M194" s="382">
        <f t="shared" si="28"/>
        <v>21.345703703703698</v>
      </c>
      <c r="N194" s="238"/>
      <c r="O194" s="382">
        <f t="shared" ref="O194:O257" si="36">(K194/((L194+M194)/2)^0.5)</f>
        <v>29.67569114210961</v>
      </c>
      <c r="P194" s="382" t="str">
        <f t="shared" si="29"/>
        <v>Sol très sodique – Très haut risque de dispersion, dégradation sévère</v>
      </c>
      <c r="Q194" s="382">
        <f t="shared" si="30"/>
        <v>3.3916909411764702</v>
      </c>
      <c r="R194" s="382">
        <f t="shared" si="31"/>
        <v>169.85237059591125</v>
      </c>
      <c r="S194" s="382">
        <f t="shared" si="32"/>
        <v>44.390573353293412</v>
      </c>
      <c r="T194" s="382">
        <f t="shared" si="33"/>
        <v>15.225540000000001</v>
      </c>
      <c r="U194" s="382"/>
      <c r="V194" s="383">
        <f t="shared" si="34"/>
        <v>0.72941786063619174</v>
      </c>
      <c r="W194" s="386" t="str">
        <f t="shared" si="35"/>
        <v>Extremely high</v>
      </c>
    </row>
    <row r="195" spans="1:23" ht="16.2" thickBot="1" x14ac:dyDescent="0.35">
      <c r="A195" s="6">
        <v>59404</v>
      </c>
      <c r="B195" s="31">
        <v>44071.827599999997</v>
      </c>
      <c r="C195" s="6">
        <v>18298</v>
      </c>
      <c r="D195" s="31">
        <v>13077.580599999999</v>
      </c>
      <c r="E195" s="6">
        <v>2182</v>
      </c>
      <c r="F195" s="31">
        <v>1315.7459999999999</v>
      </c>
      <c r="G195" s="282">
        <v>1458.23</v>
      </c>
      <c r="H195" s="282"/>
      <c r="I195" s="282"/>
      <c r="J195" s="382">
        <f t="shared" ref="J195:J258" si="37">(G195*0.83/10)/39.1</f>
        <v>3.0954754475703319</v>
      </c>
      <c r="K195" s="382">
        <f t="shared" ref="K195:K258" si="38">(A195*0.7419/10)/23</f>
        <v>191.61664173913042</v>
      </c>
      <c r="L195" s="382">
        <f t="shared" ref="L195:L258" si="39">((C195*40/56)/10)/20</f>
        <v>65.349999999999994</v>
      </c>
      <c r="M195" s="382">
        <f t="shared" ref="M195:M258" si="40">(E195*0.603/10)/12.15</f>
        <v>10.829185185185183</v>
      </c>
      <c r="N195" s="238"/>
      <c r="O195" s="382">
        <f t="shared" si="36"/>
        <v>31.047744852163891</v>
      </c>
      <c r="P195" s="382" t="str">
        <f t="shared" ref="P195:P258" si="41">IF(O195 &lt; 10, "Sol non sodique – Faible risque de dispersion, perméabilité normale",
IF(O195 &lt;= 18, "Sol modérément sodique – Risque modéré de sodicité",
IF(O195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195" s="382">
        <f t="shared" ref="Q195:Q258" si="42">(G195*0.8301)/391</f>
        <v>3.0958483964194374</v>
      </c>
      <c r="R195" s="382">
        <f t="shared" ref="R195:R258" si="43">(A195*0.74)/229.9</f>
        <v>191.20904741191822</v>
      </c>
      <c r="S195" s="382">
        <f t="shared" ref="S195:S258" si="44">C195*0.7147/200.4</f>
        <v>65.257388223552894</v>
      </c>
      <c r="T195" s="382">
        <f t="shared" ref="T195:T258" si="45">E195*0.00354</f>
        <v>7.7242800000000003</v>
      </c>
      <c r="U195" s="382"/>
      <c r="V195" s="383">
        <f t="shared" ref="V195:V258" si="46">R195/(Q195+R195+S195+T195)</f>
        <v>0.71537096563186997</v>
      </c>
      <c r="W195" s="386" t="str">
        <f t="shared" ref="W195:W258" si="47">IF(V195 &lt; 15%, "None to slight",
IF(V195 &lt; 30%, "Light to moderate",
IF(V195 &lt; 50%, "Moderate to high",
IF(V195 &lt; 70%, "High to very high",
"Extremely high"))))</f>
        <v>Extremely high</v>
      </c>
    </row>
    <row r="196" spans="1:23" ht="16.2" thickBot="1" x14ac:dyDescent="0.35">
      <c r="A196" s="6">
        <v>24460</v>
      </c>
      <c r="B196" s="31">
        <v>18146.874</v>
      </c>
      <c r="C196" s="6">
        <v>15692</v>
      </c>
      <c r="D196" s="31">
        <v>11215.072400000001</v>
      </c>
      <c r="E196" s="6">
        <v>2988</v>
      </c>
      <c r="F196" s="31">
        <v>1801.7639999999999</v>
      </c>
      <c r="G196" s="282">
        <v>1642.58</v>
      </c>
      <c r="H196" s="282"/>
      <c r="I196" s="282"/>
      <c r="J196" s="382">
        <f t="shared" si="37"/>
        <v>3.4868066496163679</v>
      </c>
      <c r="K196" s="382">
        <f t="shared" si="38"/>
        <v>78.899452173913048</v>
      </c>
      <c r="L196" s="382">
        <f t="shared" si="39"/>
        <v>56.042857142857144</v>
      </c>
      <c r="M196" s="382">
        <f t="shared" si="40"/>
        <v>14.829333333333333</v>
      </c>
      <c r="N196" s="238"/>
      <c r="O196" s="382">
        <f t="shared" si="36"/>
        <v>13.254124863711416</v>
      </c>
      <c r="P196" s="382" t="str">
        <f t="shared" si="41"/>
        <v>Sol modérément sodique – Risque modéré de sodicité</v>
      </c>
      <c r="Q196" s="382">
        <f t="shared" si="42"/>
        <v>3.4872267468030684</v>
      </c>
      <c r="R196" s="382">
        <f t="shared" si="43"/>
        <v>78.731622444541102</v>
      </c>
      <c r="S196" s="382">
        <f t="shared" si="44"/>
        <v>55.963435129740525</v>
      </c>
      <c r="T196" s="382">
        <f t="shared" si="45"/>
        <v>10.57752</v>
      </c>
      <c r="U196" s="382"/>
      <c r="V196" s="383">
        <f t="shared" si="46"/>
        <v>0.52925333428515386</v>
      </c>
      <c r="W196" s="386" t="str">
        <f t="shared" si="47"/>
        <v>High to very high</v>
      </c>
    </row>
    <row r="197" spans="1:23" ht="16.2" thickBot="1" x14ac:dyDescent="0.35">
      <c r="A197" s="6">
        <v>53884</v>
      </c>
      <c r="B197" s="31">
        <v>39976.539600000004</v>
      </c>
      <c r="C197" s="6">
        <v>8178</v>
      </c>
      <c r="D197" s="31">
        <v>5844.8166000000001</v>
      </c>
      <c r="E197" s="6">
        <v>2266</v>
      </c>
      <c r="F197" s="31">
        <v>1366.3979999999999</v>
      </c>
      <c r="G197" s="282">
        <v>670.2</v>
      </c>
      <c r="H197" s="282"/>
      <c r="I197" s="282"/>
      <c r="J197" s="382">
        <f t="shared" si="37"/>
        <v>1.4226751918158567</v>
      </c>
      <c r="K197" s="382">
        <f t="shared" si="38"/>
        <v>173.81104173913045</v>
      </c>
      <c r="L197" s="382">
        <f t="shared" si="39"/>
        <v>29.207142857142856</v>
      </c>
      <c r="M197" s="382">
        <f t="shared" si="40"/>
        <v>11.246074074074071</v>
      </c>
      <c r="N197" s="238"/>
      <c r="O197" s="382">
        <f t="shared" si="36"/>
        <v>38.64700369342809</v>
      </c>
      <c r="P197" s="382" t="str">
        <f t="shared" si="41"/>
        <v>Sol très sodique – Très haut risque de dispersion, dégradation sévère</v>
      </c>
      <c r="Q197" s="382">
        <f t="shared" si="42"/>
        <v>1.4228465984654732</v>
      </c>
      <c r="R197" s="382">
        <f t="shared" si="43"/>
        <v>173.44132231404956</v>
      </c>
      <c r="S197" s="382">
        <f t="shared" si="44"/>
        <v>29.165751497005989</v>
      </c>
      <c r="T197" s="382">
        <f t="shared" si="45"/>
        <v>8.0216399999999997</v>
      </c>
      <c r="U197" s="382"/>
      <c r="V197" s="383">
        <f t="shared" si="46"/>
        <v>0.81792051885444239</v>
      </c>
      <c r="W197" s="386" t="str">
        <f t="shared" si="47"/>
        <v>Extremely high</v>
      </c>
    </row>
    <row r="198" spans="1:23" ht="16.2" thickBot="1" x14ac:dyDescent="0.35">
      <c r="A198" s="6">
        <v>29428</v>
      </c>
      <c r="B198" s="31">
        <v>21832.6332</v>
      </c>
      <c r="C198" s="6">
        <v>14427</v>
      </c>
      <c r="D198" s="31">
        <v>10310.9769</v>
      </c>
      <c r="E198" s="6">
        <v>4332</v>
      </c>
      <c r="F198" s="31">
        <v>2612.1959999999999</v>
      </c>
      <c r="G198" s="282">
        <v>984.9</v>
      </c>
      <c r="H198" s="282"/>
      <c r="I198" s="282"/>
      <c r="J198" s="382">
        <f t="shared" si="37"/>
        <v>2.0907084398976981</v>
      </c>
      <c r="K198" s="382">
        <f t="shared" si="38"/>
        <v>94.924492173913038</v>
      </c>
      <c r="L198" s="382">
        <f t="shared" si="39"/>
        <v>51.524999999999999</v>
      </c>
      <c r="M198" s="382">
        <f t="shared" si="40"/>
        <v>21.499555555555556</v>
      </c>
      <c r="N198" s="238"/>
      <c r="O198" s="382">
        <f t="shared" si="36"/>
        <v>15.709371821894857</v>
      </c>
      <c r="P198" s="382" t="str">
        <f t="shared" si="41"/>
        <v>Sol modérément sodique – Risque modéré de sodicité</v>
      </c>
      <c r="Q198" s="382">
        <f t="shared" si="42"/>
        <v>2.0909603324808184</v>
      </c>
      <c r="R198" s="382">
        <f t="shared" si="43"/>
        <v>94.722575032622885</v>
      </c>
      <c r="S198" s="382">
        <f t="shared" si="44"/>
        <v>51.45198053892215</v>
      </c>
      <c r="T198" s="382">
        <f t="shared" si="45"/>
        <v>15.335280000000001</v>
      </c>
      <c r="U198" s="382"/>
      <c r="V198" s="383">
        <f t="shared" si="46"/>
        <v>0.57898602821095424</v>
      </c>
      <c r="W198" s="386" t="str">
        <f t="shared" si="47"/>
        <v>High to very high</v>
      </c>
    </row>
    <row r="199" spans="1:23" ht="16.2" thickBot="1" x14ac:dyDescent="0.35">
      <c r="A199" s="6">
        <v>22210</v>
      </c>
      <c r="B199" s="31">
        <v>16477.598999999998</v>
      </c>
      <c r="C199" s="6">
        <v>13856</v>
      </c>
      <c r="D199" s="31">
        <v>9902.8832000000002</v>
      </c>
      <c r="E199" s="6">
        <v>2361</v>
      </c>
      <c r="F199" s="31">
        <v>1423.683</v>
      </c>
      <c r="G199" s="282">
        <v>836.98</v>
      </c>
      <c r="H199" s="282"/>
      <c r="I199" s="282"/>
      <c r="J199" s="382">
        <f t="shared" si="37"/>
        <v>1.7767094629156011</v>
      </c>
      <c r="K199" s="382">
        <f t="shared" si="38"/>
        <v>71.64173478260868</v>
      </c>
      <c r="L199" s="382">
        <f t="shared" si="39"/>
        <v>49.48571428571428</v>
      </c>
      <c r="M199" s="382">
        <f t="shared" si="40"/>
        <v>11.717555555555556</v>
      </c>
      <c r="N199" s="238"/>
      <c r="O199" s="382">
        <f t="shared" si="36"/>
        <v>12.950715971912523</v>
      </c>
      <c r="P199" s="382" t="str">
        <f t="shared" si="41"/>
        <v>Sol modérément sodique – Risque modéré de sodicité</v>
      </c>
      <c r="Q199" s="382">
        <f t="shared" si="42"/>
        <v>1.7769235242966752</v>
      </c>
      <c r="R199" s="382">
        <f t="shared" si="43"/>
        <v>71.489343192692473</v>
      </c>
      <c r="S199" s="382">
        <f t="shared" si="44"/>
        <v>49.41558483033932</v>
      </c>
      <c r="T199" s="382">
        <f t="shared" si="45"/>
        <v>8.357940000000001</v>
      </c>
      <c r="U199" s="382"/>
      <c r="V199" s="383">
        <f t="shared" si="46"/>
        <v>0.54555446363688853</v>
      </c>
      <c r="W199" s="386" t="str">
        <f t="shared" si="47"/>
        <v>High to very high</v>
      </c>
    </row>
    <row r="200" spans="1:23" ht="16.2" thickBot="1" x14ac:dyDescent="0.35">
      <c r="A200" s="6">
        <v>10865</v>
      </c>
      <c r="B200" s="31">
        <v>8060.7435000000005</v>
      </c>
      <c r="C200" s="6">
        <v>41841</v>
      </c>
      <c r="D200" s="31">
        <v>29903.762699999999</v>
      </c>
      <c r="E200" s="6">
        <v>2474</v>
      </c>
      <c r="F200" s="31">
        <v>1491.8219999999999</v>
      </c>
      <c r="G200" s="282">
        <v>906.53</v>
      </c>
      <c r="H200" s="282"/>
      <c r="I200" s="282"/>
      <c r="J200" s="382">
        <f t="shared" si="37"/>
        <v>1.9243475703324808</v>
      </c>
      <c r="K200" s="382">
        <f t="shared" si="38"/>
        <v>35.046710869565224</v>
      </c>
      <c r="L200" s="382">
        <f t="shared" si="39"/>
        <v>149.43214285714288</v>
      </c>
      <c r="M200" s="382">
        <f t="shared" si="40"/>
        <v>12.27837037037037</v>
      </c>
      <c r="N200" s="238"/>
      <c r="O200" s="382">
        <f t="shared" si="36"/>
        <v>3.897562928148516</v>
      </c>
      <c r="P200" s="382" t="str">
        <f t="shared" si="41"/>
        <v>Sol non sodique – Faible risque de dispersion, perméabilité normale</v>
      </c>
      <c r="Q200" s="382">
        <f t="shared" si="42"/>
        <v>1.92457941943734</v>
      </c>
      <c r="R200" s="382">
        <f t="shared" si="43"/>
        <v>34.97216180948238</v>
      </c>
      <c r="S200" s="382">
        <f t="shared" si="44"/>
        <v>149.22037275449102</v>
      </c>
      <c r="T200" s="382">
        <f t="shared" si="45"/>
        <v>8.7579600000000006</v>
      </c>
      <c r="U200" s="382"/>
      <c r="V200" s="383">
        <f t="shared" si="46"/>
        <v>0.17945938951874099</v>
      </c>
      <c r="W200" s="386" t="str">
        <f t="shared" si="47"/>
        <v>Light to moderate</v>
      </c>
    </row>
    <row r="201" spans="1:23" ht="16.2" thickBot="1" x14ac:dyDescent="0.35">
      <c r="A201" s="6">
        <v>114</v>
      </c>
      <c r="B201" s="31">
        <v>84.576599999999999</v>
      </c>
      <c r="C201" s="6">
        <v>69915</v>
      </c>
      <c r="D201" s="31">
        <v>49968.250500000002</v>
      </c>
      <c r="E201" s="6">
        <v>114</v>
      </c>
      <c r="F201" s="31">
        <v>68.742000000000004</v>
      </c>
      <c r="G201" s="282">
        <v>359.44</v>
      </c>
      <c r="H201" s="282"/>
      <c r="I201" s="282"/>
      <c r="J201" s="382">
        <f t="shared" si="37"/>
        <v>0.76300562659846549</v>
      </c>
      <c r="K201" s="382">
        <f t="shared" si="38"/>
        <v>0.36772434782608698</v>
      </c>
      <c r="L201" s="382">
        <f t="shared" si="39"/>
        <v>249.69642857142858</v>
      </c>
      <c r="M201" s="382">
        <f t="shared" si="40"/>
        <v>0.56577777777777782</v>
      </c>
      <c r="N201" s="238"/>
      <c r="O201" s="382">
        <f t="shared" si="36"/>
        <v>3.2873031031743459E-2</v>
      </c>
      <c r="P201" s="382" t="str">
        <f t="shared" si="41"/>
        <v>Sol non sodique – Faible risque de dispersion, perméabilité normale</v>
      </c>
      <c r="Q201" s="382">
        <f t="shared" si="42"/>
        <v>0.76309755498721221</v>
      </c>
      <c r="R201" s="382">
        <f t="shared" si="43"/>
        <v>0.36694214876033054</v>
      </c>
      <c r="S201" s="382">
        <f t="shared" si="44"/>
        <v>249.34256736526947</v>
      </c>
      <c r="T201" s="382">
        <f t="shared" si="45"/>
        <v>0.40356000000000003</v>
      </c>
      <c r="U201" s="382"/>
      <c r="V201" s="383">
        <f t="shared" si="46"/>
        <v>1.4626425182085285E-3</v>
      </c>
      <c r="W201" s="386" t="str">
        <f t="shared" si="47"/>
        <v>None to slight</v>
      </c>
    </row>
    <row r="202" spans="1:23" ht="16.2" thickBot="1" x14ac:dyDescent="0.35">
      <c r="A202" s="6">
        <v>2954</v>
      </c>
      <c r="B202" s="31">
        <v>2191.5726</v>
      </c>
      <c r="C202" s="6">
        <v>67788</v>
      </c>
      <c r="D202" s="31">
        <v>48448.083599999998</v>
      </c>
      <c r="E202" s="6">
        <v>625</v>
      </c>
      <c r="F202" s="31">
        <v>376.875</v>
      </c>
      <c r="G202" s="282">
        <v>163</v>
      </c>
      <c r="H202" s="282"/>
      <c r="I202" s="282"/>
      <c r="J202" s="382">
        <f t="shared" si="37"/>
        <v>0.3460102301790281</v>
      </c>
      <c r="K202" s="382">
        <f t="shared" si="38"/>
        <v>9.5285765217391312</v>
      </c>
      <c r="L202" s="382">
        <f t="shared" si="39"/>
        <v>242.1</v>
      </c>
      <c r="M202" s="382">
        <f t="shared" si="40"/>
        <v>3.1018518518518516</v>
      </c>
      <c r="N202" s="238"/>
      <c r="O202" s="382">
        <f t="shared" si="36"/>
        <v>0.86055999078872802</v>
      </c>
      <c r="P202" s="382" t="str">
        <f t="shared" si="41"/>
        <v>Sol non sodique – Faible risque de dispersion, perméabilité normale</v>
      </c>
      <c r="Q202" s="382">
        <f t="shared" si="42"/>
        <v>0.34605191815856778</v>
      </c>
      <c r="R202" s="382">
        <f t="shared" si="43"/>
        <v>9.5083079599826004</v>
      </c>
      <c r="S202" s="382">
        <f t="shared" si="44"/>
        <v>241.75690419161674</v>
      </c>
      <c r="T202" s="382">
        <f t="shared" si="45"/>
        <v>2.2124999999999999</v>
      </c>
      <c r="U202" s="382"/>
      <c r="V202" s="383">
        <f t="shared" si="46"/>
        <v>3.7460274828205013E-2</v>
      </c>
      <c r="W202" s="386" t="str">
        <f t="shared" si="47"/>
        <v>None to slight</v>
      </c>
    </row>
    <row r="203" spans="1:23" ht="16.2" thickBot="1" x14ac:dyDescent="0.35">
      <c r="A203" s="6">
        <v>54</v>
      </c>
      <c r="B203" s="31">
        <v>40.062600000000003</v>
      </c>
      <c r="C203" s="6">
        <v>68276</v>
      </c>
      <c r="D203" s="31">
        <v>48796.857199999999</v>
      </c>
      <c r="E203" s="6">
        <v>39</v>
      </c>
      <c r="F203" s="31">
        <v>23.516999999999999</v>
      </c>
      <c r="G203" s="282">
        <v>91</v>
      </c>
      <c r="H203" s="282"/>
      <c r="I203" s="282"/>
      <c r="J203" s="382">
        <f t="shared" si="37"/>
        <v>0.19317135549872122</v>
      </c>
      <c r="K203" s="382">
        <f t="shared" si="38"/>
        <v>0.17418521739130435</v>
      </c>
      <c r="L203" s="382">
        <f t="shared" si="39"/>
        <v>243.84285714285716</v>
      </c>
      <c r="M203" s="382">
        <f t="shared" si="40"/>
        <v>0.19355555555555556</v>
      </c>
      <c r="N203" s="238"/>
      <c r="O203" s="382">
        <f t="shared" si="36"/>
        <v>1.5768812041392962E-2</v>
      </c>
      <c r="P203" s="382" t="str">
        <f t="shared" si="41"/>
        <v>Sol non sodique – Faible risque de dispersion, perméabilité normale</v>
      </c>
      <c r="Q203" s="382">
        <f t="shared" si="42"/>
        <v>0.19319462915601021</v>
      </c>
      <c r="R203" s="382">
        <f t="shared" si="43"/>
        <v>0.17381470204436711</v>
      </c>
      <c r="S203" s="382">
        <f t="shared" si="44"/>
        <v>243.49729141716566</v>
      </c>
      <c r="T203" s="382">
        <f t="shared" si="45"/>
        <v>0.13806000000000002</v>
      </c>
      <c r="U203" s="382"/>
      <c r="V203" s="383">
        <f t="shared" si="46"/>
        <v>7.1234844413500646E-4</v>
      </c>
      <c r="W203" s="386" t="str">
        <f t="shared" si="47"/>
        <v>None to slight</v>
      </c>
    </row>
    <row r="204" spans="1:23" ht="16.2" thickBot="1" x14ac:dyDescent="0.35">
      <c r="A204" s="6">
        <v>88</v>
      </c>
      <c r="B204" s="31">
        <v>65.287199999999999</v>
      </c>
      <c r="C204" s="6">
        <v>66500</v>
      </c>
      <c r="D204" s="31">
        <v>47527.55</v>
      </c>
      <c r="E204" s="6">
        <v>53</v>
      </c>
      <c r="F204" s="31">
        <v>31.959</v>
      </c>
      <c r="G204" s="282">
        <v>70.650000000000006</v>
      </c>
      <c r="H204" s="282"/>
      <c r="I204" s="282"/>
      <c r="J204" s="382">
        <f t="shared" si="37"/>
        <v>0.14997314578005116</v>
      </c>
      <c r="K204" s="382">
        <f t="shared" si="38"/>
        <v>0.28385739130434784</v>
      </c>
      <c r="L204" s="382">
        <f t="shared" si="39"/>
        <v>237.5</v>
      </c>
      <c r="M204" s="382">
        <f t="shared" si="40"/>
        <v>0.26303703703703701</v>
      </c>
      <c r="N204" s="238"/>
      <c r="O204" s="382">
        <f t="shared" si="36"/>
        <v>2.6034127970231639E-2</v>
      </c>
      <c r="P204" s="382" t="str">
        <f t="shared" si="41"/>
        <v>Sol non sodique – Faible risque de dispersion, perméabilité normale</v>
      </c>
      <c r="Q204" s="382">
        <f t="shared" si="42"/>
        <v>0.1499912148337596</v>
      </c>
      <c r="R204" s="382">
        <f t="shared" si="43"/>
        <v>0.28325358851674642</v>
      </c>
      <c r="S204" s="382">
        <f t="shared" si="44"/>
        <v>237.16342315369263</v>
      </c>
      <c r="T204" s="382">
        <f t="shared" si="45"/>
        <v>0.18762000000000001</v>
      </c>
      <c r="U204" s="382"/>
      <c r="V204" s="383">
        <f t="shared" si="46"/>
        <v>1.1912207949076833E-3</v>
      </c>
      <c r="W204" s="386" t="str">
        <f t="shared" si="47"/>
        <v>None to slight</v>
      </c>
    </row>
    <row r="205" spans="1:23" ht="16.2" thickBot="1" x14ac:dyDescent="0.35">
      <c r="A205" s="6">
        <v>6720</v>
      </c>
      <c r="B205" s="31">
        <v>4985.5680000000002</v>
      </c>
      <c r="C205" s="6">
        <v>67282</v>
      </c>
      <c r="D205" s="31">
        <v>48086.445399999997</v>
      </c>
      <c r="E205" s="6">
        <v>1607</v>
      </c>
      <c r="F205" s="31">
        <v>969.02099999999996</v>
      </c>
      <c r="G205" s="282">
        <v>172.16</v>
      </c>
      <c r="H205" s="282"/>
      <c r="I205" s="282"/>
      <c r="J205" s="382">
        <f t="shared" si="37"/>
        <v>0.3654547314578005</v>
      </c>
      <c r="K205" s="382">
        <f t="shared" si="38"/>
        <v>21.676382608695654</v>
      </c>
      <c r="L205" s="382">
        <f t="shared" si="39"/>
        <v>240.29285714285714</v>
      </c>
      <c r="M205" s="382">
        <f t="shared" si="40"/>
        <v>7.9754814814814807</v>
      </c>
      <c r="N205" s="238"/>
      <c r="O205" s="382">
        <f t="shared" si="36"/>
        <v>1.9455443574136839</v>
      </c>
      <c r="P205" s="382" t="str">
        <f t="shared" si="41"/>
        <v>Sol non sodique – Faible risque de dispersion, perméabilité normale</v>
      </c>
      <c r="Q205" s="382">
        <f t="shared" si="42"/>
        <v>0.36549876214833754</v>
      </c>
      <c r="R205" s="382">
        <f t="shared" si="43"/>
        <v>21.630274032187909</v>
      </c>
      <c r="S205" s="382">
        <f t="shared" si="44"/>
        <v>239.9523223552894</v>
      </c>
      <c r="T205" s="382">
        <f t="shared" si="45"/>
        <v>5.6887800000000004</v>
      </c>
      <c r="U205" s="382"/>
      <c r="V205" s="383">
        <f t="shared" si="46"/>
        <v>8.0819483563672759E-2</v>
      </c>
      <c r="W205" s="386" t="str">
        <f t="shared" si="47"/>
        <v>None to slight</v>
      </c>
    </row>
    <row r="206" spans="1:23" ht="16.2" thickBot="1" x14ac:dyDescent="0.35">
      <c r="A206" s="6">
        <v>27211</v>
      </c>
      <c r="B206" s="31">
        <v>20187.840899999999</v>
      </c>
      <c r="C206" s="6">
        <v>63357</v>
      </c>
      <c r="D206" s="31">
        <v>45281.247900000002</v>
      </c>
      <c r="E206" s="6">
        <v>4698</v>
      </c>
      <c r="F206" s="31">
        <v>2832.8939999999998</v>
      </c>
      <c r="G206" s="282">
        <v>322.08999999999997</v>
      </c>
      <c r="H206" s="282"/>
      <c r="I206" s="282"/>
      <c r="J206" s="382">
        <f t="shared" si="37"/>
        <v>0.68372046035805611</v>
      </c>
      <c r="K206" s="382">
        <f t="shared" si="38"/>
        <v>87.773221304347814</v>
      </c>
      <c r="L206" s="382">
        <f t="shared" si="39"/>
        <v>226.27500000000001</v>
      </c>
      <c r="M206" s="382">
        <f t="shared" si="40"/>
        <v>23.315999999999999</v>
      </c>
      <c r="N206" s="238"/>
      <c r="O206" s="382">
        <f t="shared" si="36"/>
        <v>7.8571053206197847</v>
      </c>
      <c r="P206" s="382" t="str">
        <f t="shared" si="41"/>
        <v>Sol non sodique – Faible risque de dispersion, perméabilité normale</v>
      </c>
      <c r="Q206" s="382">
        <f t="shared" si="42"/>
        <v>0.68380283631713545</v>
      </c>
      <c r="R206" s="382">
        <f t="shared" si="43"/>
        <v>87.586515876468027</v>
      </c>
      <c r="S206" s="382">
        <f t="shared" si="44"/>
        <v>225.95433083832336</v>
      </c>
      <c r="T206" s="382">
        <f t="shared" si="45"/>
        <v>16.63092</v>
      </c>
      <c r="U206" s="382"/>
      <c r="V206" s="383">
        <f t="shared" si="46"/>
        <v>0.26472734309808316</v>
      </c>
      <c r="W206" s="386" t="str">
        <f t="shared" si="47"/>
        <v>Light to moderate</v>
      </c>
    </row>
    <row r="207" spans="1:23" ht="16.2" thickBot="1" x14ac:dyDescent="0.35">
      <c r="A207" s="6">
        <v>34260</v>
      </c>
      <c r="B207" s="31">
        <v>25417.493999999999</v>
      </c>
      <c r="C207" s="6">
        <v>64297</v>
      </c>
      <c r="D207" s="31">
        <v>45953.065900000001</v>
      </c>
      <c r="E207" s="6">
        <v>9276</v>
      </c>
      <c r="F207" s="31">
        <v>5593.4279999999999</v>
      </c>
      <c r="G207" s="282">
        <v>449.87</v>
      </c>
      <c r="H207" s="282"/>
      <c r="I207" s="282"/>
      <c r="J207" s="382">
        <f t="shared" si="37"/>
        <v>0.95496700767263409</v>
      </c>
      <c r="K207" s="382">
        <f t="shared" si="38"/>
        <v>110.51084347826085</v>
      </c>
      <c r="L207" s="382">
        <f t="shared" si="39"/>
        <v>229.63214285714284</v>
      </c>
      <c r="M207" s="382">
        <f t="shared" si="40"/>
        <v>46.036444444444442</v>
      </c>
      <c r="N207" s="238"/>
      <c r="O207" s="382">
        <f t="shared" si="36"/>
        <v>9.4129608241086906</v>
      </c>
      <c r="P207" s="382" t="str">
        <f t="shared" si="41"/>
        <v>Sol non sodique – Faible risque de dispersion, perméabilité normale</v>
      </c>
      <c r="Q207" s="382">
        <f t="shared" si="42"/>
        <v>0.95508206393861883</v>
      </c>
      <c r="R207" s="382">
        <f t="shared" si="43"/>
        <v>110.27577207481514</v>
      </c>
      <c r="S207" s="382">
        <f t="shared" si="44"/>
        <v>229.30671606786427</v>
      </c>
      <c r="T207" s="382">
        <f t="shared" si="45"/>
        <v>32.837040000000002</v>
      </c>
      <c r="U207" s="382"/>
      <c r="V207" s="383">
        <f t="shared" si="46"/>
        <v>0.29534887766950924</v>
      </c>
      <c r="W207" s="386" t="str">
        <f t="shared" si="47"/>
        <v>Light to moderate</v>
      </c>
    </row>
    <row r="208" spans="1:23" ht="16.2" thickBot="1" x14ac:dyDescent="0.35">
      <c r="A208" s="6">
        <v>9970</v>
      </c>
      <c r="B208" s="31">
        <v>7396.7430000000004</v>
      </c>
      <c r="C208" s="6">
        <v>74249</v>
      </c>
      <c r="D208" s="31">
        <v>53065.760300000002</v>
      </c>
      <c r="E208" s="6">
        <v>2794</v>
      </c>
      <c r="F208" s="31">
        <v>1684.7819999999999</v>
      </c>
      <c r="G208" s="282">
        <v>126.21</v>
      </c>
      <c r="H208" s="282"/>
      <c r="I208" s="282"/>
      <c r="J208" s="382">
        <f t="shared" si="37"/>
        <v>0.26791381074168796</v>
      </c>
      <c r="K208" s="382">
        <f t="shared" si="38"/>
        <v>32.159752173913041</v>
      </c>
      <c r="L208" s="382">
        <f t="shared" si="39"/>
        <v>265.17500000000001</v>
      </c>
      <c r="M208" s="382">
        <f t="shared" si="40"/>
        <v>13.866518518518516</v>
      </c>
      <c r="N208" s="238"/>
      <c r="O208" s="382">
        <f t="shared" si="36"/>
        <v>2.7226591657564616</v>
      </c>
      <c r="P208" s="382" t="str">
        <f t="shared" si="41"/>
        <v>Sol non sodique – Faible risque de dispersion, perméabilité normale</v>
      </c>
      <c r="Q208" s="382">
        <f t="shared" si="42"/>
        <v>0.26794608951406645</v>
      </c>
      <c r="R208" s="382">
        <f t="shared" si="43"/>
        <v>32.091344062635926</v>
      </c>
      <c r="S208" s="382">
        <f t="shared" si="44"/>
        <v>264.79920309381237</v>
      </c>
      <c r="T208" s="382">
        <f t="shared" si="45"/>
        <v>9.8907600000000002</v>
      </c>
      <c r="U208" s="382"/>
      <c r="V208" s="383">
        <f t="shared" si="46"/>
        <v>0.10451529754064928</v>
      </c>
      <c r="W208" s="386" t="str">
        <f t="shared" si="47"/>
        <v>None to slight</v>
      </c>
    </row>
    <row r="209" spans="1:23" ht="16.2" thickBot="1" x14ac:dyDescent="0.35">
      <c r="A209" s="6">
        <v>1786</v>
      </c>
      <c r="B209" s="31">
        <v>1325.0334</v>
      </c>
      <c r="C209" s="6">
        <v>13427</v>
      </c>
      <c r="D209" s="31">
        <v>9596.2769000000008</v>
      </c>
      <c r="E209" s="6">
        <v>1497</v>
      </c>
      <c r="F209" s="31">
        <v>902.69099999999992</v>
      </c>
      <c r="G209" s="282">
        <v>548.95000000000005</v>
      </c>
      <c r="H209" s="282"/>
      <c r="I209" s="282"/>
      <c r="J209" s="382">
        <f t="shared" si="37"/>
        <v>1.1652902813299233</v>
      </c>
      <c r="K209" s="382">
        <f t="shared" si="38"/>
        <v>5.7610147826086964</v>
      </c>
      <c r="L209" s="382">
        <f t="shared" si="39"/>
        <v>47.953571428571436</v>
      </c>
      <c r="M209" s="382">
        <f t="shared" si="40"/>
        <v>7.429555555555555</v>
      </c>
      <c r="N209" s="238"/>
      <c r="O209" s="382">
        <f t="shared" si="36"/>
        <v>1.0947759570079216</v>
      </c>
      <c r="P209" s="382" t="str">
        <f t="shared" si="41"/>
        <v>Sol non sodique – Faible risque de dispersion, perméabilité normale</v>
      </c>
      <c r="Q209" s="382">
        <f t="shared" si="42"/>
        <v>1.1654306777493606</v>
      </c>
      <c r="R209" s="382">
        <f t="shared" si="43"/>
        <v>5.748760330578512</v>
      </c>
      <c r="S209" s="382">
        <f t="shared" si="44"/>
        <v>47.885613273453096</v>
      </c>
      <c r="T209" s="382">
        <f t="shared" si="45"/>
        <v>5.2993800000000002</v>
      </c>
      <c r="U209" s="382"/>
      <c r="V209" s="383">
        <f t="shared" si="46"/>
        <v>9.5654548381636617E-2</v>
      </c>
      <c r="W209" s="386" t="str">
        <f t="shared" si="47"/>
        <v>None to slight</v>
      </c>
    </row>
    <row r="210" spans="1:23" ht="16.2" thickBot="1" x14ac:dyDescent="0.35">
      <c r="A210" s="6">
        <v>8308</v>
      </c>
      <c r="B210" s="31">
        <v>6163.7052000000003</v>
      </c>
      <c r="C210" s="6">
        <v>18024</v>
      </c>
      <c r="D210" s="31">
        <v>12881.7528</v>
      </c>
      <c r="E210" s="6">
        <v>3440</v>
      </c>
      <c r="F210" s="31">
        <v>2074.3199999999997</v>
      </c>
      <c r="G210" s="282">
        <v>479.91</v>
      </c>
      <c r="H210" s="282"/>
      <c r="I210" s="282"/>
      <c r="J210" s="382">
        <f t="shared" si="37"/>
        <v>1.0187347826086957</v>
      </c>
      <c r="K210" s="382">
        <f t="shared" si="38"/>
        <v>26.798718260869567</v>
      </c>
      <c r="L210" s="382">
        <f t="shared" si="39"/>
        <v>64.371428571428567</v>
      </c>
      <c r="M210" s="382">
        <f t="shared" si="40"/>
        <v>17.072592592592589</v>
      </c>
      <c r="N210" s="238"/>
      <c r="O210" s="382">
        <f t="shared" si="36"/>
        <v>4.1995177063803046</v>
      </c>
      <c r="P210" s="382" t="str">
        <f t="shared" si="41"/>
        <v>Sol non sodique – Faible risque de dispersion, perméabilité normale</v>
      </c>
      <c r="Q210" s="382">
        <f t="shared" si="42"/>
        <v>1.0188575217391305</v>
      </c>
      <c r="R210" s="382">
        <f t="shared" si="43"/>
        <v>26.741713788603739</v>
      </c>
      <c r="S210" s="382">
        <f t="shared" si="44"/>
        <v>64.280203592814374</v>
      </c>
      <c r="T210" s="382">
        <f t="shared" si="45"/>
        <v>12.1776</v>
      </c>
      <c r="U210" s="382"/>
      <c r="V210" s="383">
        <f t="shared" si="46"/>
        <v>0.25659307980433316</v>
      </c>
      <c r="W210" s="386" t="str">
        <f t="shared" si="47"/>
        <v>Light to moderate</v>
      </c>
    </row>
    <row r="211" spans="1:23" ht="16.2" thickBot="1" x14ac:dyDescent="0.35">
      <c r="A211" s="6">
        <v>15848</v>
      </c>
      <c r="B211" s="31">
        <v>11757.6312</v>
      </c>
      <c r="C211" s="6">
        <v>37316</v>
      </c>
      <c r="D211" s="31">
        <v>26669.745200000001</v>
      </c>
      <c r="E211" s="6">
        <v>1706</v>
      </c>
      <c r="F211" s="31">
        <v>1028.7180000000001</v>
      </c>
      <c r="G211" s="282">
        <v>377.37</v>
      </c>
      <c r="H211" s="282"/>
      <c r="I211" s="282"/>
      <c r="J211" s="382">
        <f t="shared" si="37"/>
        <v>0.80106675191815857</v>
      </c>
      <c r="K211" s="382">
        <f t="shared" si="38"/>
        <v>51.120135652173914</v>
      </c>
      <c r="L211" s="382">
        <f t="shared" si="39"/>
        <v>133.27142857142857</v>
      </c>
      <c r="M211" s="382">
        <f t="shared" si="40"/>
        <v>8.4668148148148159</v>
      </c>
      <c r="N211" s="238"/>
      <c r="O211" s="382">
        <f t="shared" si="36"/>
        <v>6.0724433560282982</v>
      </c>
      <c r="P211" s="382" t="str">
        <f t="shared" si="41"/>
        <v>Sol non sodique – Faible risque de dispersion, perméabilité normale</v>
      </c>
      <c r="Q211" s="382">
        <f t="shared" si="42"/>
        <v>0.8011632659846547</v>
      </c>
      <c r="R211" s="382">
        <f t="shared" si="43"/>
        <v>51.011396259243149</v>
      </c>
      <c r="S211" s="382">
        <f t="shared" si="44"/>
        <v>133.08256087824353</v>
      </c>
      <c r="T211" s="382">
        <f t="shared" si="45"/>
        <v>6.0392400000000004</v>
      </c>
      <c r="U211" s="382"/>
      <c r="V211" s="383">
        <f t="shared" si="46"/>
        <v>0.26716718851153265</v>
      </c>
      <c r="W211" s="386" t="str">
        <f t="shared" si="47"/>
        <v>Light to moderate</v>
      </c>
    </row>
    <row r="212" spans="1:23" ht="16.2" thickBot="1" x14ac:dyDescent="0.35">
      <c r="A212" s="6">
        <v>18365</v>
      </c>
      <c r="B212" s="31">
        <v>13624.9935</v>
      </c>
      <c r="C212" s="6">
        <v>45521</v>
      </c>
      <c r="D212" s="31">
        <v>32533.858700000001</v>
      </c>
      <c r="E212" s="6">
        <v>2921</v>
      </c>
      <c r="F212" s="31">
        <v>1761.3630000000001</v>
      </c>
      <c r="G212" s="282">
        <v>301.5</v>
      </c>
      <c r="H212" s="282"/>
      <c r="I212" s="282"/>
      <c r="J212" s="382">
        <f t="shared" si="37"/>
        <v>0.640012787723785</v>
      </c>
      <c r="K212" s="382">
        <f t="shared" si="38"/>
        <v>59.239102173913047</v>
      </c>
      <c r="L212" s="382">
        <f t="shared" si="39"/>
        <v>162.57499999999999</v>
      </c>
      <c r="M212" s="382">
        <f t="shared" si="40"/>
        <v>14.496814814814815</v>
      </c>
      <c r="N212" s="238"/>
      <c r="O212" s="382">
        <f t="shared" si="36"/>
        <v>6.2957684427747411</v>
      </c>
      <c r="P212" s="382" t="str">
        <f t="shared" si="41"/>
        <v>Sol non sodique – Faible risque de dispersion, perméabilité normale</v>
      </c>
      <c r="Q212" s="382">
        <f t="shared" si="42"/>
        <v>0.64008989769820968</v>
      </c>
      <c r="R212" s="382">
        <f t="shared" si="43"/>
        <v>59.113092648977819</v>
      </c>
      <c r="S212" s="382">
        <f t="shared" si="44"/>
        <v>162.34460429141717</v>
      </c>
      <c r="T212" s="382">
        <f t="shared" si="45"/>
        <v>10.340340000000001</v>
      </c>
      <c r="U212" s="382"/>
      <c r="V212" s="383">
        <f t="shared" si="46"/>
        <v>0.25431754012608077</v>
      </c>
      <c r="W212" s="386" t="str">
        <f t="shared" si="47"/>
        <v>Light to moderate</v>
      </c>
    </row>
    <row r="213" spans="1:23" ht="16.2" thickBot="1" x14ac:dyDescent="0.35">
      <c r="A213" s="6">
        <v>164</v>
      </c>
      <c r="B213" s="31">
        <v>121.6716</v>
      </c>
      <c r="C213" s="6">
        <v>72332</v>
      </c>
      <c r="D213" s="31">
        <v>51695.680399999997</v>
      </c>
      <c r="E213" s="6">
        <v>163</v>
      </c>
      <c r="F213" s="31">
        <v>98.289000000000001</v>
      </c>
      <c r="G213" s="282">
        <v>165.38</v>
      </c>
      <c r="H213" s="282"/>
      <c r="I213" s="282"/>
      <c r="J213" s="382">
        <f t="shared" si="37"/>
        <v>0.35106240409207162</v>
      </c>
      <c r="K213" s="382">
        <f t="shared" si="38"/>
        <v>0.52900695652173912</v>
      </c>
      <c r="L213" s="382">
        <f t="shared" si="39"/>
        <v>258.32857142857142</v>
      </c>
      <c r="M213" s="382">
        <f t="shared" si="40"/>
        <v>0.80896296296296299</v>
      </c>
      <c r="N213" s="238"/>
      <c r="O213" s="382">
        <f t="shared" si="36"/>
        <v>4.647412479018783E-2</v>
      </c>
      <c r="P213" s="382" t="str">
        <f t="shared" si="41"/>
        <v>Sol non sodique – Faible risque de dispersion, perméabilité normale</v>
      </c>
      <c r="Q213" s="382">
        <f t="shared" si="42"/>
        <v>0.35110470076726341</v>
      </c>
      <c r="R213" s="382">
        <f t="shared" si="43"/>
        <v>0.52788168769030008</v>
      </c>
      <c r="S213" s="382">
        <f t="shared" si="44"/>
        <v>257.96247704590814</v>
      </c>
      <c r="T213" s="382">
        <f t="shared" si="45"/>
        <v>0.57701999999999998</v>
      </c>
      <c r="U213" s="382"/>
      <c r="V213" s="383">
        <f t="shared" si="46"/>
        <v>2.0348653677325847E-3</v>
      </c>
      <c r="W213" s="386" t="str">
        <f t="shared" si="47"/>
        <v>None to slight</v>
      </c>
    </row>
    <row r="214" spans="1:23" ht="16.2" thickBot="1" x14ac:dyDescent="0.35">
      <c r="A214" s="6">
        <v>5290</v>
      </c>
      <c r="B214" s="31">
        <v>3924.6509999999998</v>
      </c>
      <c r="C214" s="6">
        <v>73645</v>
      </c>
      <c r="D214" s="31">
        <v>52634.0815</v>
      </c>
      <c r="E214" s="6">
        <v>1582</v>
      </c>
      <c r="F214" s="31">
        <v>953.94599999999991</v>
      </c>
      <c r="G214" s="282">
        <v>183.63</v>
      </c>
      <c r="H214" s="282"/>
      <c r="I214" s="282"/>
      <c r="J214" s="382">
        <f t="shared" si="37"/>
        <v>0.38980281329923266</v>
      </c>
      <c r="K214" s="382">
        <f t="shared" si="38"/>
        <v>17.063700000000001</v>
      </c>
      <c r="L214" s="382">
        <f t="shared" si="39"/>
        <v>263.01785714285717</v>
      </c>
      <c r="M214" s="382">
        <f t="shared" si="40"/>
        <v>7.8514074074074065</v>
      </c>
      <c r="N214" s="238"/>
      <c r="O214" s="382">
        <f t="shared" si="36"/>
        <v>1.466251065252383</v>
      </c>
      <c r="P214" s="382" t="str">
        <f t="shared" si="41"/>
        <v>Sol non sodique – Faible risque de dispersion, perméabilité normale</v>
      </c>
      <c r="Q214" s="382">
        <f t="shared" si="42"/>
        <v>0.38984977749360605</v>
      </c>
      <c r="R214" s="382">
        <f t="shared" si="43"/>
        <v>17.027403218790777</v>
      </c>
      <c r="S214" s="382">
        <f t="shared" si="44"/>
        <v>262.64511726546908</v>
      </c>
      <c r="T214" s="382">
        <f t="shared" si="45"/>
        <v>5.6002800000000006</v>
      </c>
      <c r="U214" s="382"/>
      <c r="V214" s="383">
        <f t="shared" si="46"/>
        <v>5.9606683629058688E-2</v>
      </c>
      <c r="W214" s="386" t="str">
        <f t="shared" si="47"/>
        <v>None to slight</v>
      </c>
    </row>
    <row r="215" spans="1:23" ht="16.2" thickBot="1" x14ac:dyDescent="0.35">
      <c r="A215" s="6">
        <v>60</v>
      </c>
      <c r="B215" s="31">
        <v>44.514000000000003</v>
      </c>
      <c r="C215" s="6">
        <v>73954</v>
      </c>
      <c r="D215" s="31">
        <v>52854.923799999997</v>
      </c>
      <c r="E215" s="6">
        <v>72</v>
      </c>
      <c r="F215" s="31">
        <v>43.415999999999997</v>
      </c>
      <c r="G215" s="282">
        <v>130.33000000000001</v>
      </c>
      <c r="H215" s="282"/>
      <c r="I215" s="282"/>
      <c r="J215" s="382">
        <f t="shared" si="37"/>
        <v>0.27665959079283886</v>
      </c>
      <c r="K215" s="382">
        <f t="shared" si="38"/>
        <v>0.19353913043478263</v>
      </c>
      <c r="L215" s="382">
        <f t="shared" si="39"/>
        <v>264.12142857142857</v>
      </c>
      <c r="M215" s="382">
        <f t="shared" si="40"/>
        <v>0.35733333333333328</v>
      </c>
      <c r="N215" s="238"/>
      <c r="O215" s="382">
        <f t="shared" si="36"/>
        <v>1.6830165307805608E-2</v>
      </c>
      <c r="P215" s="382" t="str">
        <f t="shared" si="41"/>
        <v>Sol non sodique – Faible risque de dispersion, perméabilité normale</v>
      </c>
      <c r="Q215" s="382">
        <f t="shared" si="42"/>
        <v>0.2766929232736573</v>
      </c>
      <c r="R215" s="382">
        <f t="shared" si="43"/>
        <v>0.19312744671596346</v>
      </c>
      <c r="S215" s="382">
        <f t="shared" si="44"/>
        <v>263.74712475049898</v>
      </c>
      <c r="T215" s="382">
        <f t="shared" si="45"/>
        <v>0.25488</v>
      </c>
      <c r="U215" s="382"/>
      <c r="V215" s="383">
        <f t="shared" si="46"/>
        <v>7.302382649946854E-4</v>
      </c>
      <c r="W215" s="386" t="str">
        <f t="shared" si="47"/>
        <v>None to slight</v>
      </c>
    </row>
    <row r="216" spans="1:23" ht="16.2" thickBot="1" x14ac:dyDescent="0.35">
      <c r="A216" s="6">
        <v>143</v>
      </c>
      <c r="B216" s="31">
        <v>106.0917</v>
      </c>
      <c r="C216" s="6">
        <v>72340</v>
      </c>
      <c r="D216" s="31">
        <v>51701.398000000001</v>
      </c>
      <c r="E216" s="6">
        <v>89</v>
      </c>
      <c r="F216" s="31">
        <v>53.667000000000002</v>
      </c>
      <c r="G216" s="282">
        <v>120.71</v>
      </c>
      <c r="H216" s="282"/>
      <c r="I216" s="282"/>
      <c r="J216" s="382">
        <f t="shared" si="37"/>
        <v>0.25623861892583116</v>
      </c>
      <c r="K216" s="382">
        <f t="shared" si="38"/>
        <v>0.46126826086956524</v>
      </c>
      <c r="L216" s="382">
        <f t="shared" si="39"/>
        <v>258.35714285714283</v>
      </c>
      <c r="M216" s="382">
        <f t="shared" si="40"/>
        <v>0.44170370370370365</v>
      </c>
      <c r="N216" s="238"/>
      <c r="O216" s="382">
        <f t="shared" si="36"/>
        <v>4.0549677279229E-2</v>
      </c>
      <c r="P216" s="382" t="str">
        <f t="shared" si="41"/>
        <v>Sol non sodique – Faible risque de dispersion, perméabilité normale</v>
      </c>
      <c r="Q216" s="382">
        <f t="shared" si="42"/>
        <v>0.25626949104859331</v>
      </c>
      <c r="R216" s="382">
        <f t="shared" si="43"/>
        <v>0.46028708133971286</v>
      </c>
      <c r="S216" s="382">
        <f t="shared" si="44"/>
        <v>257.99100798403191</v>
      </c>
      <c r="T216" s="382">
        <f t="shared" si="45"/>
        <v>0.31506000000000001</v>
      </c>
      <c r="U216" s="382"/>
      <c r="V216" s="383">
        <f t="shared" si="46"/>
        <v>1.7770149697462171E-3</v>
      </c>
      <c r="W216" s="386" t="str">
        <f t="shared" si="47"/>
        <v>None to slight</v>
      </c>
    </row>
    <row r="217" spans="1:23" ht="16.2" thickBot="1" x14ac:dyDescent="0.35">
      <c r="A217" s="6">
        <v>2671</v>
      </c>
      <c r="B217" s="31">
        <v>1981.6149</v>
      </c>
      <c r="C217" s="6">
        <v>15300</v>
      </c>
      <c r="D217" s="31">
        <v>10934.91</v>
      </c>
      <c r="E217" s="6">
        <v>1570</v>
      </c>
      <c r="F217" s="31">
        <v>946.70999999999992</v>
      </c>
      <c r="G217" s="282">
        <v>593.42999999999995</v>
      </c>
      <c r="H217" s="282"/>
      <c r="I217" s="282"/>
      <c r="J217" s="382">
        <f t="shared" si="37"/>
        <v>1.2597107416879794</v>
      </c>
      <c r="K217" s="382">
        <f t="shared" si="38"/>
        <v>8.6157169565217391</v>
      </c>
      <c r="L217" s="382">
        <f t="shared" si="39"/>
        <v>54.642857142857146</v>
      </c>
      <c r="M217" s="382">
        <f t="shared" si="40"/>
        <v>7.7918518518518507</v>
      </c>
      <c r="N217" s="238"/>
      <c r="O217" s="382">
        <f t="shared" si="36"/>
        <v>1.5420319601729824</v>
      </c>
      <c r="P217" s="382" t="str">
        <f t="shared" si="41"/>
        <v>Sol non sodique – Faible risque de dispersion, perméabilité normale</v>
      </c>
      <c r="Q217" s="382">
        <f t="shared" si="42"/>
        <v>1.2598625140664961</v>
      </c>
      <c r="R217" s="382">
        <f t="shared" si="43"/>
        <v>8.5973901696389738</v>
      </c>
      <c r="S217" s="382">
        <f t="shared" si="44"/>
        <v>54.565419161676644</v>
      </c>
      <c r="T217" s="382">
        <f t="shared" si="45"/>
        <v>5.5578000000000003</v>
      </c>
      <c r="U217" s="382"/>
      <c r="V217" s="383">
        <f t="shared" si="46"/>
        <v>0.12285413263052042</v>
      </c>
      <c r="W217" s="386" t="str">
        <f t="shared" si="47"/>
        <v>None to slight</v>
      </c>
    </row>
    <row r="218" spans="1:23" ht="16.2" thickBot="1" x14ac:dyDescent="0.35">
      <c r="A218" s="6">
        <v>6734</v>
      </c>
      <c r="B218" s="31">
        <v>4995.9546</v>
      </c>
      <c r="C218" s="6">
        <v>25838</v>
      </c>
      <c r="D218" s="31">
        <v>18466.418600000001</v>
      </c>
      <c r="E218" s="6">
        <v>2998</v>
      </c>
      <c r="F218" s="31">
        <v>1807.7939999999999</v>
      </c>
      <c r="G218" s="282">
        <v>479.43</v>
      </c>
      <c r="H218" s="282"/>
      <c r="I218" s="282"/>
      <c r="J218" s="382">
        <f t="shared" si="37"/>
        <v>1.0177158567774935</v>
      </c>
      <c r="K218" s="382">
        <f t="shared" si="38"/>
        <v>21.721541739130434</v>
      </c>
      <c r="L218" s="382">
        <f t="shared" si="39"/>
        <v>92.278571428571439</v>
      </c>
      <c r="M218" s="382">
        <f t="shared" si="40"/>
        <v>14.878962962962961</v>
      </c>
      <c r="N218" s="238"/>
      <c r="O218" s="382">
        <f t="shared" si="36"/>
        <v>2.9675243333497483</v>
      </c>
      <c r="P218" s="382" t="str">
        <f t="shared" si="41"/>
        <v>Sol non sodique – Faible risque de dispersion, perméabilité normale</v>
      </c>
      <c r="Q218" s="382">
        <f t="shared" si="42"/>
        <v>1.0178384731457799</v>
      </c>
      <c r="R218" s="382">
        <f t="shared" si="43"/>
        <v>21.6753371030883</v>
      </c>
      <c r="S218" s="382">
        <f t="shared" si="44"/>
        <v>92.147797405189621</v>
      </c>
      <c r="T218" s="382">
        <f t="shared" si="45"/>
        <v>10.612920000000001</v>
      </c>
      <c r="U218" s="382"/>
      <c r="V218" s="383">
        <f t="shared" si="46"/>
        <v>0.17277532476650864</v>
      </c>
      <c r="W218" s="386" t="str">
        <f t="shared" si="47"/>
        <v>Light to moderate</v>
      </c>
    </row>
    <row r="219" spans="1:23" ht="16.2" thickBot="1" x14ac:dyDescent="0.35">
      <c r="A219" s="6">
        <v>27116</v>
      </c>
      <c r="B219" s="31">
        <v>20117.360400000001</v>
      </c>
      <c r="C219" s="6">
        <v>16547</v>
      </c>
      <c r="D219" s="31">
        <v>11826.1409</v>
      </c>
      <c r="E219" s="6">
        <v>5530</v>
      </c>
      <c r="F219" s="31">
        <v>3334.5899999999997</v>
      </c>
      <c r="G219" s="282">
        <v>1895.27</v>
      </c>
      <c r="H219" s="282"/>
      <c r="I219" s="282"/>
      <c r="J219" s="382">
        <f t="shared" si="37"/>
        <v>4.0232074168797949</v>
      </c>
      <c r="K219" s="382">
        <f t="shared" si="38"/>
        <v>87.466784347826092</v>
      </c>
      <c r="L219" s="382">
        <f t="shared" si="39"/>
        <v>59.096428571428568</v>
      </c>
      <c r="M219" s="382">
        <f t="shared" si="40"/>
        <v>27.445185185185181</v>
      </c>
      <c r="N219" s="238"/>
      <c r="O219" s="382">
        <f t="shared" si="36"/>
        <v>13.29675490096662</v>
      </c>
      <c r="P219" s="382" t="str">
        <f t="shared" si="41"/>
        <v>Sol modérément sodique – Risque modéré de sodicité</v>
      </c>
      <c r="Q219" s="382">
        <f t="shared" si="42"/>
        <v>4.0236921406649611</v>
      </c>
      <c r="R219" s="382">
        <f t="shared" si="43"/>
        <v>87.280730752501086</v>
      </c>
      <c r="S219" s="382">
        <f t="shared" si="44"/>
        <v>59.012679141716568</v>
      </c>
      <c r="T219" s="382">
        <f t="shared" si="45"/>
        <v>19.5762</v>
      </c>
      <c r="U219" s="382"/>
      <c r="V219" s="383">
        <f t="shared" si="46"/>
        <v>0.51373850356137374</v>
      </c>
      <c r="W219" s="386" t="str">
        <f t="shared" si="47"/>
        <v>High to very high</v>
      </c>
    </row>
    <row r="220" spans="1:23" ht="16.2" thickBot="1" x14ac:dyDescent="0.35">
      <c r="A220" s="6">
        <v>19971</v>
      </c>
      <c r="B220" s="31">
        <v>14816.484899999999</v>
      </c>
      <c r="C220" s="6">
        <v>18605</v>
      </c>
      <c r="D220" s="31">
        <v>13296.9935</v>
      </c>
      <c r="E220" s="6">
        <v>7887</v>
      </c>
      <c r="F220" s="31">
        <v>4755.8609999999999</v>
      </c>
      <c r="G220" s="282">
        <v>1883.77</v>
      </c>
      <c r="H220" s="282"/>
      <c r="I220" s="282"/>
      <c r="J220" s="382">
        <f t="shared" si="37"/>
        <v>3.998795652173913</v>
      </c>
      <c r="K220" s="382">
        <f t="shared" si="38"/>
        <v>64.419499565217393</v>
      </c>
      <c r="L220" s="382">
        <f t="shared" si="39"/>
        <v>66.446428571428569</v>
      </c>
      <c r="M220" s="382">
        <f t="shared" si="40"/>
        <v>39.142888888888884</v>
      </c>
      <c r="N220" s="238"/>
      <c r="O220" s="382">
        <f t="shared" si="36"/>
        <v>8.8658902985163746</v>
      </c>
      <c r="P220" s="382" t="str">
        <f t="shared" si="41"/>
        <v>Sol non sodique – Faible risque de dispersion, perméabilité normale</v>
      </c>
      <c r="Q220" s="382">
        <f t="shared" si="42"/>
        <v>3.9992774347826083</v>
      </c>
      <c r="R220" s="382">
        <f t="shared" si="43"/>
        <v>64.28247063940843</v>
      </c>
      <c r="S220" s="382">
        <f t="shared" si="44"/>
        <v>66.352262974051897</v>
      </c>
      <c r="T220" s="382">
        <f t="shared" si="45"/>
        <v>27.919980000000002</v>
      </c>
      <c r="U220" s="382"/>
      <c r="V220" s="383">
        <f t="shared" si="46"/>
        <v>0.39545304440006401</v>
      </c>
      <c r="W220" s="386" t="str">
        <f t="shared" si="47"/>
        <v>Moderate to high</v>
      </c>
    </row>
    <row r="221" spans="1:23" ht="16.2" thickBot="1" x14ac:dyDescent="0.35">
      <c r="A221" s="2">
        <v>1069</v>
      </c>
      <c r="B221" s="31">
        <v>793.09109999999998</v>
      </c>
      <c r="C221" s="2">
        <v>7187</v>
      </c>
      <c r="D221" s="31">
        <v>5136.5488999999998</v>
      </c>
      <c r="E221" s="2">
        <v>573</v>
      </c>
      <c r="F221" s="31">
        <v>345.51900000000001</v>
      </c>
      <c r="G221" s="315">
        <v>686.95</v>
      </c>
      <c r="H221" s="315"/>
      <c r="I221" s="315"/>
      <c r="J221" s="382">
        <f t="shared" si="37"/>
        <v>1.4582314578005113</v>
      </c>
      <c r="K221" s="382">
        <f t="shared" si="38"/>
        <v>3.4482221739130439</v>
      </c>
      <c r="L221" s="382">
        <f t="shared" si="39"/>
        <v>25.667857142857144</v>
      </c>
      <c r="M221" s="382">
        <f t="shared" si="40"/>
        <v>2.843777777777778</v>
      </c>
      <c r="N221" s="238"/>
      <c r="O221" s="382">
        <f t="shared" si="36"/>
        <v>0.91326996980327324</v>
      </c>
      <c r="P221" s="382" t="str">
        <f t="shared" si="41"/>
        <v>Sol non sodique – Faible risque de dispersion, perméabilité normale</v>
      </c>
      <c r="Q221" s="382">
        <f t="shared" si="42"/>
        <v>1.458407148337596</v>
      </c>
      <c r="R221" s="382">
        <f t="shared" si="43"/>
        <v>3.4408873423227488</v>
      </c>
      <c r="S221" s="382">
        <f t="shared" si="44"/>
        <v>25.631481536926145</v>
      </c>
      <c r="T221" s="382">
        <f t="shared" si="45"/>
        <v>2.0284200000000001</v>
      </c>
      <c r="U221" s="382"/>
      <c r="V221" s="383">
        <f t="shared" si="46"/>
        <v>0.10568096765679909</v>
      </c>
      <c r="W221" s="386" t="str">
        <f t="shared" si="47"/>
        <v>None to slight</v>
      </c>
    </row>
    <row r="222" spans="1:23" ht="16.2" thickBot="1" x14ac:dyDescent="0.35">
      <c r="A222" s="2">
        <v>1081</v>
      </c>
      <c r="B222" s="31">
        <v>801.99390000000005</v>
      </c>
      <c r="C222" s="2">
        <v>7722</v>
      </c>
      <c r="D222" s="31">
        <v>5518.9134000000004</v>
      </c>
      <c r="E222" s="2">
        <v>522</v>
      </c>
      <c r="F222" s="31">
        <v>314.76599999999996</v>
      </c>
      <c r="G222" s="315">
        <v>593.73</v>
      </c>
      <c r="H222" s="315"/>
      <c r="I222" s="315"/>
      <c r="J222" s="382">
        <f t="shared" si="37"/>
        <v>1.2603475703324807</v>
      </c>
      <c r="K222" s="382">
        <f t="shared" si="38"/>
        <v>3.4869300000000005</v>
      </c>
      <c r="L222" s="382">
        <f t="shared" si="39"/>
        <v>27.578571428571429</v>
      </c>
      <c r="M222" s="382">
        <f t="shared" si="40"/>
        <v>2.5906666666666665</v>
      </c>
      <c r="N222" s="238"/>
      <c r="O222" s="382">
        <f t="shared" si="36"/>
        <v>0.89779267064037638</v>
      </c>
      <c r="P222" s="382" t="str">
        <f t="shared" si="41"/>
        <v>Sol non sodique – Faible risque de dispersion, perméabilité normale</v>
      </c>
      <c r="Q222" s="382">
        <f t="shared" si="42"/>
        <v>1.2604994194373402</v>
      </c>
      <c r="R222" s="382">
        <f t="shared" si="43"/>
        <v>3.4795128316659412</v>
      </c>
      <c r="S222" s="382">
        <f t="shared" si="44"/>
        <v>27.539488023952096</v>
      </c>
      <c r="T222" s="382">
        <f t="shared" si="45"/>
        <v>1.8478800000000002</v>
      </c>
      <c r="U222" s="382"/>
      <c r="V222" s="383">
        <f t="shared" si="46"/>
        <v>0.1019566343394137</v>
      </c>
      <c r="W222" s="386" t="str">
        <f t="shared" si="47"/>
        <v>None to slight</v>
      </c>
    </row>
    <row r="223" spans="1:23" ht="16.2" thickBot="1" x14ac:dyDescent="0.35">
      <c r="A223" s="2">
        <v>1923</v>
      </c>
      <c r="B223" s="31">
        <v>1426.6737000000001</v>
      </c>
      <c r="C223" s="2">
        <v>10649</v>
      </c>
      <c r="D223" s="31">
        <v>7610.8402999999998</v>
      </c>
      <c r="E223" s="2">
        <v>1184</v>
      </c>
      <c r="F223" s="31">
        <v>713.952</v>
      </c>
      <c r="G223" s="315">
        <v>1375.23</v>
      </c>
      <c r="H223" s="315"/>
      <c r="I223" s="315"/>
      <c r="J223" s="382">
        <f t="shared" si="37"/>
        <v>2.9192861892583122</v>
      </c>
      <c r="K223" s="382">
        <f t="shared" si="38"/>
        <v>6.2029291304347831</v>
      </c>
      <c r="L223" s="382">
        <f t="shared" si="39"/>
        <v>38.032142857142858</v>
      </c>
      <c r="M223" s="382">
        <f t="shared" si="40"/>
        <v>5.8761481481481486</v>
      </c>
      <c r="N223" s="238"/>
      <c r="O223" s="382">
        <f t="shared" si="36"/>
        <v>1.3238493002195029</v>
      </c>
      <c r="P223" s="382" t="str">
        <f t="shared" si="41"/>
        <v>Sol non sodique – Faible risque de dispersion, perméabilité normale</v>
      </c>
      <c r="Q223" s="382">
        <f t="shared" si="42"/>
        <v>2.9196379104859331</v>
      </c>
      <c r="R223" s="382">
        <f t="shared" si="43"/>
        <v>6.1897346672466291</v>
      </c>
      <c r="S223" s="382">
        <f t="shared" si="44"/>
        <v>37.978245009980036</v>
      </c>
      <c r="T223" s="382">
        <f t="shared" si="45"/>
        <v>4.1913600000000004</v>
      </c>
      <c r="U223" s="382"/>
      <c r="V223" s="383">
        <f t="shared" si="46"/>
        <v>0.12070706083519506</v>
      </c>
      <c r="W223" s="386" t="str">
        <f t="shared" si="47"/>
        <v>None to slight</v>
      </c>
    </row>
    <row r="224" spans="1:23" ht="16.2" thickBot="1" x14ac:dyDescent="0.35">
      <c r="A224" s="2">
        <v>3231</v>
      </c>
      <c r="B224" s="31">
        <v>2397.0789</v>
      </c>
      <c r="C224" s="2">
        <v>10125</v>
      </c>
      <c r="D224" s="31">
        <v>7236.3374999999996</v>
      </c>
      <c r="E224" s="2">
        <v>1557</v>
      </c>
      <c r="F224" s="31">
        <v>938.87099999999998</v>
      </c>
      <c r="G224" s="315">
        <v>1374.7</v>
      </c>
      <c r="H224" s="315"/>
      <c r="I224" s="315"/>
      <c r="J224" s="382">
        <f t="shared" si="37"/>
        <v>2.9181611253196929</v>
      </c>
      <c r="K224" s="382">
        <f t="shared" si="38"/>
        <v>10.422082173913044</v>
      </c>
      <c r="L224" s="382">
        <f t="shared" si="39"/>
        <v>36.160714285714285</v>
      </c>
      <c r="M224" s="382">
        <f t="shared" si="40"/>
        <v>7.7273333333333332</v>
      </c>
      <c r="N224" s="238"/>
      <c r="O224" s="382">
        <f t="shared" si="36"/>
        <v>2.2248275829147937</v>
      </c>
      <c r="P224" s="382" t="str">
        <f t="shared" si="41"/>
        <v>Sol non sodique – Faible risque de dispersion, perméabilité normale</v>
      </c>
      <c r="Q224" s="382">
        <f t="shared" si="42"/>
        <v>2.918512710997442</v>
      </c>
      <c r="R224" s="382">
        <f t="shared" si="43"/>
        <v>10.399913005654632</v>
      </c>
      <c r="S224" s="382">
        <f t="shared" si="44"/>
        <v>36.109468562874248</v>
      </c>
      <c r="T224" s="382">
        <f t="shared" si="45"/>
        <v>5.5117799999999999</v>
      </c>
      <c r="U224" s="382"/>
      <c r="V224" s="383">
        <f t="shared" si="46"/>
        <v>0.18929695419636364</v>
      </c>
      <c r="W224" s="386" t="str">
        <f t="shared" si="47"/>
        <v>Light to moderate</v>
      </c>
    </row>
    <row r="225" spans="1:23" ht="16.2" thickBot="1" x14ac:dyDescent="0.35">
      <c r="A225" s="2">
        <v>2008</v>
      </c>
      <c r="B225" s="31">
        <v>1489.7352000000001</v>
      </c>
      <c r="C225" s="2">
        <v>9153</v>
      </c>
      <c r="D225" s="31">
        <v>6541.6490999999996</v>
      </c>
      <c r="E225" s="2">
        <v>1790</v>
      </c>
      <c r="F225" s="31">
        <v>1079.3699999999999</v>
      </c>
      <c r="G225" s="315">
        <v>1445.2</v>
      </c>
      <c r="H225" s="315"/>
      <c r="I225" s="315"/>
      <c r="J225" s="382">
        <f t="shared" si="37"/>
        <v>3.0678158567774938</v>
      </c>
      <c r="K225" s="382">
        <f t="shared" si="38"/>
        <v>6.4771095652173916</v>
      </c>
      <c r="L225" s="382">
        <f t="shared" si="39"/>
        <v>32.689285714285717</v>
      </c>
      <c r="M225" s="382">
        <f t="shared" si="40"/>
        <v>8.8837037037037021</v>
      </c>
      <c r="N225" s="238"/>
      <c r="O225" s="382">
        <f t="shared" si="36"/>
        <v>1.4206615090865586</v>
      </c>
      <c r="P225" s="382" t="str">
        <f t="shared" si="41"/>
        <v>Sol non sodique – Faible risque de dispersion, perméabilité normale</v>
      </c>
      <c r="Q225" s="382">
        <f t="shared" si="42"/>
        <v>3.0681854731457796</v>
      </c>
      <c r="R225" s="382">
        <f t="shared" si="43"/>
        <v>6.4633318834275775</v>
      </c>
      <c r="S225" s="382">
        <f t="shared" si="44"/>
        <v>32.642959580838323</v>
      </c>
      <c r="T225" s="382">
        <f t="shared" si="45"/>
        <v>6.3366000000000007</v>
      </c>
      <c r="U225" s="382"/>
      <c r="V225" s="383">
        <f t="shared" si="46"/>
        <v>0.13323414550797291</v>
      </c>
      <c r="W225" s="386" t="str">
        <f t="shared" si="47"/>
        <v>None to slight</v>
      </c>
    </row>
    <row r="226" spans="1:23" ht="16.2" thickBot="1" x14ac:dyDescent="0.35">
      <c r="A226" s="2">
        <v>6345</v>
      </c>
      <c r="B226" s="31">
        <v>4707.3554999999997</v>
      </c>
      <c r="C226" s="2">
        <v>7775</v>
      </c>
      <c r="D226" s="31">
        <v>5556.7924999999996</v>
      </c>
      <c r="E226" s="2">
        <v>2154</v>
      </c>
      <c r="F226" s="31">
        <v>1298.8619999999999</v>
      </c>
      <c r="G226" s="315">
        <v>1553.56</v>
      </c>
      <c r="H226" s="315"/>
      <c r="I226" s="315"/>
      <c r="J226" s="382">
        <f t="shared" si="37"/>
        <v>3.2978383631713553</v>
      </c>
      <c r="K226" s="382">
        <f t="shared" si="38"/>
        <v>20.466763043478259</v>
      </c>
      <c r="L226" s="382">
        <f t="shared" si="39"/>
        <v>27.767857142857146</v>
      </c>
      <c r="M226" s="382">
        <f t="shared" si="40"/>
        <v>10.69022222222222</v>
      </c>
      <c r="N226" s="238"/>
      <c r="O226" s="382">
        <f t="shared" si="36"/>
        <v>4.6673499379968391</v>
      </c>
      <c r="P226" s="382" t="str">
        <f t="shared" si="41"/>
        <v>Sol non sodique – Faible risque de dispersion, perméabilité normale</v>
      </c>
      <c r="Q226" s="382">
        <f t="shared" si="42"/>
        <v>3.2982356930946293</v>
      </c>
      <c r="R226" s="382">
        <f t="shared" si="43"/>
        <v>20.423227490213137</v>
      </c>
      <c r="S226" s="382">
        <f t="shared" si="44"/>
        <v>27.728505489021952</v>
      </c>
      <c r="T226" s="382">
        <f t="shared" si="45"/>
        <v>7.6251600000000002</v>
      </c>
      <c r="U226" s="382"/>
      <c r="V226" s="383">
        <f t="shared" si="46"/>
        <v>0.34571617445802028</v>
      </c>
      <c r="W226" s="386" t="str">
        <f t="shared" si="47"/>
        <v>Moderate to high</v>
      </c>
    </row>
    <row r="227" spans="1:23" ht="16.2" thickBot="1" x14ac:dyDescent="0.35">
      <c r="A227" s="2">
        <v>723</v>
      </c>
      <c r="B227" s="31">
        <v>536.39369999999997</v>
      </c>
      <c r="C227" s="2">
        <v>6068</v>
      </c>
      <c r="D227" s="31">
        <v>4336.7996000000003</v>
      </c>
      <c r="E227" s="2">
        <v>1243</v>
      </c>
      <c r="F227" s="31">
        <v>749.529</v>
      </c>
      <c r="G227" s="315">
        <v>1244.3599999999999</v>
      </c>
      <c r="H227" s="315"/>
      <c r="I227" s="315"/>
      <c r="J227" s="382">
        <f t="shared" si="37"/>
        <v>2.6414803069053701</v>
      </c>
      <c r="K227" s="382">
        <f t="shared" si="38"/>
        <v>2.3321465217391304</v>
      </c>
      <c r="L227" s="382">
        <f t="shared" si="39"/>
        <v>21.671428571428571</v>
      </c>
      <c r="M227" s="382">
        <f t="shared" si="40"/>
        <v>6.1689629629629623</v>
      </c>
      <c r="N227" s="238"/>
      <c r="O227" s="382">
        <f t="shared" si="36"/>
        <v>0.62507648431905771</v>
      </c>
      <c r="P227" s="382" t="str">
        <f t="shared" si="41"/>
        <v>Sol non sodique – Faible risque de dispersion, perméabilité normale</v>
      </c>
      <c r="Q227" s="382">
        <f t="shared" si="42"/>
        <v>2.6417985575447567</v>
      </c>
      <c r="R227" s="382">
        <f t="shared" si="43"/>
        <v>2.3271857329273598</v>
      </c>
      <c r="S227" s="382">
        <f t="shared" si="44"/>
        <v>21.640716566866267</v>
      </c>
      <c r="T227" s="382">
        <f t="shared" si="45"/>
        <v>4.40022</v>
      </c>
      <c r="U227" s="382"/>
      <c r="V227" s="383">
        <f t="shared" si="46"/>
        <v>7.5046490561314669E-2</v>
      </c>
      <c r="W227" s="386" t="str">
        <f t="shared" si="47"/>
        <v>None to slight</v>
      </c>
    </row>
    <row r="228" spans="1:23" ht="16.2" thickBot="1" x14ac:dyDescent="0.35">
      <c r="A228" s="2">
        <v>775</v>
      </c>
      <c r="B228" s="31">
        <v>574.97249999999997</v>
      </c>
      <c r="C228" s="2">
        <v>8926</v>
      </c>
      <c r="D228" s="31">
        <v>6379.4121999999998</v>
      </c>
      <c r="E228" s="2">
        <v>1745</v>
      </c>
      <c r="F228" s="31">
        <v>1052.2349999999999</v>
      </c>
      <c r="G228" s="315">
        <v>1006.38</v>
      </c>
      <c r="H228" s="315"/>
      <c r="I228" s="315"/>
      <c r="J228" s="382">
        <f t="shared" si="37"/>
        <v>2.1363053708439894</v>
      </c>
      <c r="K228" s="382">
        <f t="shared" si="38"/>
        <v>2.4998804347826082</v>
      </c>
      <c r="L228" s="382">
        <f t="shared" si="39"/>
        <v>31.878571428571426</v>
      </c>
      <c r="M228" s="382">
        <f t="shared" si="40"/>
        <v>8.6603703703703694</v>
      </c>
      <c r="N228" s="238"/>
      <c r="O228" s="382">
        <f t="shared" si="36"/>
        <v>0.5552621002008562</v>
      </c>
      <c r="P228" s="382" t="str">
        <f t="shared" si="41"/>
        <v>Sol non sodique – Faible risque de dispersion, perméabilité normale</v>
      </c>
      <c r="Q228" s="382">
        <f t="shared" si="42"/>
        <v>2.1365627570332482</v>
      </c>
      <c r="R228" s="382">
        <f t="shared" si="43"/>
        <v>2.4945628534145281</v>
      </c>
      <c r="S228" s="382">
        <f t="shared" si="44"/>
        <v>31.833394211576845</v>
      </c>
      <c r="T228" s="382">
        <f t="shared" si="45"/>
        <v>6.1773000000000007</v>
      </c>
      <c r="U228" s="382"/>
      <c r="V228" s="383">
        <f t="shared" si="46"/>
        <v>5.8500384454185025E-2</v>
      </c>
      <c r="W228" s="386" t="str">
        <f t="shared" si="47"/>
        <v>None to slight</v>
      </c>
    </row>
    <row r="229" spans="1:23" ht="16.2" thickBot="1" x14ac:dyDescent="0.35">
      <c r="A229" s="2">
        <v>81</v>
      </c>
      <c r="B229" s="31">
        <v>60.093899999999998</v>
      </c>
      <c r="C229" s="2">
        <v>7108</v>
      </c>
      <c r="D229" s="31">
        <v>5080.0875999999998</v>
      </c>
      <c r="E229" s="2">
        <v>723</v>
      </c>
      <c r="F229" s="31">
        <v>435.96899999999999</v>
      </c>
      <c r="G229" s="315">
        <v>753.05</v>
      </c>
      <c r="H229" s="315"/>
      <c r="I229" s="315"/>
      <c r="J229" s="382">
        <f t="shared" si="37"/>
        <v>1.5985460358056263</v>
      </c>
      <c r="K229" s="382">
        <f t="shared" si="38"/>
        <v>0.26127782608695649</v>
      </c>
      <c r="L229" s="382">
        <f t="shared" si="39"/>
        <v>25.385714285714283</v>
      </c>
      <c r="M229" s="382">
        <f t="shared" si="40"/>
        <v>3.588222222222222</v>
      </c>
      <c r="N229" s="238"/>
      <c r="O229" s="382">
        <f t="shared" si="36"/>
        <v>6.8645772980665876E-2</v>
      </c>
      <c r="P229" s="382" t="str">
        <f t="shared" si="41"/>
        <v>Sol non sodique – Faible risque de dispersion, perméabilité normale</v>
      </c>
      <c r="Q229" s="382">
        <f t="shared" si="42"/>
        <v>1.5987386317135548</v>
      </c>
      <c r="R229" s="382">
        <f t="shared" si="43"/>
        <v>0.26072205306655066</v>
      </c>
      <c r="S229" s="382">
        <f t="shared" si="44"/>
        <v>25.349738522954091</v>
      </c>
      <c r="T229" s="382">
        <f t="shared" si="45"/>
        <v>2.5594200000000003</v>
      </c>
      <c r="U229" s="382"/>
      <c r="V229" s="383">
        <f t="shared" si="46"/>
        <v>8.7582850668066047E-3</v>
      </c>
      <c r="W229" s="386" t="str">
        <f t="shared" si="47"/>
        <v>None to slight</v>
      </c>
    </row>
    <row r="230" spans="1:23" ht="16.2" thickBot="1" x14ac:dyDescent="0.35">
      <c r="A230" s="2">
        <v>1054</v>
      </c>
      <c r="B230" s="31">
        <v>781.96259999999995</v>
      </c>
      <c r="C230" s="2">
        <v>7958</v>
      </c>
      <c r="D230" s="31">
        <v>5687.5825999999997</v>
      </c>
      <c r="E230" s="2">
        <v>1309</v>
      </c>
      <c r="F230" s="31">
        <v>789.327</v>
      </c>
      <c r="G230" s="315">
        <v>897.94</v>
      </c>
      <c r="H230" s="315"/>
      <c r="I230" s="315"/>
      <c r="J230" s="382">
        <f t="shared" si="37"/>
        <v>1.9061130434782609</v>
      </c>
      <c r="K230" s="382">
        <f t="shared" si="38"/>
        <v>3.3998373913043478</v>
      </c>
      <c r="L230" s="382">
        <f t="shared" si="39"/>
        <v>28.421428571428571</v>
      </c>
      <c r="M230" s="382">
        <f t="shared" si="40"/>
        <v>6.4965185185185179</v>
      </c>
      <c r="N230" s="238"/>
      <c r="O230" s="382">
        <f t="shared" si="36"/>
        <v>0.81367091546683668</v>
      </c>
      <c r="P230" s="382" t="str">
        <f t="shared" si="41"/>
        <v>Sol non sodique – Faible risque de dispersion, perméabilité normale</v>
      </c>
      <c r="Q230" s="382">
        <f t="shared" si="42"/>
        <v>1.9063426956521738</v>
      </c>
      <c r="R230" s="382">
        <f t="shared" si="43"/>
        <v>3.3926054806437582</v>
      </c>
      <c r="S230" s="382">
        <f t="shared" si="44"/>
        <v>28.381150698602791</v>
      </c>
      <c r="T230" s="382">
        <f t="shared" si="45"/>
        <v>4.6338600000000003</v>
      </c>
      <c r="U230" s="382"/>
      <c r="V230" s="383">
        <f t="shared" si="46"/>
        <v>8.8547505407132798E-2</v>
      </c>
      <c r="W230" s="386" t="str">
        <f t="shared" si="47"/>
        <v>None to slight</v>
      </c>
    </row>
    <row r="231" spans="1:23" ht="16.2" thickBot="1" x14ac:dyDescent="0.35">
      <c r="A231" s="2">
        <v>41</v>
      </c>
      <c r="B231" s="31">
        <v>30.417899999999999</v>
      </c>
      <c r="C231" s="2">
        <v>3936</v>
      </c>
      <c r="D231" s="31">
        <v>2813.0592000000001</v>
      </c>
      <c r="E231" s="2">
        <v>439</v>
      </c>
      <c r="F231" s="31">
        <v>264.71699999999998</v>
      </c>
      <c r="G231" s="315">
        <v>601.53</v>
      </c>
      <c r="H231" s="315"/>
      <c r="I231" s="315"/>
      <c r="J231" s="382">
        <f t="shared" si="37"/>
        <v>1.2769051150895139</v>
      </c>
      <c r="K231" s="382">
        <f t="shared" si="38"/>
        <v>0.13225173913043478</v>
      </c>
      <c r="L231" s="382">
        <f t="shared" si="39"/>
        <v>14.057142857142859</v>
      </c>
      <c r="M231" s="382">
        <f t="shared" si="40"/>
        <v>2.1787407407407406</v>
      </c>
      <c r="N231" s="238"/>
      <c r="O231" s="382">
        <f t="shared" si="36"/>
        <v>4.6417145054789527E-2</v>
      </c>
      <c r="P231" s="382" t="str">
        <f t="shared" si="41"/>
        <v>Sol non sodique – Faible risque de dispersion, perméabilité normale</v>
      </c>
      <c r="Q231" s="382">
        <f t="shared" si="42"/>
        <v>1.2770589590792838</v>
      </c>
      <c r="R231" s="382">
        <f t="shared" si="43"/>
        <v>0.13197042192257502</v>
      </c>
      <c r="S231" s="382">
        <f t="shared" si="44"/>
        <v>14.037221556886228</v>
      </c>
      <c r="T231" s="382">
        <f t="shared" si="45"/>
        <v>1.55406</v>
      </c>
      <c r="U231" s="382"/>
      <c r="V231" s="383">
        <f t="shared" si="46"/>
        <v>7.76282400979246E-3</v>
      </c>
      <c r="W231" s="386" t="str">
        <f t="shared" si="47"/>
        <v>None to slight</v>
      </c>
    </row>
    <row r="232" spans="1:23" ht="16.2" thickBot="1" x14ac:dyDescent="0.35">
      <c r="A232" s="2">
        <v>72</v>
      </c>
      <c r="B232" s="31">
        <v>53.416800000000002</v>
      </c>
      <c r="C232" s="2">
        <v>3621</v>
      </c>
      <c r="D232" s="31">
        <v>2587.9286999999999</v>
      </c>
      <c r="E232" s="2">
        <v>295</v>
      </c>
      <c r="F232" s="31">
        <v>177.88499999999999</v>
      </c>
      <c r="G232" s="315">
        <v>512.47</v>
      </c>
      <c r="H232" s="315"/>
      <c r="I232" s="315"/>
      <c r="J232" s="382">
        <f t="shared" si="37"/>
        <v>1.0878519181585677</v>
      </c>
      <c r="K232" s="382">
        <f t="shared" si="38"/>
        <v>0.23224695652173913</v>
      </c>
      <c r="L232" s="382">
        <f t="shared" si="39"/>
        <v>12.932142857142859</v>
      </c>
      <c r="M232" s="382">
        <f t="shared" si="40"/>
        <v>1.4640740740740739</v>
      </c>
      <c r="N232" s="238"/>
      <c r="O232" s="382">
        <f t="shared" si="36"/>
        <v>8.6564701979623682E-2</v>
      </c>
      <c r="P232" s="382" t="str">
        <f t="shared" si="41"/>
        <v>Sol non sodique – Faible risque de dispersion, perméabilité normale</v>
      </c>
      <c r="Q232" s="382">
        <f t="shared" si="42"/>
        <v>1.0879829846547315</v>
      </c>
      <c r="R232" s="382">
        <f t="shared" si="43"/>
        <v>0.23175293605915614</v>
      </c>
      <c r="S232" s="382">
        <f t="shared" si="44"/>
        <v>12.913815868263473</v>
      </c>
      <c r="T232" s="382">
        <f t="shared" si="45"/>
        <v>1.0443</v>
      </c>
      <c r="U232" s="382"/>
      <c r="V232" s="383">
        <f t="shared" si="46"/>
        <v>1.516920960225317E-2</v>
      </c>
      <c r="W232" s="386" t="str">
        <f t="shared" si="47"/>
        <v>None to slight</v>
      </c>
    </row>
    <row r="233" spans="1:23" ht="16.2" thickBot="1" x14ac:dyDescent="0.35">
      <c r="A233" s="2">
        <v>179</v>
      </c>
      <c r="B233" s="31">
        <v>132.80010000000001</v>
      </c>
      <c r="C233" s="2">
        <v>5294</v>
      </c>
      <c r="D233" s="31">
        <v>3783.6217999999999</v>
      </c>
      <c r="E233" s="2">
        <v>1152</v>
      </c>
      <c r="F233" s="31">
        <v>694.65599999999995</v>
      </c>
      <c r="G233" s="315">
        <v>1308.03</v>
      </c>
      <c r="H233" s="315"/>
      <c r="I233" s="315"/>
      <c r="J233" s="382">
        <f t="shared" si="37"/>
        <v>2.7766365728900255</v>
      </c>
      <c r="K233" s="382">
        <f t="shared" si="38"/>
        <v>0.57739173913043484</v>
      </c>
      <c r="L233" s="382">
        <f t="shared" si="39"/>
        <v>18.907142857142858</v>
      </c>
      <c r="M233" s="382">
        <f t="shared" si="40"/>
        <v>5.7173333333333325</v>
      </c>
      <c r="N233" s="238"/>
      <c r="O233" s="382">
        <f t="shared" si="36"/>
        <v>0.16455158253664165</v>
      </c>
      <c r="P233" s="382" t="str">
        <f t="shared" si="41"/>
        <v>Sol non sodique – Faible risque de dispersion, perméabilité normale</v>
      </c>
      <c r="Q233" s="382">
        <f t="shared" si="42"/>
        <v>2.7769711074168799</v>
      </c>
      <c r="R233" s="382">
        <f t="shared" si="43"/>
        <v>0.57616354936929104</v>
      </c>
      <c r="S233" s="382">
        <f t="shared" si="44"/>
        <v>18.880348303393212</v>
      </c>
      <c r="T233" s="382">
        <f t="shared" si="45"/>
        <v>4.0780799999999999</v>
      </c>
      <c r="U233" s="382"/>
      <c r="V233" s="383">
        <f t="shared" si="46"/>
        <v>2.1897731816284429E-2</v>
      </c>
      <c r="W233" s="386" t="str">
        <f t="shared" si="47"/>
        <v>None to slight</v>
      </c>
    </row>
    <row r="234" spans="1:23" x14ac:dyDescent="0.3">
      <c r="A234" s="2">
        <v>672</v>
      </c>
      <c r="B234" s="31">
        <v>498.55680000000001</v>
      </c>
      <c r="C234" s="2">
        <v>4849</v>
      </c>
      <c r="D234" s="31">
        <v>3465.5803000000001</v>
      </c>
      <c r="E234" s="2">
        <v>1385</v>
      </c>
      <c r="F234" s="31">
        <v>835.15499999999997</v>
      </c>
      <c r="G234" s="315">
        <v>1029.71</v>
      </c>
      <c r="H234" s="315"/>
      <c r="I234" s="315"/>
      <c r="J234" s="382">
        <f t="shared" si="37"/>
        <v>2.1858294117647059</v>
      </c>
      <c r="K234" s="382">
        <f t="shared" si="38"/>
        <v>2.1676382608695652</v>
      </c>
      <c r="L234" s="382">
        <f t="shared" si="39"/>
        <v>17.317857142857143</v>
      </c>
      <c r="M234" s="382">
        <f t="shared" si="40"/>
        <v>6.8737037037037041</v>
      </c>
      <c r="N234" s="238"/>
      <c r="O234" s="382">
        <f t="shared" si="36"/>
        <v>0.62326086906008993</v>
      </c>
      <c r="P234" s="382" t="str">
        <f t="shared" si="41"/>
        <v>Sol non sodique – Faible risque de dispersion, perméabilité normale</v>
      </c>
      <c r="Q234" s="382">
        <f t="shared" si="42"/>
        <v>2.1860927647058821</v>
      </c>
      <c r="R234" s="382">
        <f t="shared" si="43"/>
        <v>2.1630274032187904</v>
      </c>
      <c r="S234" s="382">
        <f t="shared" si="44"/>
        <v>17.293314870259479</v>
      </c>
      <c r="T234" s="382">
        <f t="shared" si="45"/>
        <v>4.9028999999999998</v>
      </c>
      <c r="U234" s="382"/>
      <c r="V234" s="383">
        <f t="shared" si="46"/>
        <v>8.1484275866451961E-2</v>
      </c>
      <c r="W234" s="386" t="str">
        <f t="shared" si="47"/>
        <v>None to slight</v>
      </c>
    </row>
    <row r="235" spans="1:23" x14ac:dyDescent="0.3">
      <c r="A235" s="348">
        <v>401</v>
      </c>
      <c r="B235" s="333">
        <v>297.50189999999998</v>
      </c>
      <c r="C235" s="348">
        <v>10432</v>
      </c>
      <c r="D235" s="333">
        <v>7455.7503999999999</v>
      </c>
      <c r="E235" s="348">
        <v>1471</v>
      </c>
      <c r="F235" s="333">
        <v>887.01299999999992</v>
      </c>
      <c r="G235" s="348">
        <v>520</v>
      </c>
      <c r="H235" s="348"/>
      <c r="I235" s="348"/>
      <c r="J235" s="382">
        <f t="shared" si="37"/>
        <v>1.1038363171355496</v>
      </c>
      <c r="K235" s="382">
        <f t="shared" si="38"/>
        <v>1.2934865217391303</v>
      </c>
      <c r="L235" s="382">
        <f t="shared" si="39"/>
        <v>37.257142857142853</v>
      </c>
      <c r="M235" s="382">
        <f t="shared" si="40"/>
        <v>7.3005185185185173</v>
      </c>
      <c r="N235" s="330"/>
      <c r="O235" s="382">
        <f t="shared" si="36"/>
        <v>0.27404110572613977</v>
      </c>
      <c r="P235" s="382" t="str">
        <f t="shared" si="41"/>
        <v>Sol non sodique – Faible risque de dispersion, perméabilité normale</v>
      </c>
      <c r="Q235" s="382">
        <f t="shared" si="42"/>
        <v>1.1039693094629155</v>
      </c>
      <c r="R235" s="382">
        <f t="shared" si="43"/>
        <v>1.2907351022183557</v>
      </c>
      <c r="S235" s="382">
        <f t="shared" si="44"/>
        <v>37.204343313373251</v>
      </c>
      <c r="T235" s="382">
        <f t="shared" si="45"/>
        <v>5.2073400000000003</v>
      </c>
      <c r="U235" s="382"/>
      <c r="V235" s="383">
        <f t="shared" si="46"/>
        <v>2.8806944004026721E-2</v>
      </c>
      <c r="W235" s="386" t="str">
        <f t="shared" si="47"/>
        <v>None to slight</v>
      </c>
    </row>
    <row r="236" spans="1:23" x14ac:dyDescent="0.3">
      <c r="A236" s="348">
        <v>535</v>
      </c>
      <c r="B236" s="333">
        <v>396.91649999999998</v>
      </c>
      <c r="C236" s="348">
        <v>9363</v>
      </c>
      <c r="D236" s="333">
        <v>6691.7361000000001</v>
      </c>
      <c r="E236" s="348">
        <v>1309</v>
      </c>
      <c r="F236" s="333">
        <v>789.327</v>
      </c>
      <c r="G236" s="348">
        <v>611</v>
      </c>
      <c r="H236" s="348"/>
      <c r="I236" s="348"/>
      <c r="J236" s="382">
        <f t="shared" si="37"/>
        <v>1.297007672634271</v>
      </c>
      <c r="K236" s="382">
        <f t="shared" si="38"/>
        <v>1.7257239130434781</v>
      </c>
      <c r="L236" s="382">
        <f t="shared" si="39"/>
        <v>33.439285714285717</v>
      </c>
      <c r="M236" s="382">
        <f t="shared" si="40"/>
        <v>6.4965185185185179</v>
      </c>
      <c r="N236" s="330"/>
      <c r="O236" s="382">
        <f t="shared" si="36"/>
        <v>0.38619362238368482</v>
      </c>
      <c r="P236" s="382" t="str">
        <f t="shared" si="41"/>
        <v>Sol non sodique – Faible risque de dispersion, perméabilité normale</v>
      </c>
      <c r="Q236" s="382">
        <f t="shared" si="42"/>
        <v>1.2971639386189258</v>
      </c>
      <c r="R236" s="382">
        <f t="shared" si="43"/>
        <v>1.7220530665506741</v>
      </c>
      <c r="S236" s="382">
        <f t="shared" si="44"/>
        <v>33.391896706586827</v>
      </c>
      <c r="T236" s="382">
        <f t="shared" si="45"/>
        <v>4.6338600000000003</v>
      </c>
      <c r="U236" s="382"/>
      <c r="V236" s="383">
        <f t="shared" si="46"/>
        <v>4.1955272736779216E-2</v>
      </c>
      <c r="W236" s="386" t="str">
        <f t="shared" si="47"/>
        <v>None to slight</v>
      </c>
    </row>
    <row r="237" spans="1:23" x14ac:dyDescent="0.3">
      <c r="A237" s="348">
        <v>236</v>
      </c>
      <c r="B237" s="333">
        <v>175.08840000000001</v>
      </c>
      <c r="C237" s="348">
        <v>9648</v>
      </c>
      <c r="D237" s="333">
        <v>6895.4255999999996</v>
      </c>
      <c r="E237" s="348">
        <v>1319</v>
      </c>
      <c r="F237" s="333">
        <v>795.35699999999997</v>
      </c>
      <c r="G237" s="348">
        <v>914</v>
      </c>
      <c r="H237" s="348"/>
      <c r="I237" s="348"/>
      <c r="J237" s="382">
        <f t="shared" si="37"/>
        <v>1.9402046035805625</v>
      </c>
      <c r="K237" s="382">
        <f t="shared" si="38"/>
        <v>0.76125391304347823</v>
      </c>
      <c r="L237" s="382">
        <f t="shared" si="39"/>
        <v>34.457142857142856</v>
      </c>
      <c r="M237" s="382">
        <f t="shared" si="40"/>
        <v>6.5461481481481476</v>
      </c>
      <c r="N237" s="330"/>
      <c r="O237" s="382">
        <f t="shared" si="36"/>
        <v>0.16812611522211882</v>
      </c>
      <c r="P237" s="382" t="str">
        <f t="shared" si="41"/>
        <v>Sol non sodique – Faible risque de dispersion, perméabilité normale</v>
      </c>
      <c r="Q237" s="382">
        <f t="shared" si="42"/>
        <v>1.9404383631713553</v>
      </c>
      <c r="R237" s="382">
        <f t="shared" si="43"/>
        <v>0.75963462374945623</v>
      </c>
      <c r="S237" s="382">
        <f t="shared" si="44"/>
        <v>34.408311377245504</v>
      </c>
      <c r="T237" s="382">
        <f t="shared" si="45"/>
        <v>4.6692600000000004</v>
      </c>
      <c r="U237" s="382"/>
      <c r="V237" s="383">
        <f t="shared" si="46"/>
        <v>1.8182801718734841E-2</v>
      </c>
      <c r="W237" s="386" t="str">
        <f t="shared" si="47"/>
        <v>None to slight</v>
      </c>
    </row>
    <row r="238" spans="1:23" x14ac:dyDescent="0.3">
      <c r="A238" s="348">
        <v>139</v>
      </c>
      <c r="B238" s="333">
        <v>103.1241</v>
      </c>
      <c r="C238" s="348">
        <v>3700</v>
      </c>
      <c r="D238" s="333">
        <v>2644.39</v>
      </c>
      <c r="E238" s="348">
        <v>705</v>
      </c>
      <c r="F238" s="333">
        <v>425.11500000000001</v>
      </c>
      <c r="G238" s="348">
        <v>672</v>
      </c>
      <c r="H238" s="348"/>
      <c r="I238" s="348"/>
      <c r="J238" s="382">
        <f t="shared" si="37"/>
        <v>1.4264961636828644</v>
      </c>
      <c r="K238" s="382">
        <f t="shared" si="38"/>
        <v>0.44836565217391305</v>
      </c>
      <c r="L238" s="382">
        <f t="shared" si="39"/>
        <v>13.214285714285714</v>
      </c>
      <c r="M238" s="382">
        <f t="shared" si="40"/>
        <v>3.4988888888888887</v>
      </c>
      <c r="N238" s="330"/>
      <c r="O238" s="382">
        <f t="shared" si="36"/>
        <v>0.15510216429611035</v>
      </c>
      <c r="P238" s="382" t="str">
        <f t="shared" si="41"/>
        <v>Sol non sodique – Faible risque de dispersion, perméabilité normale</v>
      </c>
      <c r="Q238" s="382">
        <f t="shared" si="42"/>
        <v>1.426668030690537</v>
      </c>
      <c r="R238" s="382">
        <f t="shared" si="43"/>
        <v>0.44741191822531534</v>
      </c>
      <c r="S238" s="382">
        <f t="shared" si="44"/>
        <v>13.195558882235527</v>
      </c>
      <c r="T238" s="382">
        <f t="shared" si="45"/>
        <v>2.4957000000000003</v>
      </c>
      <c r="U238" s="382"/>
      <c r="V238" s="383">
        <f t="shared" si="46"/>
        <v>2.5471294492301472E-2</v>
      </c>
      <c r="W238" s="386" t="str">
        <f t="shared" si="47"/>
        <v>None to slight</v>
      </c>
    </row>
    <row r="239" spans="1:23" x14ac:dyDescent="0.3">
      <c r="A239" s="348">
        <v>39</v>
      </c>
      <c r="B239" s="333">
        <v>28.934100000000001</v>
      </c>
      <c r="C239" s="348">
        <v>9670</v>
      </c>
      <c r="D239" s="333">
        <v>6911.1490000000003</v>
      </c>
      <c r="E239" s="348">
        <v>640</v>
      </c>
      <c r="F239" s="333">
        <v>385.91999999999996</v>
      </c>
      <c r="G239" s="348">
        <v>830</v>
      </c>
      <c r="H239" s="348"/>
      <c r="I239" s="348"/>
      <c r="J239" s="382">
        <f t="shared" si="37"/>
        <v>1.7618925831202046</v>
      </c>
      <c r="K239" s="382">
        <f t="shared" si="38"/>
        <v>0.12580043478260872</v>
      </c>
      <c r="L239" s="382">
        <f t="shared" si="39"/>
        <v>34.535714285714285</v>
      </c>
      <c r="M239" s="382">
        <f t="shared" si="40"/>
        <v>3.1762962962962962</v>
      </c>
      <c r="N239" s="330"/>
      <c r="O239" s="382">
        <f t="shared" si="36"/>
        <v>2.8970587097584339E-2</v>
      </c>
      <c r="P239" s="382" t="str">
        <f t="shared" si="41"/>
        <v>Sol non sodique – Faible risque de dispersion, perméabilité normale</v>
      </c>
      <c r="Q239" s="382">
        <f t="shared" si="42"/>
        <v>1.7621048593350381</v>
      </c>
      <c r="R239" s="382">
        <f t="shared" si="43"/>
        <v>0.12553284036537624</v>
      </c>
      <c r="S239" s="382">
        <f t="shared" si="44"/>
        <v>34.48677145708583</v>
      </c>
      <c r="T239" s="382">
        <f t="shared" si="45"/>
        <v>2.2656000000000001</v>
      </c>
      <c r="U239" s="382"/>
      <c r="V239" s="383">
        <f t="shared" si="46"/>
        <v>3.2487787426760803E-3</v>
      </c>
      <c r="W239" s="386" t="str">
        <f t="shared" si="47"/>
        <v>None to slight</v>
      </c>
    </row>
    <row r="240" spans="1:23" x14ac:dyDescent="0.3">
      <c r="A240" s="348">
        <v>5799</v>
      </c>
      <c r="B240" s="333">
        <v>4302.2781000000004</v>
      </c>
      <c r="C240" s="348">
        <v>9824</v>
      </c>
      <c r="D240" s="333">
        <v>7021.2128000000002</v>
      </c>
      <c r="E240" s="348">
        <v>1210</v>
      </c>
      <c r="F240" s="333">
        <v>729.63</v>
      </c>
      <c r="G240" s="348">
        <v>792</v>
      </c>
      <c r="H240" s="348"/>
      <c r="I240" s="348"/>
      <c r="J240" s="382">
        <f t="shared" si="37"/>
        <v>1.6812276214833759</v>
      </c>
      <c r="K240" s="382">
        <f t="shared" si="38"/>
        <v>18.70555695652174</v>
      </c>
      <c r="L240" s="382">
        <f t="shared" si="39"/>
        <v>35.085714285714282</v>
      </c>
      <c r="M240" s="382">
        <f t="shared" si="40"/>
        <v>6.0051851851851845</v>
      </c>
      <c r="N240" s="330"/>
      <c r="O240" s="382">
        <f t="shared" si="36"/>
        <v>4.1267942585654316</v>
      </c>
      <c r="P240" s="382" t="str">
        <f t="shared" si="41"/>
        <v>Sol non sodique – Faible risque de dispersion, perméabilité normale</v>
      </c>
      <c r="Q240" s="382">
        <f t="shared" si="42"/>
        <v>1.6814301790281327</v>
      </c>
      <c r="R240" s="382">
        <f t="shared" si="43"/>
        <v>18.665767725097869</v>
      </c>
      <c r="S240" s="382">
        <f t="shared" si="44"/>
        <v>35.035992015968063</v>
      </c>
      <c r="T240" s="382">
        <f t="shared" si="45"/>
        <v>4.2834000000000003</v>
      </c>
      <c r="U240" s="382"/>
      <c r="V240" s="383">
        <f t="shared" si="46"/>
        <v>0.31283449833642579</v>
      </c>
      <c r="W240" s="386" t="str">
        <f t="shared" si="47"/>
        <v>Moderate to high</v>
      </c>
    </row>
    <row r="241" spans="1:23" x14ac:dyDescent="0.3">
      <c r="A241" s="348">
        <v>6194</v>
      </c>
      <c r="B241" s="333">
        <v>4595.3285999999998</v>
      </c>
      <c r="C241" s="348">
        <v>7670</v>
      </c>
      <c r="D241" s="333">
        <v>5481.7489999999998</v>
      </c>
      <c r="E241" s="348">
        <v>939</v>
      </c>
      <c r="F241" s="333">
        <v>566.21699999999998</v>
      </c>
      <c r="G241" s="348">
        <v>823</v>
      </c>
      <c r="H241" s="348"/>
      <c r="I241" s="348"/>
      <c r="J241" s="382">
        <f t="shared" si="37"/>
        <v>1.7470332480818414</v>
      </c>
      <c r="K241" s="382">
        <f t="shared" si="38"/>
        <v>19.979689565217392</v>
      </c>
      <c r="L241" s="382">
        <f t="shared" si="39"/>
        <v>27.392857142857146</v>
      </c>
      <c r="M241" s="382">
        <f t="shared" si="40"/>
        <v>4.660222222222222</v>
      </c>
      <c r="N241" s="330"/>
      <c r="O241" s="382">
        <f t="shared" si="36"/>
        <v>4.9907849235948181</v>
      </c>
      <c r="P241" s="382" t="str">
        <f t="shared" si="41"/>
        <v>Sol non sodique – Faible risque de dispersion, perméabilité normale</v>
      </c>
      <c r="Q241" s="382">
        <f t="shared" si="42"/>
        <v>1.7472437340153451</v>
      </c>
      <c r="R241" s="382">
        <f t="shared" si="43"/>
        <v>19.937190082644626</v>
      </c>
      <c r="S241" s="382">
        <f t="shared" si="44"/>
        <v>27.354036926147703</v>
      </c>
      <c r="T241" s="382">
        <f t="shared" si="45"/>
        <v>3.3240600000000002</v>
      </c>
      <c r="U241" s="382"/>
      <c r="V241" s="383">
        <f t="shared" si="46"/>
        <v>0.3807529888227017</v>
      </c>
      <c r="W241" s="386" t="str">
        <f t="shared" si="47"/>
        <v>Moderate to high</v>
      </c>
    </row>
    <row r="242" spans="1:23" x14ac:dyDescent="0.3">
      <c r="A242" s="348">
        <v>306</v>
      </c>
      <c r="B242" s="333">
        <v>227.0214</v>
      </c>
      <c r="C242" s="348">
        <v>5155</v>
      </c>
      <c r="D242" s="333">
        <v>3684.2784999999999</v>
      </c>
      <c r="E242" s="348">
        <v>634</v>
      </c>
      <c r="F242" s="333">
        <v>382.30199999999996</v>
      </c>
      <c r="G242" s="348">
        <v>917</v>
      </c>
      <c r="H242" s="348"/>
      <c r="I242" s="348"/>
      <c r="J242" s="382">
        <f t="shared" si="37"/>
        <v>1.9465728900255754</v>
      </c>
      <c r="K242" s="382">
        <f t="shared" si="38"/>
        <v>0.98704956521739129</v>
      </c>
      <c r="L242" s="382">
        <f t="shared" si="39"/>
        <v>18.410714285714285</v>
      </c>
      <c r="M242" s="382">
        <f t="shared" si="40"/>
        <v>3.1465185185185183</v>
      </c>
      <c r="N242" s="330"/>
      <c r="O242" s="382">
        <f t="shared" si="36"/>
        <v>0.30064740071647383</v>
      </c>
      <c r="P242" s="382" t="str">
        <f t="shared" si="41"/>
        <v>Sol non sodique – Faible risque de dispersion, perméabilité normale</v>
      </c>
      <c r="Q242" s="382">
        <f t="shared" si="42"/>
        <v>1.9468074168797953</v>
      </c>
      <c r="R242" s="382">
        <f t="shared" si="43"/>
        <v>0.98494997825141362</v>
      </c>
      <c r="S242" s="382">
        <f t="shared" si="44"/>
        <v>18.384623253493015</v>
      </c>
      <c r="T242" s="382">
        <f t="shared" si="45"/>
        <v>2.2443599999999999</v>
      </c>
      <c r="U242" s="382"/>
      <c r="V242" s="383">
        <f t="shared" si="46"/>
        <v>4.1804712039429349E-2</v>
      </c>
      <c r="W242" s="386" t="str">
        <f t="shared" si="47"/>
        <v>None to slight</v>
      </c>
    </row>
    <row r="243" spans="1:23" x14ac:dyDescent="0.3">
      <c r="A243" s="348">
        <v>28</v>
      </c>
      <c r="B243" s="333">
        <v>20.773199999999999</v>
      </c>
      <c r="C243" s="348">
        <v>3617</v>
      </c>
      <c r="D243" s="333">
        <v>2585.0699</v>
      </c>
      <c r="E243" s="348">
        <v>373</v>
      </c>
      <c r="F243" s="333">
        <v>224.91899999999998</v>
      </c>
      <c r="G243" s="348">
        <v>984</v>
      </c>
      <c r="H243" s="348"/>
      <c r="I243" s="348"/>
      <c r="J243" s="382">
        <f t="shared" si="37"/>
        <v>2.0887979539641943</v>
      </c>
      <c r="K243" s="382">
        <f t="shared" si="38"/>
        <v>9.0318260869565209E-2</v>
      </c>
      <c r="L243" s="382">
        <f t="shared" si="39"/>
        <v>12.917857142857141</v>
      </c>
      <c r="M243" s="382">
        <f t="shared" si="40"/>
        <v>1.8511851851851848</v>
      </c>
      <c r="N243" s="330"/>
      <c r="O243" s="382">
        <f t="shared" si="36"/>
        <v>3.3236432110748775E-2</v>
      </c>
      <c r="P243" s="382" t="str">
        <f t="shared" si="41"/>
        <v>Sol non sodique – Faible risque de dispersion, perméabilité normale</v>
      </c>
      <c r="Q243" s="382">
        <f t="shared" si="42"/>
        <v>2.0890496163682863</v>
      </c>
      <c r="R243" s="382">
        <f t="shared" si="43"/>
        <v>9.0126141800782947E-2</v>
      </c>
      <c r="S243" s="382">
        <f t="shared" si="44"/>
        <v>12.899550399201596</v>
      </c>
      <c r="T243" s="382">
        <f t="shared" si="45"/>
        <v>1.3204200000000001</v>
      </c>
      <c r="U243" s="382"/>
      <c r="V243" s="383">
        <f t="shared" si="46"/>
        <v>5.4957825813556375E-3</v>
      </c>
      <c r="W243" s="386" t="str">
        <f t="shared" si="47"/>
        <v>None to slight</v>
      </c>
    </row>
    <row r="244" spans="1:23" x14ac:dyDescent="0.3">
      <c r="A244" s="348">
        <v>1455</v>
      </c>
      <c r="B244" s="333">
        <v>1079.4645</v>
      </c>
      <c r="C244" s="348">
        <v>15029</v>
      </c>
      <c r="D244" s="333">
        <v>10741.2263</v>
      </c>
      <c r="E244" s="348">
        <v>2451</v>
      </c>
      <c r="F244" s="333">
        <v>1477.953</v>
      </c>
      <c r="G244" s="348">
        <v>872</v>
      </c>
      <c r="H244" s="348"/>
      <c r="I244" s="348"/>
      <c r="J244" s="382">
        <f t="shared" si="37"/>
        <v>1.8510485933503837</v>
      </c>
      <c r="K244" s="382">
        <f t="shared" si="38"/>
        <v>4.6933239130434785</v>
      </c>
      <c r="L244" s="382">
        <f t="shared" si="39"/>
        <v>53.674999999999997</v>
      </c>
      <c r="M244" s="382">
        <f t="shared" si="40"/>
        <v>12.164222222222222</v>
      </c>
      <c r="N244" s="330"/>
      <c r="O244" s="382">
        <f t="shared" si="36"/>
        <v>0.81799976767203753</v>
      </c>
      <c r="P244" s="382" t="str">
        <f t="shared" si="41"/>
        <v>Sol non sodique – Faible risque de dispersion, perméabilité normale</v>
      </c>
      <c r="Q244" s="382">
        <f t="shared" si="42"/>
        <v>1.8512716112531968</v>
      </c>
      <c r="R244" s="382">
        <f t="shared" si="43"/>
        <v>4.6833405828621144</v>
      </c>
      <c r="S244" s="382">
        <f t="shared" si="44"/>
        <v>53.598933632734528</v>
      </c>
      <c r="T244" s="382">
        <f t="shared" si="45"/>
        <v>8.676540000000001</v>
      </c>
      <c r="U244" s="382"/>
      <c r="V244" s="383">
        <f t="shared" si="46"/>
        <v>6.8061833183103881E-2</v>
      </c>
      <c r="W244" s="386" t="str">
        <f t="shared" si="47"/>
        <v>None to slight</v>
      </c>
    </row>
    <row r="245" spans="1:23" x14ac:dyDescent="0.3">
      <c r="A245" s="348">
        <v>4968</v>
      </c>
      <c r="B245" s="333">
        <v>3685.7592</v>
      </c>
      <c r="C245" s="348">
        <v>15952</v>
      </c>
      <c r="D245" s="333">
        <v>11400.894399999999</v>
      </c>
      <c r="E245" s="348">
        <v>2937</v>
      </c>
      <c r="F245" s="333">
        <v>1771.011</v>
      </c>
      <c r="G245" s="348">
        <v>1116</v>
      </c>
      <c r="H245" s="348"/>
      <c r="I245" s="348"/>
      <c r="J245" s="382">
        <f t="shared" si="37"/>
        <v>2.3690025575447571</v>
      </c>
      <c r="K245" s="382">
        <f t="shared" si="38"/>
        <v>16.025040000000001</v>
      </c>
      <c r="L245" s="382">
        <f t="shared" si="39"/>
        <v>56.971428571428568</v>
      </c>
      <c r="M245" s="382">
        <f t="shared" si="40"/>
        <v>14.576222222222222</v>
      </c>
      <c r="N245" s="330"/>
      <c r="O245" s="382">
        <f t="shared" si="36"/>
        <v>2.679269688211622</v>
      </c>
      <c r="P245" s="382" t="str">
        <f t="shared" si="41"/>
        <v>Sol non sodique – Faible risque de dispersion, perméabilité normale</v>
      </c>
      <c r="Q245" s="382">
        <f t="shared" si="42"/>
        <v>2.3692879795396418</v>
      </c>
      <c r="R245" s="382">
        <f t="shared" si="43"/>
        <v>15.990952588081775</v>
      </c>
      <c r="S245" s="382">
        <f t="shared" si="44"/>
        <v>56.89069061876247</v>
      </c>
      <c r="T245" s="382">
        <f t="shared" si="45"/>
        <v>10.396980000000001</v>
      </c>
      <c r="U245" s="382"/>
      <c r="V245" s="383">
        <f t="shared" si="46"/>
        <v>0.18670569272008095</v>
      </c>
      <c r="W245" s="386" t="str">
        <f t="shared" si="47"/>
        <v>Light to moderate</v>
      </c>
    </row>
    <row r="246" spans="1:23" x14ac:dyDescent="0.3">
      <c r="A246" s="348">
        <v>188</v>
      </c>
      <c r="B246" s="333">
        <v>139.47720000000001</v>
      </c>
      <c r="C246" s="348">
        <v>9490</v>
      </c>
      <c r="D246" s="333">
        <v>6782.5029999999997</v>
      </c>
      <c r="E246" s="348">
        <v>447</v>
      </c>
      <c r="F246" s="333">
        <v>269.541</v>
      </c>
      <c r="G246" s="348">
        <v>365</v>
      </c>
      <c r="H246" s="348"/>
      <c r="I246" s="348"/>
      <c r="J246" s="382">
        <f t="shared" si="37"/>
        <v>0.77480818414322239</v>
      </c>
      <c r="K246" s="382">
        <f t="shared" si="38"/>
        <v>0.60642260869565223</v>
      </c>
      <c r="L246" s="382">
        <f t="shared" si="39"/>
        <v>33.892857142857146</v>
      </c>
      <c r="M246" s="382">
        <f t="shared" si="40"/>
        <v>2.2184444444444442</v>
      </c>
      <c r="N246" s="330"/>
      <c r="O246" s="382">
        <f t="shared" si="36"/>
        <v>0.14271473354335826</v>
      </c>
      <c r="P246" s="382" t="str">
        <f t="shared" si="41"/>
        <v>Sol non sodique – Faible risque de dispersion, perméabilité normale</v>
      </c>
      <c r="Q246" s="382">
        <f t="shared" si="42"/>
        <v>0.77490153452685417</v>
      </c>
      <c r="R246" s="382">
        <f t="shared" si="43"/>
        <v>0.6051326663766855</v>
      </c>
      <c r="S246" s="382">
        <f t="shared" si="44"/>
        <v>33.844825349301395</v>
      </c>
      <c r="T246" s="382">
        <f t="shared" si="45"/>
        <v>1.5823800000000001</v>
      </c>
      <c r="U246" s="382"/>
      <c r="V246" s="383">
        <f t="shared" si="46"/>
        <v>1.6440588149820006E-2</v>
      </c>
      <c r="W246" s="386" t="str">
        <f t="shared" si="47"/>
        <v>None to slight</v>
      </c>
    </row>
    <row r="247" spans="1:23" x14ac:dyDescent="0.3">
      <c r="A247" s="348">
        <v>34</v>
      </c>
      <c r="B247" s="333">
        <v>25.224599999999999</v>
      </c>
      <c r="C247" s="348">
        <v>6150</v>
      </c>
      <c r="D247" s="333">
        <v>4395.4049999999997</v>
      </c>
      <c r="E247" s="348">
        <v>274</v>
      </c>
      <c r="F247" s="333">
        <v>165.22200000000001</v>
      </c>
      <c r="G247" s="348">
        <v>378</v>
      </c>
      <c r="H247" s="348"/>
      <c r="I247" s="348"/>
      <c r="J247" s="382">
        <f t="shared" si="37"/>
        <v>0.80240409207161123</v>
      </c>
      <c r="K247" s="382">
        <f t="shared" si="38"/>
        <v>0.10967217391304347</v>
      </c>
      <c r="L247" s="382">
        <f t="shared" si="39"/>
        <v>21.964285714285715</v>
      </c>
      <c r="M247" s="382">
        <f t="shared" si="40"/>
        <v>1.3598518518518519</v>
      </c>
      <c r="N247" s="330"/>
      <c r="O247" s="382">
        <f t="shared" si="36"/>
        <v>3.2115053720796233E-2</v>
      </c>
      <c r="P247" s="382" t="str">
        <f t="shared" si="41"/>
        <v>Sol non sodique – Faible risque de dispersion, perméabilité normale</v>
      </c>
      <c r="Q247" s="382">
        <f t="shared" si="42"/>
        <v>0.80250076726342701</v>
      </c>
      <c r="R247" s="382">
        <f t="shared" si="43"/>
        <v>0.10943888647237929</v>
      </c>
      <c r="S247" s="382">
        <f t="shared" si="44"/>
        <v>21.93315868263473</v>
      </c>
      <c r="T247" s="382">
        <f t="shared" si="45"/>
        <v>0.96996000000000004</v>
      </c>
      <c r="U247" s="382"/>
      <c r="V247" s="383">
        <f t="shared" si="46"/>
        <v>4.5953650386504992E-3</v>
      </c>
      <c r="W247" s="386" t="str">
        <f t="shared" si="47"/>
        <v>None to slight</v>
      </c>
    </row>
    <row r="248" spans="1:23" x14ac:dyDescent="0.3">
      <c r="A248" s="348">
        <v>56</v>
      </c>
      <c r="B248" s="333">
        <v>41.546399999999998</v>
      </c>
      <c r="C248" s="348">
        <v>11342</v>
      </c>
      <c r="D248" s="333">
        <v>8106.1274000000003</v>
      </c>
      <c r="E248" s="348">
        <v>434</v>
      </c>
      <c r="F248" s="333">
        <v>261.702</v>
      </c>
      <c r="G248" s="348">
        <v>368</v>
      </c>
      <c r="H248" s="348"/>
      <c r="I248" s="348"/>
      <c r="J248" s="382">
        <f t="shared" si="37"/>
        <v>0.78117647058823525</v>
      </c>
      <c r="K248" s="382">
        <f t="shared" si="38"/>
        <v>0.18063652173913042</v>
      </c>
      <c r="L248" s="382">
        <f t="shared" si="39"/>
        <v>40.507142857142853</v>
      </c>
      <c r="M248" s="382">
        <f t="shared" si="40"/>
        <v>2.1539259259259258</v>
      </c>
      <c r="N248" s="330"/>
      <c r="O248" s="382">
        <f t="shared" si="36"/>
        <v>3.9111519976968954E-2</v>
      </c>
      <c r="P248" s="382" t="str">
        <f t="shared" si="41"/>
        <v>Sol non sodique – Faible risque de dispersion, perméabilité normale</v>
      </c>
      <c r="Q248" s="382">
        <f t="shared" si="42"/>
        <v>0.78127058823529405</v>
      </c>
      <c r="R248" s="382">
        <f t="shared" si="43"/>
        <v>0.18025228360156589</v>
      </c>
      <c r="S248" s="382">
        <f t="shared" si="44"/>
        <v>40.449737524950102</v>
      </c>
      <c r="T248" s="382">
        <f t="shared" si="45"/>
        <v>1.5363600000000002</v>
      </c>
      <c r="U248" s="382"/>
      <c r="V248" s="383">
        <f t="shared" si="46"/>
        <v>4.1970260968184183E-3</v>
      </c>
      <c r="W248" s="386" t="str">
        <f t="shared" si="47"/>
        <v>None to slight</v>
      </c>
    </row>
    <row r="249" spans="1:23" x14ac:dyDescent="0.3">
      <c r="A249" s="348">
        <v>51</v>
      </c>
      <c r="B249" s="333">
        <v>37.8369</v>
      </c>
      <c r="C249" s="348">
        <v>7190</v>
      </c>
      <c r="D249" s="333">
        <v>5138.6930000000002</v>
      </c>
      <c r="E249" s="348">
        <v>258</v>
      </c>
      <c r="F249" s="333">
        <v>155.57399999999998</v>
      </c>
      <c r="G249" s="348">
        <v>262</v>
      </c>
      <c r="H249" s="348"/>
      <c r="I249" s="348"/>
      <c r="J249" s="382">
        <f t="shared" si="37"/>
        <v>0.55616368286445006</v>
      </c>
      <c r="K249" s="382">
        <f t="shared" si="38"/>
        <v>0.16450826086956521</v>
      </c>
      <c r="L249" s="382">
        <f t="shared" si="39"/>
        <v>25.678571428571427</v>
      </c>
      <c r="M249" s="382">
        <f t="shared" si="40"/>
        <v>1.2804444444444443</v>
      </c>
      <c r="N249" s="330"/>
      <c r="O249" s="382">
        <f t="shared" si="36"/>
        <v>4.4807497763086498E-2</v>
      </c>
      <c r="P249" s="382" t="str">
        <f t="shared" si="41"/>
        <v>Sol non sodique – Faible risque de dispersion, perméabilité normale</v>
      </c>
      <c r="Q249" s="382">
        <f t="shared" si="42"/>
        <v>0.5562306905370844</v>
      </c>
      <c r="R249" s="382">
        <f t="shared" si="43"/>
        <v>0.16415832970856895</v>
      </c>
      <c r="S249" s="382">
        <f t="shared" si="44"/>
        <v>25.642180638722554</v>
      </c>
      <c r="T249" s="382">
        <f t="shared" si="45"/>
        <v>0.91332000000000002</v>
      </c>
      <c r="U249" s="382"/>
      <c r="V249" s="383">
        <f t="shared" si="46"/>
        <v>6.0184408927095919E-3</v>
      </c>
      <c r="W249" s="386" t="str">
        <f t="shared" si="47"/>
        <v>None to slight</v>
      </c>
    </row>
    <row r="250" spans="1:23" x14ac:dyDescent="0.3">
      <c r="A250" s="348">
        <v>295</v>
      </c>
      <c r="B250" s="333">
        <v>218.8605</v>
      </c>
      <c r="C250" s="348">
        <v>9919</v>
      </c>
      <c r="D250" s="333">
        <v>7089.1093000000001</v>
      </c>
      <c r="E250" s="348">
        <v>907</v>
      </c>
      <c r="F250" s="333">
        <v>546.92099999999994</v>
      </c>
      <c r="G250" s="348">
        <v>552</v>
      </c>
      <c r="H250" s="348"/>
      <c r="I250" s="348"/>
      <c r="J250" s="382">
        <f t="shared" si="37"/>
        <v>1.1717647058823528</v>
      </c>
      <c r="K250" s="382">
        <f t="shared" si="38"/>
        <v>0.95156739130434786</v>
      </c>
      <c r="L250" s="382">
        <f t="shared" si="39"/>
        <v>35.424999999999997</v>
      </c>
      <c r="M250" s="382">
        <f t="shared" si="40"/>
        <v>4.5014074074074069</v>
      </c>
      <c r="N250" s="330"/>
      <c r="O250" s="382">
        <f t="shared" si="36"/>
        <v>0.21297294279551968</v>
      </c>
      <c r="P250" s="382" t="str">
        <f t="shared" si="41"/>
        <v>Sol non sodique – Faible risque de dispersion, perméabilité normale</v>
      </c>
      <c r="Q250" s="382">
        <f t="shared" si="42"/>
        <v>1.1719058823529411</v>
      </c>
      <c r="R250" s="382">
        <f t="shared" si="43"/>
        <v>0.9495432796868204</v>
      </c>
      <c r="S250" s="382">
        <f t="shared" si="44"/>
        <v>35.374796906187626</v>
      </c>
      <c r="T250" s="382">
        <f t="shared" si="45"/>
        <v>3.2107800000000002</v>
      </c>
      <c r="U250" s="382"/>
      <c r="V250" s="383">
        <f t="shared" si="46"/>
        <v>2.3326274881769297E-2</v>
      </c>
      <c r="W250" s="386" t="str">
        <f t="shared" si="47"/>
        <v>None to slight</v>
      </c>
    </row>
    <row r="251" spans="1:23" x14ac:dyDescent="0.3">
      <c r="A251" s="348">
        <v>242</v>
      </c>
      <c r="B251" s="333">
        <v>179.53980000000001</v>
      </c>
      <c r="C251" s="348">
        <v>3495</v>
      </c>
      <c r="D251" s="333">
        <v>2497.8764999999999</v>
      </c>
      <c r="E251" s="348">
        <v>1119</v>
      </c>
      <c r="F251" s="333">
        <v>674.75699999999995</v>
      </c>
      <c r="G251" s="348">
        <v>873</v>
      </c>
      <c r="H251" s="348"/>
      <c r="I251" s="348"/>
      <c r="J251" s="382">
        <f t="shared" si="37"/>
        <v>1.8531713554987208</v>
      </c>
      <c r="K251" s="382">
        <f t="shared" si="38"/>
        <v>0.78060782608695656</v>
      </c>
      <c r="L251" s="382">
        <f t="shared" si="39"/>
        <v>12.482142857142858</v>
      </c>
      <c r="M251" s="382">
        <f t="shared" si="40"/>
        <v>5.5535555555555547</v>
      </c>
      <c r="N251" s="330"/>
      <c r="O251" s="382">
        <f t="shared" si="36"/>
        <v>0.25994496907343301</v>
      </c>
      <c r="P251" s="382" t="str">
        <f t="shared" si="41"/>
        <v>Sol non sodique – Faible risque de dispersion, perméabilité normale</v>
      </c>
      <c r="Q251" s="382">
        <f t="shared" si="42"/>
        <v>1.8533946291560102</v>
      </c>
      <c r="R251" s="382">
        <f t="shared" si="43"/>
        <v>0.7789473684210525</v>
      </c>
      <c r="S251" s="382">
        <f t="shared" si="44"/>
        <v>12.464453592814371</v>
      </c>
      <c r="T251" s="382">
        <f t="shared" si="45"/>
        <v>3.9612600000000002</v>
      </c>
      <c r="U251" s="382"/>
      <c r="V251" s="383">
        <f t="shared" si="46"/>
        <v>4.0872342129895829E-2</v>
      </c>
      <c r="W251" s="386" t="str">
        <f t="shared" si="47"/>
        <v>None to slight</v>
      </c>
    </row>
    <row r="252" spans="1:23" x14ac:dyDescent="0.3">
      <c r="A252" s="348">
        <v>385</v>
      </c>
      <c r="B252" s="333">
        <v>285.63150000000002</v>
      </c>
      <c r="C252" s="348">
        <v>3939</v>
      </c>
      <c r="D252" s="333">
        <v>2815.2033000000001</v>
      </c>
      <c r="E252" s="348">
        <v>749</v>
      </c>
      <c r="F252" s="333">
        <v>451.64699999999999</v>
      </c>
      <c r="G252" s="348">
        <v>416</v>
      </c>
      <c r="H252" s="348"/>
      <c r="I252" s="348"/>
      <c r="J252" s="382">
        <f t="shared" si="37"/>
        <v>0.8830690537084398</v>
      </c>
      <c r="K252" s="382">
        <f t="shared" si="38"/>
        <v>1.2418760869565217</v>
      </c>
      <c r="L252" s="382">
        <f t="shared" si="39"/>
        <v>14.067857142857141</v>
      </c>
      <c r="M252" s="382">
        <f t="shared" si="40"/>
        <v>3.7172592592592588</v>
      </c>
      <c r="N252" s="330"/>
      <c r="O252" s="382">
        <f t="shared" si="36"/>
        <v>0.41645195619064562</v>
      </c>
      <c r="P252" s="382" t="str">
        <f t="shared" si="41"/>
        <v>Sol non sodique – Faible risque de dispersion, perméabilité normale</v>
      </c>
      <c r="Q252" s="382">
        <f t="shared" si="42"/>
        <v>0.88317544757033251</v>
      </c>
      <c r="R252" s="382">
        <f t="shared" si="43"/>
        <v>1.2392344497607655</v>
      </c>
      <c r="S252" s="382">
        <f t="shared" si="44"/>
        <v>14.047920658682635</v>
      </c>
      <c r="T252" s="382">
        <f t="shared" si="45"/>
        <v>2.6514600000000002</v>
      </c>
      <c r="U252" s="382"/>
      <c r="V252" s="383">
        <f t="shared" si="46"/>
        <v>6.5840412264327242E-2</v>
      </c>
      <c r="W252" s="386" t="str">
        <f t="shared" si="47"/>
        <v>None to slight</v>
      </c>
    </row>
    <row r="253" spans="1:23" x14ac:dyDescent="0.3">
      <c r="A253" s="348">
        <v>43</v>
      </c>
      <c r="B253" s="333">
        <v>31.901700000000002</v>
      </c>
      <c r="C253" s="348">
        <v>10050</v>
      </c>
      <c r="D253" s="333">
        <v>7182.7349999999997</v>
      </c>
      <c r="E253" s="348">
        <v>812</v>
      </c>
      <c r="F253" s="333">
        <v>489.63599999999997</v>
      </c>
      <c r="G253" s="348">
        <v>510</v>
      </c>
      <c r="H253" s="348"/>
      <c r="I253" s="348"/>
      <c r="J253" s="382">
        <f t="shared" si="37"/>
        <v>1.0826086956521739</v>
      </c>
      <c r="K253" s="382">
        <f t="shared" si="38"/>
        <v>0.13870304347826087</v>
      </c>
      <c r="L253" s="382">
        <f t="shared" si="39"/>
        <v>35.892857142857146</v>
      </c>
      <c r="M253" s="382">
        <f t="shared" si="40"/>
        <v>4.0299259259259257</v>
      </c>
      <c r="N253" s="330"/>
      <c r="O253" s="382">
        <f t="shared" si="36"/>
        <v>3.1044922786413159E-2</v>
      </c>
      <c r="P253" s="382" t="str">
        <f t="shared" si="41"/>
        <v>Sol non sodique – Faible risque de dispersion, perméabilité normale</v>
      </c>
      <c r="Q253" s="382">
        <f t="shared" si="42"/>
        <v>1.0827391304347826</v>
      </c>
      <c r="R253" s="382">
        <f t="shared" si="43"/>
        <v>0.13840800347977381</v>
      </c>
      <c r="S253" s="382">
        <f t="shared" si="44"/>
        <v>35.841991017964069</v>
      </c>
      <c r="T253" s="382">
        <f t="shared" si="45"/>
        <v>2.8744800000000001</v>
      </c>
      <c r="U253" s="382"/>
      <c r="V253" s="383">
        <f t="shared" si="46"/>
        <v>3.4656048578916875E-3</v>
      </c>
      <c r="W253" s="386" t="str">
        <f t="shared" si="47"/>
        <v>None to slight</v>
      </c>
    </row>
    <row r="254" spans="1:23" x14ac:dyDescent="0.3">
      <c r="A254" s="348">
        <v>1834</v>
      </c>
      <c r="B254" s="333">
        <v>1360.6446000000001</v>
      </c>
      <c r="C254" s="348">
        <v>10125</v>
      </c>
      <c r="D254" s="333">
        <v>7236.3374999999996</v>
      </c>
      <c r="E254" s="348">
        <v>1699</v>
      </c>
      <c r="F254" s="333">
        <v>1024.4970000000001</v>
      </c>
      <c r="G254" s="348">
        <v>474</v>
      </c>
      <c r="H254" s="348"/>
      <c r="I254" s="348"/>
      <c r="J254" s="382">
        <f t="shared" si="37"/>
        <v>1.0061892583120204</v>
      </c>
      <c r="K254" s="382">
        <f t="shared" si="38"/>
        <v>5.9158460869565213</v>
      </c>
      <c r="L254" s="382">
        <f t="shared" si="39"/>
        <v>36.160714285714285</v>
      </c>
      <c r="M254" s="382">
        <f t="shared" si="40"/>
        <v>8.4320740740740749</v>
      </c>
      <c r="N254" s="330"/>
      <c r="O254" s="382">
        <f t="shared" si="36"/>
        <v>1.2528513622706603</v>
      </c>
      <c r="P254" s="382" t="str">
        <f t="shared" si="41"/>
        <v>Sol non sodique – Faible risque de dispersion, perméabilité normale</v>
      </c>
      <c r="Q254" s="382">
        <f t="shared" si="42"/>
        <v>1.0063104859335039</v>
      </c>
      <c r="R254" s="382">
        <f t="shared" si="43"/>
        <v>5.903262287951283</v>
      </c>
      <c r="S254" s="382">
        <f t="shared" si="44"/>
        <v>36.109468562874248</v>
      </c>
      <c r="T254" s="382">
        <f t="shared" si="45"/>
        <v>6.0144600000000006</v>
      </c>
      <c r="U254" s="382"/>
      <c r="V254" s="383">
        <f t="shared" si="46"/>
        <v>0.12039242817697322</v>
      </c>
      <c r="W254" s="386" t="str">
        <f t="shared" si="47"/>
        <v>None to slight</v>
      </c>
    </row>
    <row r="255" spans="1:23" x14ac:dyDescent="0.3">
      <c r="A255" s="348">
        <v>373</v>
      </c>
      <c r="B255" s="333">
        <v>276.7287</v>
      </c>
      <c r="C255" s="348">
        <v>10848</v>
      </c>
      <c r="D255" s="333">
        <v>7753.0655999999999</v>
      </c>
      <c r="E255" s="348">
        <v>1505</v>
      </c>
      <c r="F255" s="333">
        <v>907.51499999999999</v>
      </c>
      <c r="G255" s="348">
        <v>261</v>
      </c>
      <c r="H255" s="348"/>
      <c r="I255" s="348"/>
      <c r="J255" s="382">
        <f t="shared" si="37"/>
        <v>0.55404092071611255</v>
      </c>
      <c r="K255" s="382">
        <f t="shared" si="38"/>
        <v>1.2031682608695653</v>
      </c>
      <c r="L255" s="382">
        <f t="shared" si="39"/>
        <v>38.742857142857147</v>
      </c>
      <c r="M255" s="382">
        <f t="shared" si="40"/>
        <v>7.4692592592592586</v>
      </c>
      <c r="N255" s="330"/>
      <c r="O255" s="382">
        <f t="shared" si="36"/>
        <v>0.25030149029401721</v>
      </c>
      <c r="P255" s="382" t="str">
        <f t="shared" si="41"/>
        <v>Sol non sodique – Faible risque de dispersion, perméabilité normale</v>
      </c>
      <c r="Q255" s="382">
        <f t="shared" si="42"/>
        <v>0.55410767263427108</v>
      </c>
      <c r="R255" s="382">
        <f t="shared" si="43"/>
        <v>1.2006089604175727</v>
      </c>
      <c r="S255" s="382">
        <f t="shared" si="44"/>
        <v>38.687952095808384</v>
      </c>
      <c r="T255" s="382">
        <f t="shared" si="45"/>
        <v>5.3277000000000001</v>
      </c>
      <c r="U255" s="382"/>
      <c r="V255" s="383">
        <f t="shared" si="46"/>
        <v>2.6231140228078084E-2</v>
      </c>
      <c r="W255" s="386" t="str">
        <f t="shared" si="47"/>
        <v>None to slight</v>
      </c>
    </row>
    <row r="256" spans="1:23" x14ac:dyDescent="0.3">
      <c r="A256" s="348">
        <v>48</v>
      </c>
      <c r="B256" s="333">
        <v>35.611199999999997</v>
      </c>
      <c r="C256" s="348">
        <v>11847</v>
      </c>
      <c r="D256" s="333">
        <v>8467.0509000000002</v>
      </c>
      <c r="E256" s="348">
        <v>880</v>
      </c>
      <c r="F256" s="333">
        <v>530.64</v>
      </c>
      <c r="G256" s="348">
        <v>863</v>
      </c>
      <c r="H256" s="348"/>
      <c r="I256" s="348"/>
      <c r="J256" s="382">
        <f t="shared" si="37"/>
        <v>1.831943734015345</v>
      </c>
      <c r="K256" s="382">
        <f t="shared" si="38"/>
        <v>0.15483130434782608</v>
      </c>
      <c r="L256" s="382">
        <f t="shared" si="39"/>
        <v>42.310714285714283</v>
      </c>
      <c r="M256" s="382">
        <f t="shared" si="40"/>
        <v>4.3674074074074074</v>
      </c>
      <c r="N256" s="330"/>
      <c r="O256" s="382">
        <f t="shared" si="36"/>
        <v>3.2049191957809461E-2</v>
      </c>
      <c r="P256" s="382" t="str">
        <f t="shared" si="41"/>
        <v>Sol non sodique – Faible risque de dispersion, perméabilité normale</v>
      </c>
      <c r="Q256" s="382">
        <f t="shared" si="42"/>
        <v>1.8321644501278769</v>
      </c>
      <c r="R256" s="382">
        <f t="shared" si="43"/>
        <v>0.15450195737277075</v>
      </c>
      <c r="S256" s="382">
        <f t="shared" si="44"/>
        <v>42.250752994011975</v>
      </c>
      <c r="T256" s="382">
        <f t="shared" si="45"/>
        <v>3.1152000000000002</v>
      </c>
      <c r="U256" s="382"/>
      <c r="V256" s="383">
        <f t="shared" si="46"/>
        <v>3.2627964265866012E-3</v>
      </c>
      <c r="W256" s="386" t="str">
        <f t="shared" si="47"/>
        <v>None to slight</v>
      </c>
    </row>
    <row r="257" spans="1:23" x14ac:dyDescent="0.3">
      <c r="A257" s="348">
        <v>675</v>
      </c>
      <c r="B257" s="333">
        <v>500.78250000000003</v>
      </c>
      <c r="C257" s="348">
        <v>10512</v>
      </c>
      <c r="D257" s="333">
        <v>7512.9264000000003</v>
      </c>
      <c r="E257" s="348">
        <v>943</v>
      </c>
      <c r="F257" s="333">
        <v>568.62900000000002</v>
      </c>
      <c r="G257" s="348">
        <v>1164</v>
      </c>
      <c r="H257" s="348"/>
      <c r="I257" s="348"/>
      <c r="J257" s="382">
        <f t="shared" si="37"/>
        <v>2.4708951406649615</v>
      </c>
      <c r="K257" s="382">
        <f t="shared" si="38"/>
        <v>2.1773152173913046</v>
      </c>
      <c r="L257" s="382">
        <f t="shared" si="39"/>
        <v>37.542857142857144</v>
      </c>
      <c r="M257" s="382">
        <f t="shared" si="40"/>
        <v>4.6800740740740743</v>
      </c>
      <c r="N257" s="330"/>
      <c r="O257" s="382">
        <f t="shared" si="36"/>
        <v>0.47387316514851074</v>
      </c>
      <c r="P257" s="382" t="str">
        <f t="shared" si="41"/>
        <v>Sol non sodique – Faible risque de dispersion, perméabilité normale</v>
      </c>
      <c r="Q257" s="382">
        <f t="shared" si="42"/>
        <v>2.4711928388746802</v>
      </c>
      <c r="R257" s="382">
        <f t="shared" si="43"/>
        <v>2.1726837755545887</v>
      </c>
      <c r="S257" s="382">
        <f t="shared" si="44"/>
        <v>37.489652694610776</v>
      </c>
      <c r="T257" s="382">
        <f t="shared" si="45"/>
        <v>3.3382200000000002</v>
      </c>
      <c r="U257" s="382"/>
      <c r="V257" s="383">
        <f t="shared" si="46"/>
        <v>4.7780958695658689E-2</v>
      </c>
      <c r="W257" s="386" t="str">
        <f t="shared" si="47"/>
        <v>None to slight</v>
      </c>
    </row>
    <row r="258" spans="1:23" x14ac:dyDescent="0.3">
      <c r="A258" s="348">
        <v>8103</v>
      </c>
      <c r="B258" s="333">
        <v>6011.6157000000003</v>
      </c>
      <c r="C258" s="348">
        <v>10873</v>
      </c>
      <c r="D258" s="333">
        <v>7770.9331000000002</v>
      </c>
      <c r="E258" s="348">
        <v>1652</v>
      </c>
      <c r="F258" s="333">
        <v>996.15599999999995</v>
      </c>
      <c r="G258" s="348">
        <v>555</v>
      </c>
      <c r="H258" s="348"/>
      <c r="I258" s="348"/>
      <c r="J258" s="382">
        <f t="shared" si="37"/>
        <v>1.1781329923273656</v>
      </c>
      <c r="K258" s="382">
        <f t="shared" si="38"/>
        <v>26.137459565217391</v>
      </c>
      <c r="L258" s="382">
        <f t="shared" si="39"/>
        <v>38.832142857142856</v>
      </c>
      <c r="M258" s="382">
        <f t="shared" si="40"/>
        <v>8.1988148148148152</v>
      </c>
      <c r="N258" s="330"/>
      <c r="O258" s="382">
        <f t="shared" ref="O258:O321" si="48">(K258/((L258+M258)/2)^0.5)</f>
        <v>5.3899713993043177</v>
      </c>
      <c r="P258" s="382" t="str">
        <f t="shared" si="41"/>
        <v>Sol non sodique – Faible risque de dispersion, perméabilité normale</v>
      </c>
      <c r="Q258" s="382">
        <f t="shared" si="42"/>
        <v>1.1782749360613809</v>
      </c>
      <c r="R258" s="382">
        <f t="shared" si="43"/>
        <v>26.081861678990865</v>
      </c>
      <c r="S258" s="382">
        <f t="shared" si="44"/>
        <v>38.777111277445108</v>
      </c>
      <c r="T258" s="382">
        <f t="shared" si="45"/>
        <v>5.8480800000000004</v>
      </c>
      <c r="U258" s="382"/>
      <c r="V258" s="383">
        <f t="shared" si="46"/>
        <v>0.36282594019736003</v>
      </c>
      <c r="W258" s="386" t="str">
        <f t="shared" si="47"/>
        <v>Moderate to high</v>
      </c>
    </row>
    <row r="259" spans="1:23" x14ac:dyDescent="0.3">
      <c r="A259" s="348">
        <v>7723</v>
      </c>
      <c r="B259" s="333">
        <v>5729.6936999999998</v>
      </c>
      <c r="C259" s="348">
        <v>9705</v>
      </c>
      <c r="D259" s="333">
        <v>6936.1634999999997</v>
      </c>
      <c r="E259" s="348">
        <v>1119</v>
      </c>
      <c r="F259" s="333">
        <v>674.75699999999995</v>
      </c>
      <c r="G259" s="348">
        <v>456</v>
      </c>
      <c r="H259" s="348"/>
      <c r="I259" s="348"/>
      <c r="J259" s="382">
        <f t="shared" ref="J259:J322" si="49">(G259*0.83/10)/39.1</f>
        <v>0.96797953964194372</v>
      </c>
      <c r="K259" s="382">
        <f t="shared" ref="K259:K322" si="50">(A259*0.7419/10)/23</f>
        <v>24.911711739130435</v>
      </c>
      <c r="L259" s="382">
        <f t="shared" ref="L259:L322" si="51">((C259*40/56)/10)/20</f>
        <v>34.660714285714285</v>
      </c>
      <c r="M259" s="382">
        <f t="shared" ref="M259:M322" si="52">(E259*0.603/10)/12.15</f>
        <v>5.5535555555555547</v>
      </c>
      <c r="N259" s="330"/>
      <c r="O259" s="382">
        <f t="shared" si="48"/>
        <v>5.5555680785736579</v>
      </c>
      <c r="P259" s="382" t="str">
        <f t="shared" ref="P259:P322" si="53">IF(O259 &lt; 10, "Sol non sodique – Faible risque de dispersion, perméabilité normale",
IF(O259 &lt;= 18, "Sol modérément sodique – Risque modéré de sodicité",
IF(O259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59" s="382">
        <f t="shared" ref="Q259:Q322" si="54">(G259*0.8301)/391</f>
        <v>0.96809616368286444</v>
      </c>
      <c r="R259" s="382">
        <f t="shared" ref="R259:R322" si="55">(A259*0.74)/229.9</f>
        <v>24.858721183123095</v>
      </c>
      <c r="S259" s="382">
        <f t="shared" ref="S259:S322" si="56">C259*0.7147/200.4</f>
        <v>34.611594311377246</v>
      </c>
      <c r="T259" s="382">
        <f t="shared" ref="T259:T322" si="57">E259*0.00354</f>
        <v>3.9612600000000002</v>
      </c>
      <c r="U259" s="382"/>
      <c r="V259" s="383">
        <f t="shared" ref="V259:V322" si="58">R259/(Q259+R259+S259+T259)</f>
        <v>0.38600695536254831</v>
      </c>
      <c r="W259" s="386" t="str">
        <f t="shared" ref="W259:W322" si="59">IF(V259 &lt; 15%, "None to slight",
IF(V259 &lt; 30%, "Light to moderate",
IF(V259 &lt; 50%, "Moderate to high",
IF(V259 &lt; 70%, "High to very high",
"Extremely high"))))</f>
        <v>Moderate to high</v>
      </c>
    </row>
    <row r="260" spans="1:23" x14ac:dyDescent="0.3">
      <c r="A260" s="348">
        <v>36584</v>
      </c>
      <c r="B260" s="333">
        <v>27141.669600000001</v>
      </c>
      <c r="C260" s="348">
        <v>10263</v>
      </c>
      <c r="D260" s="333">
        <v>7334.9660999999996</v>
      </c>
      <c r="E260" s="348">
        <v>743</v>
      </c>
      <c r="F260" s="333">
        <v>448.029</v>
      </c>
      <c r="G260" s="348">
        <v>361</v>
      </c>
      <c r="H260" s="348"/>
      <c r="I260" s="348"/>
      <c r="J260" s="382">
        <f t="shared" si="49"/>
        <v>0.76631713554987213</v>
      </c>
      <c r="K260" s="382">
        <f t="shared" si="50"/>
        <v>118.00725913043479</v>
      </c>
      <c r="L260" s="382">
        <f t="shared" si="51"/>
        <v>36.653571428571425</v>
      </c>
      <c r="M260" s="382">
        <f t="shared" si="52"/>
        <v>3.6874814814814814</v>
      </c>
      <c r="N260" s="330"/>
      <c r="O260" s="382">
        <f t="shared" si="48"/>
        <v>26.275446615877893</v>
      </c>
      <c r="P260" s="382" t="str">
        <f t="shared" si="53"/>
        <v>Sol très sodique – Très haut risque de dispersion, dégradation sévère</v>
      </c>
      <c r="Q260" s="382">
        <f t="shared" si="54"/>
        <v>0.76640946291560097</v>
      </c>
      <c r="R260" s="382">
        <f t="shared" si="55"/>
        <v>117.75624184428011</v>
      </c>
      <c r="S260" s="382">
        <f t="shared" si="56"/>
        <v>36.601627245508979</v>
      </c>
      <c r="T260" s="382">
        <f t="shared" si="57"/>
        <v>2.63022</v>
      </c>
      <c r="U260" s="382"/>
      <c r="V260" s="383">
        <f t="shared" si="58"/>
        <v>0.74645251276266167</v>
      </c>
      <c r="W260" s="386" t="str">
        <f t="shared" si="59"/>
        <v>Extremely high</v>
      </c>
    </row>
    <row r="261" spans="1:23" x14ac:dyDescent="0.3">
      <c r="A261" s="348">
        <v>81</v>
      </c>
      <c r="B261" s="333">
        <v>60.093899999999998</v>
      </c>
      <c r="C261" s="348">
        <v>5695</v>
      </c>
      <c r="D261" s="333">
        <v>4070.2165</v>
      </c>
      <c r="E261" s="348">
        <v>1087</v>
      </c>
      <c r="F261" s="333">
        <v>655.46100000000001</v>
      </c>
      <c r="G261" s="348">
        <v>443</v>
      </c>
      <c r="H261" s="348"/>
      <c r="I261" s="348"/>
      <c r="J261" s="382">
        <f t="shared" si="49"/>
        <v>0.94038363171355488</v>
      </c>
      <c r="K261" s="382">
        <f t="shared" si="50"/>
        <v>0.26127782608695649</v>
      </c>
      <c r="L261" s="382">
        <f t="shared" si="51"/>
        <v>20.339285714285715</v>
      </c>
      <c r="M261" s="382">
        <f t="shared" si="52"/>
        <v>5.3947407407407404</v>
      </c>
      <c r="N261" s="330"/>
      <c r="O261" s="382">
        <f t="shared" si="48"/>
        <v>7.283895059985368E-2</v>
      </c>
      <c r="P261" s="382" t="str">
        <f t="shared" si="53"/>
        <v>Sol non sodique – Faible risque de dispersion, perméabilité normale</v>
      </c>
      <c r="Q261" s="382">
        <f t="shared" si="54"/>
        <v>0.9404969309462915</v>
      </c>
      <c r="R261" s="382">
        <f t="shared" si="55"/>
        <v>0.26072205306655066</v>
      </c>
      <c r="S261" s="382">
        <f t="shared" si="56"/>
        <v>20.310461576846308</v>
      </c>
      <c r="T261" s="382">
        <f t="shared" si="57"/>
        <v>3.8479800000000002</v>
      </c>
      <c r="U261" s="382"/>
      <c r="V261" s="383">
        <f t="shared" si="58"/>
        <v>1.0280975663726225E-2</v>
      </c>
      <c r="W261" s="386" t="str">
        <f t="shared" si="59"/>
        <v>None to slight</v>
      </c>
    </row>
    <row r="262" spans="1:23" x14ac:dyDescent="0.3">
      <c r="A262" s="348">
        <v>23</v>
      </c>
      <c r="B262" s="333">
        <v>17.063700000000001</v>
      </c>
      <c r="C262" s="348">
        <v>7781</v>
      </c>
      <c r="D262" s="333">
        <v>5561.0807000000004</v>
      </c>
      <c r="E262" s="348">
        <v>573</v>
      </c>
      <c r="F262" s="333">
        <v>345.51900000000001</v>
      </c>
      <c r="G262" s="348">
        <v>683</v>
      </c>
      <c r="H262" s="348"/>
      <c r="I262" s="348"/>
      <c r="J262" s="382">
        <f t="shared" si="49"/>
        <v>1.4498465473145778</v>
      </c>
      <c r="K262" s="382">
        <f t="shared" si="50"/>
        <v>7.4190000000000006E-2</v>
      </c>
      <c r="L262" s="382">
        <f t="shared" si="51"/>
        <v>27.789285714285718</v>
      </c>
      <c r="M262" s="382">
        <f t="shared" si="52"/>
        <v>2.843777777777778</v>
      </c>
      <c r="N262" s="330"/>
      <c r="O262" s="382">
        <f t="shared" si="48"/>
        <v>1.8956805465551251E-2</v>
      </c>
      <c r="P262" s="382" t="str">
        <f t="shared" si="53"/>
        <v>Sol non sodique – Faible risque de dispersion, perméabilité normale</v>
      </c>
      <c r="Q262" s="382">
        <f t="shared" si="54"/>
        <v>1.4500212276214834</v>
      </c>
      <c r="R262" s="382">
        <f t="shared" si="55"/>
        <v>7.4032187907785985E-2</v>
      </c>
      <c r="S262" s="382">
        <f t="shared" si="56"/>
        <v>27.749903692614772</v>
      </c>
      <c r="T262" s="382">
        <f t="shared" si="57"/>
        <v>2.0284200000000001</v>
      </c>
      <c r="U262" s="382"/>
      <c r="V262" s="383">
        <f t="shared" si="58"/>
        <v>2.3650660028795316E-3</v>
      </c>
      <c r="W262" s="386" t="str">
        <f t="shared" si="59"/>
        <v>None to slight</v>
      </c>
    </row>
    <row r="263" spans="1:23" x14ac:dyDescent="0.3">
      <c r="A263" s="348">
        <v>11561</v>
      </c>
      <c r="B263" s="333">
        <v>8577.1059000000005</v>
      </c>
      <c r="C263" s="348">
        <v>14109</v>
      </c>
      <c r="D263" s="333">
        <v>10083.702300000001</v>
      </c>
      <c r="E263" s="348">
        <v>4122</v>
      </c>
      <c r="F263" s="333">
        <v>2485.5659999999998</v>
      </c>
      <c r="G263" s="348">
        <v>278</v>
      </c>
      <c r="H263" s="348"/>
      <c r="I263" s="348"/>
      <c r="J263" s="382">
        <f t="shared" si="49"/>
        <v>0.59012787723785154</v>
      </c>
      <c r="K263" s="382">
        <f t="shared" si="50"/>
        <v>37.291764782608695</v>
      </c>
      <c r="L263" s="382">
        <f t="shared" si="51"/>
        <v>50.38928571428572</v>
      </c>
      <c r="M263" s="382">
        <f t="shared" si="52"/>
        <v>20.457333333333331</v>
      </c>
      <c r="N263" s="330"/>
      <c r="O263" s="382">
        <f t="shared" si="48"/>
        <v>6.2656822851897482</v>
      </c>
      <c r="P263" s="382" t="str">
        <f t="shared" si="53"/>
        <v>Sol non sodique – Faible risque de dispersion, perméabilité normale</v>
      </c>
      <c r="Q263" s="382">
        <f t="shared" si="54"/>
        <v>0.59019897698209722</v>
      </c>
      <c r="R263" s="382">
        <f t="shared" si="55"/>
        <v>37.212440191387557</v>
      </c>
      <c r="S263" s="382">
        <f t="shared" si="56"/>
        <v>50.317875748502999</v>
      </c>
      <c r="T263" s="382">
        <f t="shared" si="57"/>
        <v>14.591880000000002</v>
      </c>
      <c r="U263" s="382"/>
      <c r="V263" s="383">
        <f t="shared" si="58"/>
        <v>0.36229746391858925</v>
      </c>
      <c r="W263" s="386" t="str">
        <f t="shared" si="59"/>
        <v>Moderate to high</v>
      </c>
    </row>
    <row r="264" spans="1:23" x14ac:dyDescent="0.3">
      <c r="A264" s="348">
        <v>10329</v>
      </c>
      <c r="B264" s="333">
        <v>7663.0851000000002</v>
      </c>
      <c r="C264" s="348">
        <v>16327</v>
      </c>
      <c r="D264" s="333">
        <v>11668.9069</v>
      </c>
      <c r="E264" s="348">
        <v>4230</v>
      </c>
      <c r="F264" s="333">
        <v>2550.69</v>
      </c>
      <c r="G264" s="348">
        <v>200</v>
      </c>
      <c r="H264" s="348"/>
      <c r="I264" s="348"/>
      <c r="J264" s="382">
        <f t="shared" si="49"/>
        <v>0.42455242966751922</v>
      </c>
      <c r="K264" s="382">
        <f t="shared" si="50"/>
        <v>33.317761304347826</v>
      </c>
      <c r="L264" s="382">
        <f t="shared" si="51"/>
        <v>58.31071428571429</v>
      </c>
      <c r="M264" s="382">
        <f t="shared" si="52"/>
        <v>20.993333333333336</v>
      </c>
      <c r="N264" s="330"/>
      <c r="O264" s="382">
        <f t="shared" si="48"/>
        <v>5.2910654450932348</v>
      </c>
      <c r="P264" s="382" t="str">
        <f t="shared" si="53"/>
        <v>Sol non sodique – Faible risque de dispersion, perméabilité normale</v>
      </c>
      <c r="Q264" s="382">
        <f t="shared" si="54"/>
        <v>0.42460358056265979</v>
      </c>
      <c r="R264" s="382">
        <f t="shared" si="55"/>
        <v>33.246889952153111</v>
      </c>
      <c r="S264" s="382">
        <f t="shared" si="56"/>
        <v>58.228078343313371</v>
      </c>
      <c r="T264" s="382">
        <f t="shared" si="57"/>
        <v>14.974200000000002</v>
      </c>
      <c r="U264" s="382"/>
      <c r="V264" s="383">
        <f t="shared" si="58"/>
        <v>0.31108558600063879</v>
      </c>
      <c r="W264" s="386" t="str">
        <f t="shared" si="59"/>
        <v>Moderate to high</v>
      </c>
    </row>
    <row r="265" spans="1:23" x14ac:dyDescent="0.3">
      <c r="A265" s="348">
        <v>22643</v>
      </c>
      <c r="B265" s="333">
        <v>16798.841700000001</v>
      </c>
      <c r="C265" s="348">
        <v>12330</v>
      </c>
      <c r="D265" s="333">
        <v>8812.2510000000002</v>
      </c>
      <c r="E265" s="348">
        <v>2753</v>
      </c>
      <c r="F265" s="333">
        <v>1660.059</v>
      </c>
      <c r="G265" s="348">
        <v>338</v>
      </c>
      <c r="H265" s="348"/>
      <c r="I265" s="348"/>
      <c r="J265" s="382">
        <f t="shared" si="49"/>
        <v>0.71749360613810731</v>
      </c>
      <c r="K265" s="382">
        <f t="shared" si="50"/>
        <v>73.03844217391304</v>
      </c>
      <c r="L265" s="382">
        <f t="shared" si="51"/>
        <v>44.035714285714285</v>
      </c>
      <c r="M265" s="382">
        <f t="shared" si="52"/>
        <v>13.663037037037036</v>
      </c>
      <c r="N265" s="330"/>
      <c r="O265" s="382">
        <f t="shared" si="48"/>
        <v>13.598258481742091</v>
      </c>
      <c r="P265" s="382" t="str">
        <f t="shared" si="53"/>
        <v>Sol modérément sodique – Risque modéré de sodicité</v>
      </c>
      <c r="Q265" s="382">
        <f t="shared" si="54"/>
        <v>0.71758005115089518</v>
      </c>
      <c r="R265" s="382">
        <f t="shared" si="55"/>
        <v>72.883079599826004</v>
      </c>
      <c r="S265" s="382">
        <f t="shared" si="56"/>
        <v>43.97330838323353</v>
      </c>
      <c r="T265" s="382">
        <f t="shared" si="57"/>
        <v>9.7456200000000006</v>
      </c>
      <c r="U265" s="382"/>
      <c r="V265" s="383">
        <f t="shared" si="58"/>
        <v>0.57244199989276212</v>
      </c>
      <c r="W265" s="386" t="str">
        <f t="shared" si="59"/>
        <v>High to very high</v>
      </c>
    </row>
    <row r="266" spans="1:23" x14ac:dyDescent="0.3">
      <c r="A266" s="348">
        <v>17698</v>
      </c>
      <c r="B266" s="333">
        <v>13130.146199999999</v>
      </c>
      <c r="C266" s="348">
        <v>13180</v>
      </c>
      <c r="D266" s="333">
        <v>9419.7459999999992</v>
      </c>
      <c r="E266" s="348">
        <v>3188</v>
      </c>
      <c r="F266" s="333">
        <v>1922.364</v>
      </c>
      <c r="G266" s="348">
        <v>249</v>
      </c>
      <c r="H266" s="348"/>
      <c r="I266" s="348"/>
      <c r="J266" s="382">
        <f t="shared" si="49"/>
        <v>0.52856777493606133</v>
      </c>
      <c r="K266" s="382">
        <f t="shared" si="50"/>
        <v>57.087592173913038</v>
      </c>
      <c r="L266" s="382">
        <f t="shared" si="51"/>
        <v>47.071428571428569</v>
      </c>
      <c r="M266" s="382">
        <f t="shared" si="52"/>
        <v>15.821925925925926</v>
      </c>
      <c r="N266" s="330"/>
      <c r="O266" s="382">
        <f t="shared" si="48"/>
        <v>10.180153914088091</v>
      </c>
      <c r="P266" s="382" t="str">
        <f t="shared" si="53"/>
        <v>Sol modérément sodique – Risque modéré de sodicité</v>
      </c>
      <c r="Q266" s="382">
        <f t="shared" si="54"/>
        <v>0.52863145780051146</v>
      </c>
      <c r="R266" s="382">
        <f t="shared" si="55"/>
        <v>56.966159199652026</v>
      </c>
      <c r="S266" s="382">
        <f t="shared" si="56"/>
        <v>47.004720558882234</v>
      </c>
      <c r="T266" s="382">
        <f t="shared" si="57"/>
        <v>11.28552</v>
      </c>
      <c r="U266" s="382"/>
      <c r="V266" s="383">
        <f t="shared" si="58"/>
        <v>0.49199934223980518</v>
      </c>
      <c r="W266" s="386" t="str">
        <f t="shared" si="59"/>
        <v>Moderate to high</v>
      </c>
    </row>
    <row r="267" spans="1:23" x14ac:dyDescent="0.3">
      <c r="A267" s="348">
        <v>19061</v>
      </c>
      <c r="B267" s="333">
        <v>14141.3559</v>
      </c>
      <c r="C267" s="348">
        <v>13030</v>
      </c>
      <c r="D267" s="333">
        <v>9312.5409999999993</v>
      </c>
      <c r="E267" s="348">
        <v>4047</v>
      </c>
      <c r="F267" s="333">
        <v>2440.3409999999999</v>
      </c>
      <c r="G267" s="348">
        <v>458</v>
      </c>
      <c r="H267" s="348"/>
      <c r="I267" s="348"/>
      <c r="J267" s="382">
        <f t="shared" si="49"/>
        <v>0.97222506393861874</v>
      </c>
      <c r="K267" s="382">
        <f t="shared" si="50"/>
        <v>61.484156086956524</v>
      </c>
      <c r="L267" s="382">
        <f t="shared" si="51"/>
        <v>46.535714285714285</v>
      </c>
      <c r="M267" s="382">
        <f t="shared" si="52"/>
        <v>20.085111111111111</v>
      </c>
      <c r="N267" s="330"/>
      <c r="O267" s="382">
        <f t="shared" si="48"/>
        <v>10.653031463822394</v>
      </c>
      <c r="P267" s="382" t="str">
        <f t="shared" si="53"/>
        <v>Sol modérément sodique – Risque modéré de sodicité</v>
      </c>
      <c r="Q267" s="382">
        <f t="shared" si="54"/>
        <v>0.97234219948849099</v>
      </c>
      <c r="R267" s="382">
        <f t="shared" si="55"/>
        <v>61.35337103088299</v>
      </c>
      <c r="S267" s="382">
        <f t="shared" si="56"/>
        <v>46.469765469061869</v>
      </c>
      <c r="T267" s="382">
        <f t="shared" si="57"/>
        <v>14.32638</v>
      </c>
      <c r="U267" s="382"/>
      <c r="V267" s="383">
        <f t="shared" si="58"/>
        <v>0.49831420414680078</v>
      </c>
      <c r="W267" s="386" t="str">
        <f t="shared" si="59"/>
        <v>Moderate to high</v>
      </c>
    </row>
    <row r="268" spans="1:23" x14ac:dyDescent="0.3">
      <c r="A268" s="348">
        <v>21728</v>
      </c>
      <c r="B268" s="333">
        <v>16120.003199999999</v>
      </c>
      <c r="C268" s="348">
        <v>15198</v>
      </c>
      <c r="D268" s="333">
        <v>10862.0106</v>
      </c>
      <c r="E268" s="348">
        <v>4838</v>
      </c>
      <c r="F268" s="333">
        <v>2917.3139999999999</v>
      </c>
      <c r="G268" s="348">
        <v>387</v>
      </c>
      <c r="H268" s="348"/>
      <c r="I268" s="348"/>
      <c r="J268" s="382">
        <f t="shared" si="49"/>
        <v>0.82150895140664948</v>
      </c>
      <c r="K268" s="382">
        <f t="shared" si="50"/>
        <v>70.0869704347826</v>
      </c>
      <c r="L268" s="382">
        <f t="shared" si="51"/>
        <v>54.278571428571432</v>
      </c>
      <c r="M268" s="382">
        <f t="shared" si="52"/>
        <v>24.010814814814815</v>
      </c>
      <c r="N268" s="330"/>
      <c r="O268" s="382">
        <f t="shared" si="48"/>
        <v>11.202136009462192</v>
      </c>
      <c r="P268" s="382" t="str">
        <f t="shared" si="53"/>
        <v>Sol modérément sodique – Risque modéré de sodicité</v>
      </c>
      <c r="Q268" s="382">
        <f t="shared" si="54"/>
        <v>0.82160792838874674</v>
      </c>
      <c r="R268" s="382">
        <f t="shared" si="55"/>
        <v>69.937886037407566</v>
      </c>
      <c r="S268" s="382">
        <f t="shared" si="56"/>
        <v>54.2016497005988</v>
      </c>
      <c r="T268" s="382">
        <f t="shared" si="57"/>
        <v>17.126519999999999</v>
      </c>
      <c r="U268" s="382"/>
      <c r="V268" s="383">
        <f t="shared" si="58"/>
        <v>0.49221645449539786</v>
      </c>
      <c r="W268" s="386" t="str">
        <f t="shared" si="59"/>
        <v>Moderate to high</v>
      </c>
    </row>
    <row r="269" spans="1:23" x14ac:dyDescent="0.3">
      <c r="A269" s="348">
        <v>15010</v>
      </c>
      <c r="B269" s="333">
        <v>11135.919</v>
      </c>
      <c r="C269" s="348">
        <v>11694</v>
      </c>
      <c r="D269" s="333">
        <v>8357.7018000000007</v>
      </c>
      <c r="E269" s="348">
        <v>2125</v>
      </c>
      <c r="F269" s="333">
        <v>1281.375</v>
      </c>
      <c r="G269" s="348">
        <v>504</v>
      </c>
      <c r="H269" s="348"/>
      <c r="I269" s="348"/>
      <c r="J269" s="382">
        <f t="shared" si="49"/>
        <v>1.0698721227621484</v>
      </c>
      <c r="K269" s="382">
        <f t="shared" si="50"/>
        <v>48.41703913043478</v>
      </c>
      <c r="L269" s="382">
        <f t="shared" si="51"/>
        <v>41.76428571428572</v>
      </c>
      <c r="M269" s="382">
        <f t="shared" si="52"/>
        <v>10.546296296296296</v>
      </c>
      <c r="N269" s="330"/>
      <c r="O269" s="382">
        <f t="shared" si="48"/>
        <v>9.4671323618880994</v>
      </c>
      <c r="P269" s="382" t="str">
        <f t="shared" si="53"/>
        <v>Sol non sodique – Faible risque de dispersion, perméabilité normale</v>
      </c>
      <c r="Q269" s="382">
        <f t="shared" si="54"/>
        <v>1.0700010230179027</v>
      </c>
      <c r="R269" s="382">
        <f t="shared" si="55"/>
        <v>48.314049586776854</v>
      </c>
      <c r="S269" s="382">
        <f t="shared" si="56"/>
        <v>41.705098802395213</v>
      </c>
      <c r="T269" s="382">
        <f t="shared" si="57"/>
        <v>7.5225</v>
      </c>
      <c r="U269" s="382"/>
      <c r="V269" s="383">
        <f t="shared" si="58"/>
        <v>0.48994261707181697</v>
      </c>
      <c r="W269" s="386" t="str">
        <f t="shared" si="59"/>
        <v>Moderate to high</v>
      </c>
    </row>
    <row r="270" spans="1:23" x14ac:dyDescent="0.3">
      <c r="A270" s="348">
        <v>12097</v>
      </c>
      <c r="B270" s="333">
        <v>8974.7643000000007</v>
      </c>
      <c r="C270" s="348">
        <v>17109</v>
      </c>
      <c r="D270" s="333">
        <v>12227.802299999999</v>
      </c>
      <c r="E270" s="348">
        <v>3287</v>
      </c>
      <c r="F270" s="333">
        <v>1982.0609999999999</v>
      </c>
      <c r="G270" s="348">
        <v>444</v>
      </c>
      <c r="H270" s="348"/>
      <c r="I270" s="348"/>
      <c r="J270" s="382">
        <f t="shared" si="49"/>
        <v>0.9425063938618925</v>
      </c>
      <c r="K270" s="382">
        <f t="shared" si="50"/>
        <v>39.020714347826086</v>
      </c>
      <c r="L270" s="382">
        <f t="shared" si="51"/>
        <v>61.103571428571435</v>
      </c>
      <c r="M270" s="382">
        <f t="shared" si="52"/>
        <v>16.313259259259258</v>
      </c>
      <c r="N270" s="330"/>
      <c r="O270" s="382">
        <f t="shared" si="48"/>
        <v>6.271804602834683</v>
      </c>
      <c r="P270" s="382" t="str">
        <f t="shared" si="53"/>
        <v>Sol non sodique – Faible risque de dispersion, perméabilité normale</v>
      </c>
      <c r="Q270" s="382">
        <f t="shared" si="54"/>
        <v>0.94261994884910483</v>
      </c>
      <c r="R270" s="382">
        <f t="shared" si="55"/>
        <v>38.937712048716833</v>
      </c>
      <c r="S270" s="382">
        <f t="shared" si="56"/>
        <v>61.016977544910176</v>
      </c>
      <c r="T270" s="382">
        <f t="shared" si="57"/>
        <v>11.63598</v>
      </c>
      <c r="U270" s="382"/>
      <c r="V270" s="383">
        <f t="shared" si="58"/>
        <v>0.34601060901200836</v>
      </c>
      <c r="W270" s="386" t="str">
        <f t="shared" si="59"/>
        <v>Moderate to high</v>
      </c>
    </row>
    <row r="271" spans="1:23" x14ac:dyDescent="0.3">
      <c r="A271" s="348">
        <v>23019</v>
      </c>
      <c r="B271" s="333">
        <v>17077.7961</v>
      </c>
      <c r="C271" s="348">
        <v>12644</v>
      </c>
      <c r="D271" s="333">
        <v>9036.6668000000009</v>
      </c>
      <c r="E271" s="348">
        <v>2140</v>
      </c>
      <c r="F271" s="333">
        <v>1290.4199999999998</v>
      </c>
      <c r="G271" s="348">
        <v>537</v>
      </c>
      <c r="H271" s="348"/>
      <c r="I271" s="348"/>
      <c r="J271" s="382">
        <f t="shared" si="49"/>
        <v>1.1399232736572888</v>
      </c>
      <c r="K271" s="382">
        <f t="shared" si="50"/>
        <v>74.251287391304345</v>
      </c>
      <c r="L271" s="382">
        <f t="shared" si="51"/>
        <v>45.157142857142858</v>
      </c>
      <c r="M271" s="382">
        <f t="shared" si="52"/>
        <v>10.620740740740738</v>
      </c>
      <c r="N271" s="330"/>
      <c r="O271" s="382">
        <f t="shared" si="48"/>
        <v>14.060085770056622</v>
      </c>
      <c r="P271" s="382" t="str">
        <f t="shared" si="53"/>
        <v>Sol modérément sodique – Risque modéré de sodicité</v>
      </c>
      <c r="Q271" s="382">
        <f t="shared" si="54"/>
        <v>1.1400606138107416</v>
      </c>
      <c r="R271" s="382">
        <f t="shared" si="55"/>
        <v>74.093344932579384</v>
      </c>
      <c r="S271" s="382">
        <f t="shared" si="56"/>
        <v>45.09314770459082</v>
      </c>
      <c r="T271" s="382">
        <f t="shared" si="57"/>
        <v>7.5756000000000006</v>
      </c>
      <c r="U271" s="382"/>
      <c r="V271" s="383">
        <f t="shared" si="58"/>
        <v>0.57929708804187885</v>
      </c>
      <c r="W271" s="386" t="str">
        <f t="shared" si="59"/>
        <v>High to very high</v>
      </c>
    </row>
    <row r="272" spans="1:23" x14ac:dyDescent="0.3">
      <c r="A272" s="348">
        <v>22303</v>
      </c>
      <c r="B272" s="333">
        <v>16546.595700000002</v>
      </c>
      <c r="C272" s="348">
        <v>16260</v>
      </c>
      <c r="D272" s="333">
        <v>11621.022000000001</v>
      </c>
      <c r="E272" s="348">
        <v>4010</v>
      </c>
      <c r="F272" s="333">
        <v>2418.0299999999997</v>
      </c>
      <c r="G272" s="348">
        <v>457</v>
      </c>
      <c r="H272" s="348"/>
      <c r="I272" s="348"/>
      <c r="J272" s="382">
        <f t="shared" si="49"/>
        <v>0.97010230179028123</v>
      </c>
      <c r="K272" s="382">
        <f t="shared" si="50"/>
        <v>71.941720434782624</v>
      </c>
      <c r="L272" s="382">
        <f t="shared" si="51"/>
        <v>58.071428571428569</v>
      </c>
      <c r="M272" s="382">
        <f t="shared" si="52"/>
        <v>19.901481481481479</v>
      </c>
      <c r="N272" s="330"/>
      <c r="O272" s="382">
        <f t="shared" si="48"/>
        <v>11.521895866162422</v>
      </c>
      <c r="P272" s="382" t="str">
        <f t="shared" si="53"/>
        <v>Sol modérément sodique – Risque modéré de sodicité</v>
      </c>
      <c r="Q272" s="382">
        <f t="shared" si="54"/>
        <v>0.97021918158567766</v>
      </c>
      <c r="R272" s="382">
        <f t="shared" si="55"/>
        <v>71.788690735102222</v>
      </c>
      <c r="S272" s="382">
        <f t="shared" si="56"/>
        <v>57.98913173652695</v>
      </c>
      <c r="T272" s="382">
        <f t="shared" si="57"/>
        <v>14.195400000000001</v>
      </c>
      <c r="U272" s="382"/>
      <c r="V272" s="383">
        <f t="shared" si="58"/>
        <v>0.49528760954124856</v>
      </c>
      <c r="W272" s="386" t="str">
        <f t="shared" si="59"/>
        <v>Moderate to high</v>
      </c>
    </row>
    <row r="273" spans="1:23" x14ac:dyDescent="0.3">
      <c r="A273" s="348">
        <v>6310</v>
      </c>
      <c r="B273" s="333">
        <v>4681.3890000000001</v>
      </c>
      <c r="C273" s="348">
        <v>11917</v>
      </c>
      <c r="D273" s="333">
        <v>8517.0799000000006</v>
      </c>
      <c r="E273" s="348">
        <v>595</v>
      </c>
      <c r="F273" s="333">
        <v>358.78499999999997</v>
      </c>
      <c r="G273" s="348">
        <v>385</v>
      </c>
      <c r="H273" s="348"/>
      <c r="I273" s="348"/>
      <c r="J273" s="382">
        <f t="shared" si="49"/>
        <v>0.81726342710997446</v>
      </c>
      <c r="K273" s="382">
        <f t="shared" si="50"/>
        <v>20.353865217391306</v>
      </c>
      <c r="L273" s="382">
        <f t="shared" si="51"/>
        <v>42.560714285714283</v>
      </c>
      <c r="M273" s="382">
        <f t="shared" si="52"/>
        <v>2.9529629629629626</v>
      </c>
      <c r="N273" s="330"/>
      <c r="O273" s="382">
        <f t="shared" si="48"/>
        <v>4.2666884225358759</v>
      </c>
      <c r="P273" s="382" t="str">
        <f t="shared" si="53"/>
        <v>Sol non sodique – Faible risque de dispersion, perméabilité normale</v>
      </c>
      <c r="Q273" s="382">
        <f t="shared" si="54"/>
        <v>0.81736189258312009</v>
      </c>
      <c r="R273" s="382">
        <f t="shared" si="55"/>
        <v>20.310569812962154</v>
      </c>
      <c r="S273" s="382">
        <f t="shared" si="56"/>
        <v>42.500398702594815</v>
      </c>
      <c r="T273" s="382">
        <f t="shared" si="57"/>
        <v>2.1063000000000001</v>
      </c>
      <c r="U273" s="382"/>
      <c r="V273" s="383">
        <f t="shared" si="58"/>
        <v>0.30897823090897064</v>
      </c>
      <c r="W273" s="386" t="str">
        <f t="shared" si="59"/>
        <v>Moderate to high</v>
      </c>
    </row>
    <row r="274" spans="1:23" x14ac:dyDescent="0.3">
      <c r="A274" s="348">
        <v>4028</v>
      </c>
      <c r="B274" s="333">
        <v>2988.3732</v>
      </c>
      <c r="C274" s="348">
        <v>16379</v>
      </c>
      <c r="D274" s="333">
        <v>11706.0713</v>
      </c>
      <c r="E274" s="348">
        <v>1339</v>
      </c>
      <c r="F274" s="333">
        <v>807.41700000000003</v>
      </c>
      <c r="G274" s="348">
        <v>356</v>
      </c>
      <c r="H274" s="348"/>
      <c r="I274" s="348"/>
      <c r="J274" s="382">
        <f t="shared" si="49"/>
        <v>0.75570332480818403</v>
      </c>
      <c r="K274" s="382">
        <f t="shared" si="50"/>
        <v>12.992926956521739</v>
      </c>
      <c r="L274" s="382">
        <f t="shared" si="51"/>
        <v>58.496428571428567</v>
      </c>
      <c r="M274" s="382">
        <f t="shared" si="52"/>
        <v>6.6454074074074079</v>
      </c>
      <c r="N274" s="330"/>
      <c r="O274" s="382">
        <f t="shared" si="48"/>
        <v>2.2766276044277989</v>
      </c>
      <c r="P274" s="382" t="str">
        <f t="shared" si="53"/>
        <v>Sol non sodique – Faible risque de dispersion, perméabilité normale</v>
      </c>
      <c r="Q274" s="382">
        <f t="shared" si="54"/>
        <v>0.75579437340153455</v>
      </c>
      <c r="R274" s="382">
        <f t="shared" si="55"/>
        <v>12.965289256198346</v>
      </c>
      <c r="S274" s="382">
        <f t="shared" si="56"/>
        <v>58.41352944111776</v>
      </c>
      <c r="T274" s="382">
        <f t="shared" si="57"/>
        <v>4.7400600000000006</v>
      </c>
      <c r="U274" s="382"/>
      <c r="V274" s="383">
        <f t="shared" si="58"/>
        <v>0.168654886431471</v>
      </c>
      <c r="W274" s="386" t="str">
        <f t="shared" si="59"/>
        <v>Light to moderate</v>
      </c>
    </row>
    <row r="275" spans="1:23" x14ac:dyDescent="0.3">
      <c r="A275" s="348">
        <v>121671</v>
      </c>
      <c r="B275" s="333">
        <v>90267.714900000006</v>
      </c>
      <c r="C275" s="348">
        <v>39900</v>
      </c>
      <c r="D275" s="333">
        <v>28516.53</v>
      </c>
      <c r="E275" s="348">
        <v>9204</v>
      </c>
      <c r="F275" s="333">
        <v>5550.0119999999997</v>
      </c>
      <c r="G275" s="348">
        <v>1354</v>
      </c>
      <c r="H275" s="348"/>
      <c r="I275" s="348"/>
      <c r="J275" s="382">
        <f t="shared" si="49"/>
        <v>2.8742199488491047</v>
      </c>
      <c r="K275" s="382">
        <f t="shared" si="50"/>
        <v>392.46832565217397</v>
      </c>
      <c r="L275" s="382">
        <f t="shared" si="51"/>
        <v>142.5</v>
      </c>
      <c r="M275" s="382">
        <f t="shared" si="52"/>
        <v>45.679111111111105</v>
      </c>
      <c r="N275" s="330"/>
      <c r="O275" s="382">
        <f t="shared" si="48"/>
        <v>40.460747689594747</v>
      </c>
      <c r="P275" s="382" t="str">
        <f t="shared" si="53"/>
        <v>Sol très sodique – Très haut risque de dispersion, dégradation sévère</v>
      </c>
      <c r="Q275" s="382">
        <f t="shared" si="54"/>
        <v>2.8745662404092065</v>
      </c>
      <c r="R275" s="382">
        <f t="shared" si="55"/>
        <v>391.63349282296645</v>
      </c>
      <c r="S275" s="382">
        <f t="shared" si="56"/>
        <v>142.29805389221556</v>
      </c>
      <c r="T275" s="382">
        <f t="shared" si="57"/>
        <v>32.582160000000002</v>
      </c>
      <c r="U275" s="382"/>
      <c r="V275" s="383">
        <f t="shared" si="58"/>
        <v>0.68781446936036816</v>
      </c>
      <c r="W275" s="386" t="str">
        <f t="shared" si="59"/>
        <v>High to very high</v>
      </c>
    </row>
    <row r="276" spans="1:23" x14ac:dyDescent="0.3">
      <c r="A276" s="348">
        <v>13550</v>
      </c>
      <c r="B276" s="333">
        <v>10052.745000000001</v>
      </c>
      <c r="C276" s="348">
        <v>35734</v>
      </c>
      <c r="D276" s="333">
        <v>25539.089800000002</v>
      </c>
      <c r="E276" s="348">
        <v>1779</v>
      </c>
      <c r="F276" s="333">
        <v>1072.7369999999999</v>
      </c>
      <c r="G276" s="348">
        <v>626</v>
      </c>
      <c r="H276" s="348"/>
      <c r="I276" s="348"/>
      <c r="J276" s="382">
        <f t="shared" si="49"/>
        <v>1.3288491048593347</v>
      </c>
      <c r="K276" s="382">
        <f t="shared" si="50"/>
        <v>43.707586956521745</v>
      </c>
      <c r="L276" s="382">
        <f t="shared" si="51"/>
        <v>127.62142857142858</v>
      </c>
      <c r="M276" s="382">
        <f t="shared" si="52"/>
        <v>8.8291111111111107</v>
      </c>
      <c r="N276" s="330"/>
      <c r="O276" s="382">
        <f t="shared" si="48"/>
        <v>5.2915657799425508</v>
      </c>
      <c r="P276" s="382" t="str">
        <f t="shared" si="53"/>
        <v>Sol non sodique – Faible risque de dispersion, perméabilité normale</v>
      </c>
      <c r="Q276" s="382">
        <f t="shared" si="54"/>
        <v>1.3290092071611252</v>
      </c>
      <c r="R276" s="382">
        <f t="shared" si="55"/>
        <v>43.614615050021747</v>
      </c>
      <c r="S276" s="382">
        <f t="shared" si="56"/>
        <v>127.44056786427146</v>
      </c>
      <c r="T276" s="382">
        <f t="shared" si="57"/>
        <v>6.2976600000000005</v>
      </c>
      <c r="U276" s="382"/>
      <c r="V276" s="383">
        <f t="shared" si="58"/>
        <v>0.24409090532806793</v>
      </c>
      <c r="W276" s="386" t="str">
        <f t="shared" si="59"/>
        <v>Light to moderate</v>
      </c>
    </row>
    <row r="277" spans="1:23" x14ac:dyDescent="0.3">
      <c r="A277" s="348">
        <v>68570</v>
      </c>
      <c r="B277" s="333">
        <v>50872.082999999999</v>
      </c>
      <c r="C277" s="348">
        <v>43809</v>
      </c>
      <c r="D277" s="333">
        <v>31310.292300000001</v>
      </c>
      <c r="E277" s="348">
        <v>8159</v>
      </c>
      <c r="F277" s="333">
        <v>4919.8769999999995</v>
      </c>
      <c r="G277" s="348">
        <v>760</v>
      </c>
      <c r="H277" s="348"/>
      <c r="I277" s="348"/>
      <c r="J277" s="382">
        <f t="shared" si="49"/>
        <v>1.6132992327365727</v>
      </c>
      <c r="K277" s="382">
        <f t="shared" si="50"/>
        <v>221.18296956521741</v>
      </c>
      <c r="L277" s="382">
        <f t="shared" si="51"/>
        <v>156.46071428571429</v>
      </c>
      <c r="M277" s="382">
        <f t="shared" si="52"/>
        <v>40.492814814814814</v>
      </c>
      <c r="N277" s="330"/>
      <c r="O277" s="382">
        <f t="shared" si="48"/>
        <v>22.288703081613829</v>
      </c>
      <c r="P277" s="382" t="str">
        <f t="shared" si="53"/>
        <v>Sol sodique – Risque élevé de dispersion, structure du sol détériorée</v>
      </c>
      <c r="Q277" s="382">
        <f t="shared" si="54"/>
        <v>1.6134936061381073</v>
      </c>
      <c r="R277" s="382">
        <f t="shared" si="55"/>
        <v>220.71248368856024</v>
      </c>
      <c r="S277" s="382">
        <f t="shared" si="56"/>
        <v>156.23898353293413</v>
      </c>
      <c r="T277" s="382">
        <f t="shared" si="57"/>
        <v>28.882860000000001</v>
      </c>
      <c r="U277" s="382"/>
      <c r="V277" s="383">
        <f t="shared" si="58"/>
        <v>0.54169508930060239</v>
      </c>
      <c r="W277" s="386" t="str">
        <f t="shared" si="59"/>
        <v>High to very high</v>
      </c>
    </row>
    <row r="278" spans="1:23" x14ac:dyDescent="0.3">
      <c r="A278" s="348">
        <v>12031</v>
      </c>
      <c r="B278" s="333">
        <v>8925.7988999999998</v>
      </c>
      <c r="C278" s="348">
        <v>38913</v>
      </c>
      <c r="D278" s="333">
        <v>27811.1211</v>
      </c>
      <c r="E278" s="348">
        <v>2136</v>
      </c>
      <c r="F278" s="333">
        <v>1288.008</v>
      </c>
      <c r="G278" s="348">
        <v>440</v>
      </c>
      <c r="H278" s="348"/>
      <c r="I278" s="348"/>
      <c r="J278" s="382">
        <f t="shared" si="49"/>
        <v>0.93401534526854202</v>
      </c>
      <c r="K278" s="382">
        <f t="shared" si="50"/>
        <v>38.807821304347826</v>
      </c>
      <c r="L278" s="382">
        <f t="shared" si="51"/>
        <v>138.97499999999999</v>
      </c>
      <c r="M278" s="382">
        <f t="shared" si="52"/>
        <v>10.600888888888889</v>
      </c>
      <c r="N278" s="330"/>
      <c r="O278" s="382">
        <f t="shared" si="48"/>
        <v>4.487489686741303</v>
      </c>
      <c r="P278" s="382" t="str">
        <f t="shared" si="53"/>
        <v>Sol non sodique – Faible risque de dispersion, perméabilité normale</v>
      </c>
      <c r="Q278" s="382">
        <f t="shared" si="54"/>
        <v>0.93412787723785162</v>
      </c>
      <c r="R278" s="382">
        <f t="shared" si="55"/>
        <v>38.725271857329275</v>
      </c>
      <c r="S278" s="382">
        <f t="shared" si="56"/>
        <v>138.77804940119759</v>
      </c>
      <c r="T278" s="382">
        <f t="shared" si="57"/>
        <v>7.5614400000000002</v>
      </c>
      <c r="U278" s="382"/>
      <c r="V278" s="383">
        <f t="shared" si="58"/>
        <v>0.20820162979071793</v>
      </c>
      <c r="W278" s="386" t="str">
        <f t="shared" si="59"/>
        <v>Light to moderate</v>
      </c>
    </row>
    <row r="279" spans="1:23" x14ac:dyDescent="0.3">
      <c r="A279" s="348">
        <v>66276</v>
      </c>
      <c r="B279" s="333">
        <v>49170.164400000001</v>
      </c>
      <c r="C279" s="348">
        <v>20707</v>
      </c>
      <c r="D279" s="333">
        <v>14799.2929</v>
      </c>
      <c r="E279" s="348">
        <v>11530</v>
      </c>
      <c r="F279" s="333">
        <v>6952.59</v>
      </c>
      <c r="G279" s="348">
        <v>973</v>
      </c>
      <c r="H279" s="348"/>
      <c r="I279" s="348"/>
      <c r="J279" s="382">
        <f t="shared" si="49"/>
        <v>2.0654475703324806</v>
      </c>
      <c r="K279" s="382">
        <f t="shared" si="50"/>
        <v>213.78332347826088</v>
      </c>
      <c r="L279" s="382">
        <f t="shared" si="51"/>
        <v>73.953571428571436</v>
      </c>
      <c r="M279" s="382">
        <f t="shared" si="52"/>
        <v>57.22296296296296</v>
      </c>
      <c r="N279" s="330"/>
      <c r="O279" s="382">
        <f t="shared" si="48"/>
        <v>26.397375223679322</v>
      </c>
      <c r="P279" s="382" t="str">
        <f t="shared" si="53"/>
        <v>Sol très sodique – Très haut risque de dispersion, dégradation sévère</v>
      </c>
      <c r="Q279" s="382">
        <f t="shared" si="54"/>
        <v>2.0656964194373399</v>
      </c>
      <c r="R279" s="382">
        <f t="shared" si="55"/>
        <v>213.32857764245324</v>
      </c>
      <c r="S279" s="382">
        <f t="shared" si="56"/>
        <v>73.84876696606787</v>
      </c>
      <c r="T279" s="382">
        <f t="shared" si="57"/>
        <v>40.816200000000002</v>
      </c>
      <c r="U279" s="382"/>
      <c r="V279" s="383">
        <f t="shared" si="58"/>
        <v>0.64633420648380746</v>
      </c>
      <c r="W279" s="386" t="str">
        <f t="shared" si="59"/>
        <v>High to very high</v>
      </c>
    </row>
    <row r="280" spans="1:23" x14ac:dyDescent="0.3">
      <c r="A280" s="348">
        <v>11668</v>
      </c>
      <c r="B280" s="333">
        <v>8656.4892</v>
      </c>
      <c r="C280" s="348">
        <v>10749</v>
      </c>
      <c r="D280" s="333">
        <v>7682.3103000000001</v>
      </c>
      <c r="E280" s="348">
        <v>2412</v>
      </c>
      <c r="F280" s="333">
        <v>1454.4359999999999</v>
      </c>
      <c r="G280" s="348">
        <v>592</v>
      </c>
      <c r="H280" s="348"/>
      <c r="I280" s="348"/>
      <c r="J280" s="382">
        <f t="shared" si="49"/>
        <v>1.2566751918158565</v>
      </c>
      <c r="K280" s="382">
        <f t="shared" si="50"/>
        <v>37.636909565217387</v>
      </c>
      <c r="L280" s="382">
        <f t="shared" si="51"/>
        <v>38.38928571428572</v>
      </c>
      <c r="M280" s="382">
        <f t="shared" si="52"/>
        <v>11.970666666666666</v>
      </c>
      <c r="N280" s="330"/>
      <c r="O280" s="382">
        <f t="shared" si="48"/>
        <v>7.5004323440661862</v>
      </c>
      <c r="P280" s="382" t="str">
        <f t="shared" si="53"/>
        <v>Sol non sodique – Faible risque de dispersion, perméabilité normale</v>
      </c>
      <c r="Q280" s="382">
        <f t="shared" si="54"/>
        <v>1.2568265984654732</v>
      </c>
      <c r="R280" s="382">
        <f t="shared" si="55"/>
        <v>37.556850804697696</v>
      </c>
      <c r="S280" s="382">
        <f t="shared" si="56"/>
        <v>38.334881736526945</v>
      </c>
      <c r="T280" s="382">
        <f t="shared" si="57"/>
        <v>8.5384799999999998</v>
      </c>
      <c r="U280" s="382"/>
      <c r="V280" s="383">
        <f t="shared" si="58"/>
        <v>0.43830258556922663</v>
      </c>
      <c r="W280" s="386" t="str">
        <f t="shared" si="59"/>
        <v>Moderate to high</v>
      </c>
    </row>
    <row r="281" spans="1:23" x14ac:dyDescent="0.3">
      <c r="A281" s="348">
        <v>1845</v>
      </c>
      <c r="B281" s="333">
        <v>1368.8054999999999</v>
      </c>
      <c r="C281" s="348">
        <v>42612</v>
      </c>
      <c r="D281" s="333">
        <v>30454.796399999999</v>
      </c>
      <c r="E281" s="348">
        <v>579</v>
      </c>
      <c r="F281" s="333">
        <v>349.137</v>
      </c>
      <c r="G281" s="348">
        <v>233</v>
      </c>
      <c r="H281" s="348"/>
      <c r="I281" s="348"/>
      <c r="J281" s="382">
        <f t="shared" si="49"/>
        <v>0.49460358056265979</v>
      </c>
      <c r="K281" s="382">
        <f t="shared" si="50"/>
        <v>5.9513282608695652</v>
      </c>
      <c r="L281" s="382">
        <f t="shared" si="51"/>
        <v>152.18571428571428</v>
      </c>
      <c r="M281" s="382">
        <f t="shared" si="52"/>
        <v>2.8735555555555554</v>
      </c>
      <c r="N281" s="330"/>
      <c r="O281" s="382">
        <f t="shared" si="48"/>
        <v>0.6758962487451734</v>
      </c>
      <c r="P281" s="382" t="str">
        <f t="shared" si="53"/>
        <v>Sol non sodique – Faible risque de dispersion, perméabilité normale</v>
      </c>
      <c r="Q281" s="382">
        <f t="shared" si="54"/>
        <v>0.4946631713554987</v>
      </c>
      <c r="R281" s="382">
        <f t="shared" si="55"/>
        <v>5.9386689865158759</v>
      </c>
      <c r="S281" s="382">
        <f t="shared" si="56"/>
        <v>151.97004191616765</v>
      </c>
      <c r="T281" s="382">
        <f t="shared" si="57"/>
        <v>2.0496600000000003</v>
      </c>
      <c r="U281" s="382"/>
      <c r="V281" s="383">
        <f t="shared" si="58"/>
        <v>3.701188338872765E-2</v>
      </c>
      <c r="W281" s="386" t="str">
        <f t="shared" si="59"/>
        <v>None to slight</v>
      </c>
    </row>
    <row r="282" spans="1:23" x14ac:dyDescent="0.3">
      <c r="A282" s="348">
        <v>2502</v>
      </c>
      <c r="B282" s="333">
        <v>1856.2338</v>
      </c>
      <c r="C282" s="348">
        <v>40356</v>
      </c>
      <c r="D282" s="333">
        <v>28842.433199999999</v>
      </c>
      <c r="E282" s="348">
        <v>710</v>
      </c>
      <c r="F282" s="333">
        <v>428.13</v>
      </c>
      <c r="G282" s="348">
        <v>248</v>
      </c>
      <c r="H282" s="348"/>
      <c r="I282" s="348"/>
      <c r="J282" s="382">
        <f t="shared" si="49"/>
        <v>0.52644501278772371</v>
      </c>
      <c r="K282" s="382">
        <f t="shared" si="50"/>
        <v>8.070581739130434</v>
      </c>
      <c r="L282" s="382">
        <f t="shared" si="51"/>
        <v>144.12857142857143</v>
      </c>
      <c r="M282" s="382">
        <f t="shared" si="52"/>
        <v>3.523703703703704</v>
      </c>
      <c r="N282" s="330"/>
      <c r="O282" s="382">
        <f t="shared" si="48"/>
        <v>0.93929014685601731</v>
      </c>
      <c r="P282" s="382" t="str">
        <f t="shared" si="53"/>
        <v>Sol non sodique – Faible risque de dispersion, perméabilité normale</v>
      </c>
      <c r="Q282" s="382">
        <f t="shared" si="54"/>
        <v>0.52650843989769813</v>
      </c>
      <c r="R282" s="382">
        <f t="shared" si="55"/>
        <v>8.0534145280556757</v>
      </c>
      <c r="S282" s="382">
        <f t="shared" si="56"/>
        <v>143.92431736526945</v>
      </c>
      <c r="T282" s="382">
        <f t="shared" si="57"/>
        <v>2.5134000000000003</v>
      </c>
      <c r="U282" s="382"/>
      <c r="V282" s="383">
        <f t="shared" si="58"/>
        <v>5.1951600545229674E-2</v>
      </c>
      <c r="W282" s="386" t="str">
        <f t="shared" si="59"/>
        <v>None to slight</v>
      </c>
    </row>
    <row r="283" spans="1:23" x14ac:dyDescent="0.3">
      <c r="A283" s="348">
        <v>5272</v>
      </c>
      <c r="B283" s="333">
        <v>3911.2968000000001</v>
      </c>
      <c r="C283" s="348">
        <v>12550</v>
      </c>
      <c r="D283" s="333">
        <v>8969.4850000000006</v>
      </c>
      <c r="E283" s="348">
        <v>2430</v>
      </c>
      <c r="F283" s="333">
        <v>1465.29</v>
      </c>
      <c r="G283" s="348">
        <v>441</v>
      </c>
      <c r="H283" s="348"/>
      <c r="I283" s="348"/>
      <c r="J283" s="382">
        <f t="shared" si="49"/>
        <v>0.93613810741687964</v>
      </c>
      <c r="K283" s="382">
        <f t="shared" si="50"/>
        <v>17.005638260869567</v>
      </c>
      <c r="L283" s="382">
        <f t="shared" si="51"/>
        <v>44.821428571428569</v>
      </c>
      <c r="M283" s="382">
        <f t="shared" si="52"/>
        <v>12.059999999999999</v>
      </c>
      <c r="N283" s="330"/>
      <c r="O283" s="382">
        <f t="shared" si="48"/>
        <v>3.1887662656098903</v>
      </c>
      <c r="P283" s="382" t="str">
        <f t="shared" si="53"/>
        <v>Sol non sodique – Faible risque de dispersion, perméabilité normale</v>
      </c>
      <c r="Q283" s="382">
        <f t="shared" si="54"/>
        <v>0.93625089514066495</v>
      </c>
      <c r="R283" s="382">
        <f t="shared" si="55"/>
        <v>16.969464984775989</v>
      </c>
      <c r="S283" s="382">
        <f t="shared" si="56"/>
        <v>44.757909181636727</v>
      </c>
      <c r="T283" s="382">
        <f t="shared" si="57"/>
        <v>8.6021999999999998</v>
      </c>
      <c r="U283" s="382"/>
      <c r="V283" s="383">
        <f t="shared" si="58"/>
        <v>0.23811504280093862</v>
      </c>
      <c r="W283" s="386" t="str">
        <f t="shared" si="59"/>
        <v>Light to moderate</v>
      </c>
    </row>
    <row r="284" spans="1:23" x14ac:dyDescent="0.3">
      <c r="A284" s="348">
        <v>1468</v>
      </c>
      <c r="B284" s="333">
        <v>1089.1092000000001</v>
      </c>
      <c r="C284" s="348">
        <v>11147</v>
      </c>
      <c r="D284" s="333">
        <v>7966.7609000000002</v>
      </c>
      <c r="E284" s="348">
        <v>995</v>
      </c>
      <c r="F284" s="333">
        <v>599.98500000000001</v>
      </c>
      <c r="G284" s="348">
        <v>385</v>
      </c>
      <c r="H284" s="348"/>
      <c r="I284" s="348"/>
      <c r="J284" s="382">
        <f t="shared" si="49"/>
        <v>0.81726342710997446</v>
      </c>
      <c r="K284" s="382">
        <f t="shared" si="50"/>
        <v>4.7352573913043479</v>
      </c>
      <c r="L284" s="382">
        <f t="shared" si="51"/>
        <v>39.810714285714283</v>
      </c>
      <c r="M284" s="382">
        <f t="shared" si="52"/>
        <v>4.938148148148148</v>
      </c>
      <c r="N284" s="330"/>
      <c r="O284" s="382">
        <f t="shared" si="48"/>
        <v>1.0010772425913166</v>
      </c>
      <c r="P284" s="382" t="str">
        <f t="shared" si="53"/>
        <v>Sol non sodique – Faible risque de dispersion, perméabilité normale</v>
      </c>
      <c r="Q284" s="382">
        <f t="shared" si="54"/>
        <v>0.81736189258312009</v>
      </c>
      <c r="R284" s="382">
        <f t="shared" si="55"/>
        <v>4.7251848629839053</v>
      </c>
      <c r="S284" s="382">
        <f t="shared" si="56"/>
        <v>39.754295908183636</v>
      </c>
      <c r="T284" s="382">
        <f t="shared" si="57"/>
        <v>3.5223</v>
      </c>
      <c r="U284" s="382"/>
      <c r="V284" s="383">
        <f t="shared" si="58"/>
        <v>9.6789591237382872E-2</v>
      </c>
      <c r="W284" s="386" t="str">
        <f t="shared" si="59"/>
        <v>None to slight</v>
      </c>
    </row>
    <row r="285" spans="1:23" x14ac:dyDescent="0.3">
      <c r="A285" s="348">
        <v>33086</v>
      </c>
      <c r="B285" s="333">
        <v>24546.503400000001</v>
      </c>
      <c r="C285" s="348">
        <v>43724</v>
      </c>
      <c r="D285" s="333">
        <v>31249.542799999999</v>
      </c>
      <c r="E285" s="348">
        <v>961</v>
      </c>
      <c r="F285" s="333">
        <v>579.48299999999995</v>
      </c>
      <c r="G285" s="348">
        <v>185</v>
      </c>
      <c r="H285" s="348"/>
      <c r="I285" s="348"/>
      <c r="J285" s="382">
        <f t="shared" si="49"/>
        <v>0.39271099744245519</v>
      </c>
      <c r="K285" s="382">
        <f t="shared" si="50"/>
        <v>106.72392782608696</v>
      </c>
      <c r="L285" s="382">
        <f t="shared" si="51"/>
        <v>156.15714285714287</v>
      </c>
      <c r="M285" s="382">
        <f t="shared" si="52"/>
        <v>4.7694074074074067</v>
      </c>
      <c r="N285" s="330"/>
      <c r="O285" s="382">
        <f t="shared" si="48"/>
        <v>11.897698178876912</v>
      </c>
      <c r="P285" s="382" t="str">
        <f t="shared" si="53"/>
        <v>Sol modérément sodique – Risque modéré de sodicité</v>
      </c>
      <c r="Q285" s="382">
        <f t="shared" si="54"/>
        <v>0.39275831202046035</v>
      </c>
      <c r="R285" s="382">
        <f t="shared" si="55"/>
        <v>106.49691170073945</v>
      </c>
      <c r="S285" s="382">
        <f t="shared" si="56"/>
        <v>155.93584231536926</v>
      </c>
      <c r="T285" s="382">
        <f t="shared" si="57"/>
        <v>3.4019400000000002</v>
      </c>
      <c r="U285" s="382"/>
      <c r="V285" s="383">
        <f t="shared" si="58"/>
        <v>0.40002227707712301</v>
      </c>
      <c r="W285" s="386" t="str">
        <f t="shared" si="59"/>
        <v>Moderate to high</v>
      </c>
    </row>
    <row r="286" spans="1:23" x14ac:dyDescent="0.3">
      <c r="A286" s="348">
        <v>20347</v>
      </c>
      <c r="B286" s="333">
        <v>15095.4393</v>
      </c>
      <c r="C286" s="348">
        <v>42875</v>
      </c>
      <c r="D286" s="333">
        <v>30642.762500000001</v>
      </c>
      <c r="E286" s="348">
        <v>2817</v>
      </c>
      <c r="F286" s="333">
        <v>1698.6509999999998</v>
      </c>
      <c r="G286" s="348">
        <v>290</v>
      </c>
      <c r="H286" s="348"/>
      <c r="I286" s="348"/>
      <c r="J286" s="382">
        <f t="shared" si="49"/>
        <v>0.61560102301790276</v>
      </c>
      <c r="K286" s="382">
        <f t="shared" si="50"/>
        <v>65.632344782608698</v>
      </c>
      <c r="L286" s="382">
        <f t="shared" si="51"/>
        <v>153.125</v>
      </c>
      <c r="M286" s="382">
        <f t="shared" si="52"/>
        <v>13.980666666666664</v>
      </c>
      <c r="N286" s="330"/>
      <c r="O286" s="382">
        <f t="shared" si="48"/>
        <v>7.1802130261356085</v>
      </c>
      <c r="P286" s="382" t="str">
        <f t="shared" si="53"/>
        <v>Sol non sodique – Faible risque de dispersion, perméabilité normale</v>
      </c>
      <c r="Q286" s="382">
        <f t="shared" si="54"/>
        <v>0.61567519181585673</v>
      </c>
      <c r="R286" s="382">
        <f t="shared" si="55"/>
        <v>65.49273597216181</v>
      </c>
      <c r="S286" s="382">
        <f t="shared" si="56"/>
        <v>152.90799650698602</v>
      </c>
      <c r="T286" s="382">
        <f t="shared" si="57"/>
        <v>9.9721799999999998</v>
      </c>
      <c r="U286" s="382"/>
      <c r="V286" s="383">
        <f t="shared" si="58"/>
        <v>0.28600873361544576</v>
      </c>
      <c r="W286" s="386" t="str">
        <f t="shared" si="59"/>
        <v>Light to moderate</v>
      </c>
    </row>
    <row r="287" spans="1:23" x14ac:dyDescent="0.3">
      <c r="A287" s="348">
        <v>8560</v>
      </c>
      <c r="B287" s="333">
        <v>6350.6639999999998</v>
      </c>
      <c r="C287" s="348">
        <v>8809</v>
      </c>
      <c r="D287" s="333">
        <v>6295.7923000000001</v>
      </c>
      <c r="E287" s="348">
        <v>471</v>
      </c>
      <c r="F287" s="333">
        <v>284.01299999999998</v>
      </c>
      <c r="G287" s="348">
        <v>178</v>
      </c>
      <c r="H287" s="348"/>
      <c r="I287" s="348"/>
      <c r="J287" s="382">
        <f t="shared" si="49"/>
        <v>0.37785166240409201</v>
      </c>
      <c r="K287" s="382">
        <f t="shared" si="50"/>
        <v>27.611582608695649</v>
      </c>
      <c r="L287" s="382">
        <f t="shared" si="51"/>
        <v>31.460714285714282</v>
      </c>
      <c r="M287" s="382">
        <f t="shared" si="52"/>
        <v>2.3375555555555554</v>
      </c>
      <c r="N287" s="330"/>
      <c r="O287" s="382">
        <f t="shared" si="48"/>
        <v>6.7167481299566321</v>
      </c>
      <c r="P287" s="382" t="str">
        <f t="shared" si="53"/>
        <v>Sol non sodique – Faible risque de dispersion, perméabilité normale</v>
      </c>
      <c r="Q287" s="382">
        <f t="shared" si="54"/>
        <v>0.37789718670076727</v>
      </c>
      <c r="R287" s="382">
        <f t="shared" si="55"/>
        <v>27.552849064810786</v>
      </c>
      <c r="S287" s="382">
        <f t="shared" si="56"/>
        <v>31.416129241516966</v>
      </c>
      <c r="T287" s="382">
        <f t="shared" si="57"/>
        <v>1.66734</v>
      </c>
      <c r="U287" s="382"/>
      <c r="V287" s="383">
        <f t="shared" si="58"/>
        <v>0.45158081345746337</v>
      </c>
      <c r="W287" s="386" t="str">
        <f t="shared" si="59"/>
        <v>Moderate to high</v>
      </c>
    </row>
    <row r="288" spans="1:23" x14ac:dyDescent="0.3">
      <c r="A288" s="346">
        <v>20841</v>
      </c>
      <c r="B288" s="333">
        <v>15461.937900000001</v>
      </c>
      <c r="C288" s="346">
        <v>12879</v>
      </c>
      <c r="D288" s="333">
        <v>9204.6213000000007</v>
      </c>
      <c r="E288" s="346">
        <v>2183</v>
      </c>
      <c r="F288" s="333">
        <v>1316.3489999999999</v>
      </c>
      <c r="G288" s="346">
        <v>417</v>
      </c>
      <c r="H288" s="346"/>
      <c r="I288" s="346"/>
      <c r="J288" s="382">
        <f t="shared" si="49"/>
        <v>0.88519181585677742</v>
      </c>
      <c r="K288" s="382">
        <f t="shared" si="50"/>
        <v>67.22581695652174</v>
      </c>
      <c r="L288" s="382">
        <f t="shared" si="51"/>
        <v>45.996428571428567</v>
      </c>
      <c r="M288" s="382">
        <f t="shared" si="52"/>
        <v>10.834148148148147</v>
      </c>
      <c r="N288" s="330"/>
      <c r="O288" s="382">
        <f t="shared" si="48"/>
        <v>12.611305747964963</v>
      </c>
      <c r="P288" s="382" t="str">
        <f t="shared" si="53"/>
        <v>Sol modérément sodique – Risque modéré de sodicité</v>
      </c>
      <c r="Q288" s="382">
        <f t="shared" si="54"/>
        <v>0.88529846547314583</v>
      </c>
      <c r="R288" s="382">
        <f t="shared" si="55"/>
        <v>67.082818616789908</v>
      </c>
      <c r="S288" s="382">
        <f t="shared" si="56"/>
        <v>45.931244011976048</v>
      </c>
      <c r="T288" s="382">
        <f t="shared" si="57"/>
        <v>7.7278200000000004</v>
      </c>
      <c r="U288" s="382"/>
      <c r="V288" s="383">
        <f t="shared" si="58"/>
        <v>0.55154463018272903</v>
      </c>
      <c r="W288" s="386" t="str">
        <f t="shared" si="59"/>
        <v>High to very high</v>
      </c>
    </row>
    <row r="289" spans="1:23" x14ac:dyDescent="0.3">
      <c r="A289" s="346">
        <v>11453</v>
      </c>
      <c r="B289" s="333">
        <v>8496.9807000000001</v>
      </c>
      <c r="C289" s="346">
        <v>9997</v>
      </c>
      <c r="D289" s="333">
        <v>7144.8559000000005</v>
      </c>
      <c r="E289" s="346">
        <v>988</v>
      </c>
      <c r="F289" s="333">
        <v>595.76400000000001</v>
      </c>
      <c r="G289" s="346">
        <v>177</v>
      </c>
      <c r="H289" s="346"/>
      <c r="I289" s="346"/>
      <c r="J289" s="382">
        <f t="shared" si="49"/>
        <v>0.37572890025575445</v>
      </c>
      <c r="K289" s="382">
        <f t="shared" si="50"/>
        <v>36.943394347826086</v>
      </c>
      <c r="L289" s="382">
        <f t="shared" si="51"/>
        <v>35.703571428571429</v>
      </c>
      <c r="M289" s="382">
        <f t="shared" si="52"/>
        <v>4.903407407407407</v>
      </c>
      <c r="N289" s="330"/>
      <c r="O289" s="382">
        <f t="shared" si="48"/>
        <v>8.1988219293283073</v>
      </c>
      <c r="P289" s="382" t="str">
        <f t="shared" si="53"/>
        <v>Sol non sodique – Faible risque de dispersion, perméabilité normale</v>
      </c>
      <c r="Q289" s="382">
        <f t="shared" si="54"/>
        <v>0.37577416879795394</v>
      </c>
      <c r="R289" s="382">
        <f t="shared" si="55"/>
        <v>36.864810787298822</v>
      </c>
      <c r="S289" s="382">
        <f t="shared" si="56"/>
        <v>35.65297355289421</v>
      </c>
      <c r="T289" s="382">
        <f t="shared" si="57"/>
        <v>3.4975200000000002</v>
      </c>
      <c r="U289" s="382"/>
      <c r="V289" s="383">
        <f t="shared" si="58"/>
        <v>0.4825800539386278</v>
      </c>
      <c r="W289" s="386" t="str">
        <f t="shared" si="59"/>
        <v>Moderate to high</v>
      </c>
    </row>
    <row r="290" spans="1:23" x14ac:dyDescent="0.3">
      <c r="A290" s="346">
        <v>17626</v>
      </c>
      <c r="B290" s="333">
        <v>13076.7294</v>
      </c>
      <c r="C290" s="346">
        <v>15560</v>
      </c>
      <c r="D290" s="333">
        <v>11120.732</v>
      </c>
      <c r="E290" s="346">
        <v>4052</v>
      </c>
      <c r="F290" s="333">
        <v>2443.3559999999998</v>
      </c>
      <c r="G290" s="346">
        <v>145</v>
      </c>
      <c r="H290" s="346"/>
      <c r="I290" s="346"/>
      <c r="J290" s="382">
        <f t="shared" si="49"/>
        <v>0.30780051150895138</v>
      </c>
      <c r="K290" s="382">
        <f t="shared" si="50"/>
        <v>56.855345217391303</v>
      </c>
      <c r="L290" s="382">
        <f t="shared" si="51"/>
        <v>55.571428571428569</v>
      </c>
      <c r="M290" s="382">
        <f t="shared" si="52"/>
        <v>20.109925925925921</v>
      </c>
      <c r="N290" s="330"/>
      <c r="O290" s="382">
        <f t="shared" si="48"/>
        <v>9.2425508917776238</v>
      </c>
      <c r="P290" s="382" t="str">
        <f t="shared" si="53"/>
        <v>Sol non sodique – Faible risque de dispersion, perméabilité normale</v>
      </c>
      <c r="Q290" s="382">
        <f t="shared" si="54"/>
        <v>0.30783759590792836</v>
      </c>
      <c r="R290" s="382">
        <f t="shared" si="55"/>
        <v>56.734406263592867</v>
      </c>
      <c r="S290" s="382">
        <f t="shared" si="56"/>
        <v>55.492674650698604</v>
      </c>
      <c r="T290" s="382">
        <f t="shared" si="57"/>
        <v>14.34408</v>
      </c>
      <c r="U290" s="382"/>
      <c r="V290" s="383">
        <f t="shared" si="58"/>
        <v>0.44715364189316303</v>
      </c>
      <c r="W290" s="386" t="str">
        <f t="shared" si="59"/>
        <v>Moderate to high</v>
      </c>
    </row>
    <row r="291" spans="1:23" x14ac:dyDescent="0.3">
      <c r="A291" s="348">
        <v>21301</v>
      </c>
      <c r="B291" s="333">
        <v>15803.2119</v>
      </c>
      <c r="C291" s="348">
        <v>10269</v>
      </c>
      <c r="D291" s="333">
        <v>7339.2542999999996</v>
      </c>
      <c r="E291" s="348">
        <v>1104</v>
      </c>
      <c r="F291" s="333">
        <v>665.71199999999999</v>
      </c>
      <c r="G291" s="348">
        <v>232</v>
      </c>
      <c r="H291" s="348"/>
      <c r="I291" s="348"/>
      <c r="J291" s="382">
        <f t="shared" si="49"/>
        <v>0.49248081841432223</v>
      </c>
      <c r="K291" s="382">
        <f t="shared" si="50"/>
        <v>68.709616956521742</v>
      </c>
      <c r="L291" s="382">
        <f t="shared" si="51"/>
        <v>36.674999999999997</v>
      </c>
      <c r="M291" s="382">
        <f t="shared" si="52"/>
        <v>5.479111111111111</v>
      </c>
      <c r="N291" s="330"/>
      <c r="O291" s="382">
        <f t="shared" si="48"/>
        <v>14.966234899044075</v>
      </c>
      <c r="P291" s="382" t="str">
        <f t="shared" si="53"/>
        <v>Sol modérément sodique – Risque modéré de sodicité</v>
      </c>
      <c r="Q291" s="382">
        <f t="shared" si="54"/>
        <v>0.49254015345268537</v>
      </c>
      <c r="R291" s="382">
        <f t="shared" si="55"/>
        <v>68.56346237494563</v>
      </c>
      <c r="S291" s="382">
        <f t="shared" si="56"/>
        <v>36.623025449101796</v>
      </c>
      <c r="T291" s="382">
        <f t="shared" si="57"/>
        <v>3.9081600000000001</v>
      </c>
      <c r="U291" s="382"/>
      <c r="V291" s="383">
        <f t="shared" si="58"/>
        <v>0.62565217376526472</v>
      </c>
      <c r="W291" s="386" t="str">
        <f t="shared" si="59"/>
        <v>High to very high</v>
      </c>
    </row>
    <row r="292" spans="1:23" x14ac:dyDescent="0.3">
      <c r="A292" s="348">
        <v>21677</v>
      </c>
      <c r="B292" s="333">
        <v>16082.166300000001</v>
      </c>
      <c r="C292" s="348">
        <v>11629</v>
      </c>
      <c r="D292" s="333">
        <v>8311.2463000000007</v>
      </c>
      <c r="E292" s="348">
        <v>3074</v>
      </c>
      <c r="F292" s="333">
        <v>1853.6219999999998</v>
      </c>
      <c r="G292" s="348">
        <v>168</v>
      </c>
      <c r="H292" s="348"/>
      <c r="I292" s="348"/>
      <c r="J292" s="382">
        <f t="shared" si="49"/>
        <v>0.35662404092071609</v>
      </c>
      <c r="K292" s="382">
        <f t="shared" si="50"/>
        <v>69.922462173913047</v>
      </c>
      <c r="L292" s="382">
        <f t="shared" si="51"/>
        <v>41.532142857142858</v>
      </c>
      <c r="M292" s="382">
        <f t="shared" si="52"/>
        <v>15.256148148148146</v>
      </c>
      <c r="N292" s="330"/>
      <c r="O292" s="382">
        <f t="shared" si="48"/>
        <v>13.122068813794094</v>
      </c>
      <c r="P292" s="382" t="str">
        <f t="shared" si="53"/>
        <v>Sol modérément sodique – Risque modéré de sodicité</v>
      </c>
      <c r="Q292" s="382">
        <f t="shared" si="54"/>
        <v>0.35666700767263426</v>
      </c>
      <c r="R292" s="382">
        <f t="shared" si="55"/>
        <v>69.773727707698995</v>
      </c>
      <c r="S292" s="382">
        <f t="shared" si="56"/>
        <v>41.47328493013972</v>
      </c>
      <c r="T292" s="382">
        <f t="shared" si="57"/>
        <v>10.881960000000001</v>
      </c>
      <c r="U292" s="382"/>
      <c r="V292" s="383">
        <f t="shared" si="58"/>
        <v>0.56964822904654633</v>
      </c>
      <c r="W292" s="386" t="str">
        <f t="shared" si="59"/>
        <v>High to very high</v>
      </c>
    </row>
    <row r="293" spans="1:23" x14ac:dyDescent="0.3">
      <c r="A293" s="348">
        <v>15024</v>
      </c>
      <c r="B293" s="333">
        <v>11146.3056</v>
      </c>
      <c r="C293" s="348">
        <v>10392</v>
      </c>
      <c r="D293" s="333">
        <v>7427.1624000000002</v>
      </c>
      <c r="E293" s="348">
        <v>982</v>
      </c>
      <c r="F293" s="333">
        <v>592.14599999999996</v>
      </c>
      <c r="G293" s="348">
        <v>169</v>
      </c>
      <c r="H293" s="348"/>
      <c r="I293" s="348"/>
      <c r="J293" s="382">
        <f t="shared" si="49"/>
        <v>0.35874680306905365</v>
      </c>
      <c r="K293" s="382">
        <f t="shared" si="50"/>
        <v>48.46219826086957</v>
      </c>
      <c r="L293" s="382">
        <f t="shared" si="51"/>
        <v>37.114285714285714</v>
      </c>
      <c r="M293" s="382">
        <f t="shared" si="52"/>
        <v>4.8736296296296295</v>
      </c>
      <c r="N293" s="330"/>
      <c r="O293" s="382">
        <f t="shared" si="48"/>
        <v>10.576840406808305</v>
      </c>
      <c r="P293" s="382" t="str">
        <f t="shared" si="53"/>
        <v>Sol modérément sodique – Risque modéré de sodicité</v>
      </c>
      <c r="Q293" s="382">
        <f t="shared" si="54"/>
        <v>0.35879002557544759</v>
      </c>
      <c r="R293" s="382">
        <f t="shared" si="55"/>
        <v>48.359112657677251</v>
      </c>
      <c r="S293" s="382">
        <f t="shared" si="56"/>
        <v>37.061688622754488</v>
      </c>
      <c r="T293" s="382">
        <f t="shared" si="57"/>
        <v>3.47628</v>
      </c>
      <c r="U293" s="382"/>
      <c r="V293" s="383">
        <f t="shared" si="58"/>
        <v>0.54180315479618812</v>
      </c>
      <c r="W293" s="386" t="str">
        <f t="shared" si="59"/>
        <v>High to very high</v>
      </c>
    </row>
    <row r="294" spans="1:23" x14ac:dyDescent="0.3">
      <c r="A294" s="348">
        <v>21765</v>
      </c>
      <c r="B294" s="333">
        <v>16147.4535</v>
      </c>
      <c r="C294" s="348">
        <v>14062</v>
      </c>
      <c r="D294" s="333">
        <v>10050.1114</v>
      </c>
      <c r="E294" s="348">
        <v>2559</v>
      </c>
      <c r="F294" s="333">
        <v>1543.077</v>
      </c>
      <c r="G294" s="348">
        <v>140</v>
      </c>
      <c r="H294" s="348"/>
      <c r="I294" s="348"/>
      <c r="J294" s="382">
        <f t="shared" si="49"/>
        <v>0.29718670076726339</v>
      </c>
      <c r="K294" s="382">
        <f t="shared" si="50"/>
        <v>70.206319565217385</v>
      </c>
      <c r="L294" s="382">
        <f t="shared" si="51"/>
        <v>50.221428571428568</v>
      </c>
      <c r="M294" s="382">
        <f t="shared" si="52"/>
        <v>12.700222222222223</v>
      </c>
      <c r="N294" s="330"/>
      <c r="O294" s="382">
        <f t="shared" si="48"/>
        <v>12.516737672623766</v>
      </c>
      <c r="P294" s="382" t="str">
        <f t="shared" si="53"/>
        <v>Sol modérément sodique – Risque modéré de sodicité</v>
      </c>
      <c r="Q294" s="382">
        <f t="shared" si="54"/>
        <v>0.29722250639386188</v>
      </c>
      <c r="R294" s="382">
        <f t="shared" si="55"/>
        <v>70.056981296215753</v>
      </c>
      <c r="S294" s="382">
        <f t="shared" si="56"/>
        <v>50.150256487025949</v>
      </c>
      <c r="T294" s="382">
        <f t="shared" si="57"/>
        <v>9.058860000000001</v>
      </c>
      <c r="U294" s="382"/>
      <c r="V294" s="383">
        <f t="shared" si="58"/>
        <v>0.54071616210209117</v>
      </c>
      <c r="W294" s="386" t="str">
        <f t="shared" si="59"/>
        <v>High to very high</v>
      </c>
    </row>
    <row r="295" spans="1:23" x14ac:dyDescent="0.3">
      <c r="A295" s="348">
        <v>10031</v>
      </c>
      <c r="B295" s="333">
        <v>7441.9988999999996</v>
      </c>
      <c r="C295" s="348">
        <v>11356</v>
      </c>
      <c r="D295" s="333">
        <v>8116.1332000000002</v>
      </c>
      <c r="E295" s="348">
        <v>1352</v>
      </c>
      <c r="F295" s="333">
        <v>815.25599999999997</v>
      </c>
      <c r="G295" s="348">
        <v>270</v>
      </c>
      <c r="H295" s="348"/>
      <c r="I295" s="348"/>
      <c r="J295" s="382">
        <f t="shared" si="49"/>
        <v>0.57314578005115091</v>
      </c>
      <c r="K295" s="382">
        <f t="shared" si="50"/>
        <v>32.356516956521737</v>
      </c>
      <c r="L295" s="382">
        <f t="shared" si="51"/>
        <v>40.557142857142857</v>
      </c>
      <c r="M295" s="382">
        <f t="shared" si="52"/>
        <v>6.7099259259259254</v>
      </c>
      <c r="N295" s="330"/>
      <c r="O295" s="382">
        <f t="shared" si="48"/>
        <v>6.6557565448669989</v>
      </c>
      <c r="P295" s="382" t="str">
        <f t="shared" si="53"/>
        <v>Sol non sodique – Faible risque de dispersion, perméabilité normale</v>
      </c>
      <c r="Q295" s="382">
        <f t="shared" si="54"/>
        <v>0.5732148337595907</v>
      </c>
      <c r="R295" s="382">
        <f t="shared" si="55"/>
        <v>32.287690300130492</v>
      </c>
      <c r="S295" s="382">
        <f t="shared" si="56"/>
        <v>40.49966666666667</v>
      </c>
      <c r="T295" s="382">
        <f t="shared" si="57"/>
        <v>4.7860800000000001</v>
      </c>
      <c r="U295" s="382"/>
      <c r="V295" s="383">
        <f t="shared" si="58"/>
        <v>0.41316792922279055</v>
      </c>
      <c r="W295" s="386" t="str">
        <f t="shared" si="59"/>
        <v>Moderate to high</v>
      </c>
    </row>
    <row r="296" spans="1:23" x14ac:dyDescent="0.3">
      <c r="A296" s="348">
        <v>19686</v>
      </c>
      <c r="B296" s="333">
        <v>14605.0434</v>
      </c>
      <c r="C296" s="348">
        <v>16350</v>
      </c>
      <c r="D296" s="333">
        <v>11685.344999999999</v>
      </c>
      <c r="E296" s="348">
        <v>3855</v>
      </c>
      <c r="F296" s="333">
        <v>2324.5650000000001</v>
      </c>
      <c r="G296" s="348">
        <v>246</v>
      </c>
      <c r="H296" s="348"/>
      <c r="I296" s="348"/>
      <c r="J296" s="382">
        <f t="shared" si="49"/>
        <v>0.52219948849104858</v>
      </c>
      <c r="K296" s="382">
        <f t="shared" si="50"/>
        <v>63.50018869565217</v>
      </c>
      <c r="L296" s="382">
        <f t="shared" si="51"/>
        <v>58.392857142857146</v>
      </c>
      <c r="M296" s="382">
        <f t="shared" si="52"/>
        <v>19.132222222222222</v>
      </c>
      <c r="N296" s="330"/>
      <c r="O296" s="382">
        <f t="shared" si="48"/>
        <v>10.199265658141222</v>
      </c>
      <c r="P296" s="382" t="str">
        <f t="shared" si="53"/>
        <v>Sol modérément sodique – Risque modéré de sodicité</v>
      </c>
      <c r="Q296" s="382">
        <f t="shared" si="54"/>
        <v>0.52226240409207159</v>
      </c>
      <c r="R296" s="382">
        <f t="shared" si="55"/>
        <v>63.365115267507605</v>
      </c>
      <c r="S296" s="382">
        <f t="shared" si="56"/>
        <v>58.31010479041916</v>
      </c>
      <c r="T296" s="382">
        <f t="shared" si="57"/>
        <v>13.646700000000001</v>
      </c>
      <c r="U296" s="382"/>
      <c r="V296" s="383">
        <f t="shared" si="58"/>
        <v>0.46645439001573796</v>
      </c>
      <c r="W296" s="386" t="str">
        <f t="shared" si="59"/>
        <v>Moderate to high</v>
      </c>
    </row>
    <row r="297" spans="1:23" x14ac:dyDescent="0.3">
      <c r="A297" s="348">
        <v>16576</v>
      </c>
      <c r="B297" s="333">
        <v>12297.734399999999</v>
      </c>
      <c r="C297" s="348">
        <v>10288</v>
      </c>
      <c r="D297" s="333">
        <v>7352.8335999999999</v>
      </c>
      <c r="E297" s="348">
        <v>865</v>
      </c>
      <c r="F297" s="333">
        <v>521.59500000000003</v>
      </c>
      <c r="G297" s="348">
        <v>267</v>
      </c>
      <c r="H297" s="348"/>
      <c r="I297" s="348"/>
      <c r="J297" s="382">
        <f t="shared" si="49"/>
        <v>0.56677749360613805</v>
      </c>
      <c r="K297" s="382">
        <f t="shared" si="50"/>
        <v>53.468410434782605</v>
      </c>
      <c r="L297" s="382">
        <f t="shared" si="51"/>
        <v>36.742857142857147</v>
      </c>
      <c r="M297" s="382">
        <f t="shared" si="52"/>
        <v>4.2929629629629629</v>
      </c>
      <c r="N297" s="330"/>
      <c r="O297" s="382">
        <f t="shared" si="48"/>
        <v>11.804041082094198</v>
      </c>
      <c r="P297" s="382" t="str">
        <f t="shared" si="53"/>
        <v>Sol modérément sodique – Risque modéré de sodicité</v>
      </c>
      <c r="Q297" s="382">
        <f t="shared" si="54"/>
        <v>0.56684578005115083</v>
      </c>
      <c r="R297" s="382">
        <f t="shared" si="55"/>
        <v>53.354675946063502</v>
      </c>
      <c r="S297" s="382">
        <f t="shared" si="56"/>
        <v>36.69078642714571</v>
      </c>
      <c r="T297" s="382">
        <f t="shared" si="57"/>
        <v>3.0621</v>
      </c>
      <c r="U297" s="382"/>
      <c r="V297" s="383">
        <f t="shared" si="58"/>
        <v>0.56957579981471684</v>
      </c>
      <c r="W297" s="386" t="str">
        <f t="shared" si="59"/>
        <v>High to very high</v>
      </c>
    </row>
    <row r="298" spans="1:23" x14ac:dyDescent="0.3">
      <c r="A298" s="348">
        <v>21704</v>
      </c>
      <c r="B298" s="333">
        <v>16102.1976</v>
      </c>
      <c r="C298" s="348">
        <v>16140</v>
      </c>
      <c r="D298" s="333">
        <v>11535.258</v>
      </c>
      <c r="E298" s="348">
        <v>2896</v>
      </c>
      <c r="F298" s="333">
        <v>1746.288</v>
      </c>
      <c r="G298" s="348">
        <v>356</v>
      </c>
      <c r="H298" s="348"/>
      <c r="I298" s="348"/>
      <c r="J298" s="382">
        <f t="shared" si="49"/>
        <v>0.75570332480818403</v>
      </c>
      <c r="K298" s="382">
        <f t="shared" si="50"/>
        <v>70.009554782608689</v>
      </c>
      <c r="L298" s="382">
        <f t="shared" si="51"/>
        <v>57.642857142857146</v>
      </c>
      <c r="M298" s="382">
        <f t="shared" si="52"/>
        <v>14.372740740740742</v>
      </c>
      <c r="N298" s="330"/>
      <c r="O298" s="382">
        <f t="shared" si="48"/>
        <v>11.666995445837335</v>
      </c>
      <c r="P298" s="382" t="str">
        <f t="shared" si="53"/>
        <v>Sol modérément sodique – Risque modéré de sodicité</v>
      </c>
      <c r="Q298" s="382">
        <f t="shared" si="54"/>
        <v>0.75579437340153455</v>
      </c>
      <c r="R298" s="382">
        <f t="shared" si="55"/>
        <v>69.860635058721172</v>
      </c>
      <c r="S298" s="382">
        <f t="shared" si="56"/>
        <v>57.561167664670656</v>
      </c>
      <c r="T298" s="382">
        <f t="shared" si="57"/>
        <v>10.251840000000001</v>
      </c>
      <c r="U298" s="382"/>
      <c r="V298" s="383">
        <f t="shared" si="58"/>
        <v>0.50466603436285618</v>
      </c>
      <c r="W298" s="386" t="str">
        <f t="shared" si="59"/>
        <v>High to very high</v>
      </c>
    </row>
    <row r="299" spans="1:23" x14ac:dyDescent="0.3">
      <c r="A299" s="348">
        <v>14394</v>
      </c>
      <c r="B299" s="333">
        <v>10678.908600000001</v>
      </c>
      <c r="C299" s="348">
        <v>10400</v>
      </c>
      <c r="D299" s="333">
        <v>7432.88</v>
      </c>
      <c r="E299" s="348">
        <v>928</v>
      </c>
      <c r="F299" s="333">
        <v>559.58399999999995</v>
      </c>
      <c r="G299" s="348">
        <v>342</v>
      </c>
      <c r="H299" s="348"/>
      <c r="I299" s="348"/>
      <c r="J299" s="382">
        <f t="shared" si="49"/>
        <v>0.72598465473145779</v>
      </c>
      <c r="K299" s="382">
        <f t="shared" si="50"/>
        <v>46.430037391304346</v>
      </c>
      <c r="L299" s="382">
        <f t="shared" si="51"/>
        <v>37.142857142857146</v>
      </c>
      <c r="M299" s="382">
        <f t="shared" si="52"/>
        <v>4.6056296296296289</v>
      </c>
      <c r="N299" s="330"/>
      <c r="O299" s="382">
        <f t="shared" si="48"/>
        <v>10.162338620061144</v>
      </c>
      <c r="P299" s="382" t="str">
        <f t="shared" si="53"/>
        <v>Sol modérément sodique – Risque modéré de sodicité</v>
      </c>
      <c r="Q299" s="382">
        <f t="shared" si="54"/>
        <v>0.72607212276214828</v>
      </c>
      <c r="R299" s="382">
        <f t="shared" si="55"/>
        <v>46.331274467159631</v>
      </c>
      <c r="S299" s="382">
        <f t="shared" si="56"/>
        <v>37.090219560878246</v>
      </c>
      <c r="T299" s="382">
        <f t="shared" si="57"/>
        <v>3.28512</v>
      </c>
      <c r="U299" s="382"/>
      <c r="V299" s="383">
        <f t="shared" si="58"/>
        <v>0.52990793840245842</v>
      </c>
      <c r="W299" s="386" t="str">
        <f t="shared" si="59"/>
        <v>High to very high</v>
      </c>
    </row>
    <row r="300" spans="1:23" x14ac:dyDescent="0.3">
      <c r="A300" s="348">
        <v>18470</v>
      </c>
      <c r="B300" s="333">
        <v>13702.893</v>
      </c>
      <c r="C300" s="348">
        <v>19841</v>
      </c>
      <c r="D300" s="333">
        <v>14180.3627</v>
      </c>
      <c r="E300" s="348">
        <v>2296</v>
      </c>
      <c r="F300" s="333">
        <v>1384.4880000000001</v>
      </c>
      <c r="G300" s="348">
        <v>459</v>
      </c>
      <c r="H300" s="348"/>
      <c r="I300" s="348"/>
      <c r="J300" s="382">
        <f t="shared" si="49"/>
        <v>0.97434782608695636</v>
      </c>
      <c r="K300" s="382">
        <f t="shared" si="50"/>
        <v>59.577795652173911</v>
      </c>
      <c r="L300" s="382">
        <f t="shared" si="51"/>
        <v>70.860714285714295</v>
      </c>
      <c r="M300" s="382">
        <f t="shared" si="52"/>
        <v>11.394962962962962</v>
      </c>
      <c r="N300" s="330"/>
      <c r="O300" s="382">
        <f t="shared" si="48"/>
        <v>9.2900165376633854</v>
      </c>
      <c r="P300" s="382" t="str">
        <f t="shared" si="53"/>
        <v>Sol non sodique – Faible risque de dispersion, perméabilité normale</v>
      </c>
      <c r="Q300" s="382">
        <f t="shared" si="54"/>
        <v>0.97446521739130432</v>
      </c>
      <c r="R300" s="382">
        <f t="shared" si="55"/>
        <v>59.45106568073075</v>
      </c>
      <c r="S300" s="382">
        <f t="shared" si="56"/>
        <v>70.760292914171657</v>
      </c>
      <c r="T300" s="382">
        <f t="shared" si="57"/>
        <v>8.1278400000000008</v>
      </c>
      <c r="U300" s="382"/>
      <c r="V300" s="383">
        <f t="shared" si="58"/>
        <v>0.42674253231063547</v>
      </c>
      <c r="W300" s="386" t="str">
        <f t="shared" si="59"/>
        <v>Moderate to high</v>
      </c>
    </row>
    <row r="301" spans="1:23" x14ac:dyDescent="0.3">
      <c r="A301" s="348">
        <v>19305</v>
      </c>
      <c r="B301" s="333">
        <v>14322.379500000001</v>
      </c>
      <c r="C301" s="348">
        <v>10507</v>
      </c>
      <c r="D301" s="333">
        <v>7509.3528999999999</v>
      </c>
      <c r="E301" s="348">
        <v>888</v>
      </c>
      <c r="F301" s="333">
        <v>535.46399999999994</v>
      </c>
      <c r="G301" s="348">
        <v>298</v>
      </c>
      <c r="H301" s="348"/>
      <c r="I301" s="348"/>
      <c r="J301" s="382">
        <f t="shared" si="49"/>
        <v>0.6325831202046035</v>
      </c>
      <c r="K301" s="382">
        <f t="shared" si="50"/>
        <v>62.271215217391315</v>
      </c>
      <c r="L301" s="382">
        <f t="shared" si="51"/>
        <v>37.524999999999999</v>
      </c>
      <c r="M301" s="382">
        <f t="shared" si="52"/>
        <v>4.4071111111111101</v>
      </c>
      <c r="N301" s="330"/>
      <c r="O301" s="382">
        <f t="shared" si="48"/>
        <v>13.599688935335895</v>
      </c>
      <c r="P301" s="382" t="str">
        <f t="shared" si="53"/>
        <v>Sol modérément sodique – Risque modéré de sodicité</v>
      </c>
      <c r="Q301" s="382">
        <f t="shared" si="54"/>
        <v>0.63265933503836314</v>
      </c>
      <c r="R301" s="382">
        <f t="shared" si="55"/>
        <v>62.138755980861248</v>
      </c>
      <c r="S301" s="382">
        <f t="shared" si="56"/>
        <v>37.471820858283429</v>
      </c>
      <c r="T301" s="382">
        <f t="shared" si="57"/>
        <v>3.1435200000000001</v>
      </c>
      <c r="U301" s="382"/>
      <c r="V301" s="383">
        <f t="shared" si="58"/>
        <v>0.60103206909956297</v>
      </c>
      <c r="W301" s="386" t="str">
        <f t="shared" si="59"/>
        <v>High to very high</v>
      </c>
    </row>
    <row r="302" spans="1:23" x14ac:dyDescent="0.3">
      <c r="A302" s="348">
        <v>20957</v>
      </c>
      <c r="B302" s="333">
        <v>15547.998299999999</v>
      </c>
      <c r="C302" s="348">
        <v>14936</v>
      </c>
      <c r="D302" s="333">
        <v>10674.7592</v>
      </c>
      <c r="E302" s="348">
        <v>3438</v>
      </c>
      <c r="F302" s="333">
        <v>2073.114</v>
      </c>
      <c r="G302" s="348">
        <v>331</v>
      </c>
      <c r="H302" s="348"/>
      <c r="I302" s="348"/>
      <c r="J302" s="382">
        <f t="shared" si="49"/>
        <v>0.70263427109974408</v>
      </c>
      <c r="K302" s="382">
        <f t="shared" si="50"/>
        <v>67.599992608695644</v>
      </c>
      <c r="L302" s="382">
        <f t="shared" si="51"/>
        <v>53.342857142857142</v>
      </c>
      <c r="M302" s="382">
        <f t="shared" si="52"/>
        <v>17.062666666666665</v>
      </c>
      <c r="N302" s="330"/>
      <c r="O302" s="382">
        <f t="shared" si="48"/>
        <v>11.393529452182564</v>
      </c>
      <c r="P302" s="382" t="str">
        <f t="shared" si="53"/>
        <v>Sol modérément sodique – Risque modéré de sodicité</v>
      </c>
      <c r="Q302" s="382">
        <f t="shared" si="54"/>
        <v>0.7027189258312021</v>
      </c>
      <c r="R302" s="382">
        <f t="shared" si="55"/>
        <v>67.456198347107431</v>
      </c>
      <c r="S302" s="382">
        <f t="shared" si="56"/>
        <v>53.267261477045906</v>
      </c>
      <c r="T302" s="382">
        <f t="shared" si="57"/>
        <v>12.17052</v>
      </c>
      <c r="U302" s="382"/>
      <c r="V302" s="383">
        <f t="shared" si="58"/>
        <v>0.50492414092766069</v>
      </c>
      <c r="W302" s="386" t="str">
        <f t="shared" si="59"/>
        <v>High to very high</v>
      </c>
    </row>
    <row r="303" spans="1:23" x14ac:dyDescent="0.3">
      <c r="A303" s="348">
        <v>17918</v>
      </c>
      <c r="B303" s="333">
        <v>13293.3642</v>
      </c>
      <c r="C303" s="348">
        <v>10590</v>
      </c>
      <c r="D303" s="333">
        <v>7568.6729999999998</v>
      </c>
      <c r="E303" s="348">
        <v>662</v>
      </c>
      <c r="F303" s="333">
        <v>399.18599999999998</v>
      </c>
      <c r="G303" s="348">
        <v>210</v>
      </c>
      <c r="H303" s="348"/>
      <c r="I303" s="348"/>
      <c r="J303" s="382">
        <f t="shared" si="49"/>
        <v>0.44578005115089514</v>
      </c>
      <c r="K303" s="382">
        <f t="shared" si="50"/>
        <v>57.797235652173917</v>
      </c>
      <c r="L303" s="382">
        <f t="shared" si="51"/>
        <v>37.821428571428569</v>
      </c>
      <c r="M303" s="382">
        <f t="shared" si="52"/>
        <v>3.2854814814814812</v>
      </c>
      <c r="N303" s="330"/>
      <c r="O303" s="382">
        <f t="shared" si="48"/>
        <v>12.748663226640984</v>
      </c>
      <c r="P303" s="382" t="str">
        <f t="shared" si="53"/>
        <v>Sol modérément sodique – Risque modéré de sodicité</v>
      </c>
      <c r="Q303" s="382">
        <f t="shared" si="54"/>
        <v>0.44583375959079286</v>
      </c>
      <c r="R303" s="382">
        <f t="shared" si="55"/>
        <v>57.674293170943884</v>
      </c>
      <c r="S303" s="382">
        <f t="shared" si="56"/>
        <v>37.767829341317366</v>
      </c>
      <c r="T303" s="382">
        <f t="shared" si="57"/>
        <v>2.34348</v>
      </c>
      <c r="U303" s="382"/>
      <c r="V303" s="383">
        <f t="shared" si="58"/>
        <v>0.58712664051182473</v>
      </c>
      <c r="W303" s="386" t="str">
        <f t="shared" si="59"/>
        <v>High to very high</v>
      </c>
    </row>
    <row r="304" spans="1:23" x14ac:dyDescent="0.3">
      <c r="A304" s="348">
        <v>18563</v>
      </c>
      <c r="B304" s="333">
        <v>13771.8897</v>
      </c>
      <c r="C304" s="348">
        <v>15408</v>
      </c>
      <c r="D304" s="333">
        <v>11012.097599999999</v>
      </c>
      <c r="E304" s="348">
        <v>3162</v>
      </c>
      <c r="F304" s="333">
        <v>1906.6859999999999</v>
      </c>
      <c r="G304" s="348">
        <v>346</v>
      </c>
      <c r="H304" s="348"/>
      <c r="I304" s="348"/>
      <c r="J304" s="382">
        <f t="shared" si="49"/>
        <v>0.73447570332480816</v>
      </c>
      <c r="K304" s="382">
        <f t="shared" si="50"/>
        <v>59.87778130434782</v>
      </c>
      <c r="L304" s="382">
        <f t="shared" si="51"/>
        <v>55.028571428571432</v>
      </c>
      <c r="M304" s="382">
        <f t="shared" si="52"/>
        <v>15.692888888888888</v>
      </c>
      <c r="N304" s="330"/>
      <c r="O304" s="382">
        <f t="shared" si="48"/>
        <v>10.069434649295919</v>
      </c>
      <c r="P304" s="382" t="str">
        <f t="shared" si="53"/>
        <v>Sol modérément sodique – Risque modéré de sodicité</v>
      </c>
      <c r="Q304" s="382">
        <f t="shared" si="54"/>
        <v>0.73456419437340148</v>
      </c>
      <c r="R304" s="382">
        <f t="shared" si="55"/>
        <v>59.750413223140491</v>
      </c>
      <c r="S304" s="382">
        <f t="shared" si="56"/>
        <v>54.950586826347298</v>
      </c>
      <c r="T304" s="382">
        <f t="shared" si="57"/>
        <v>11.193480000000001</v>
      </c>
      <c r="U304" s="382"/>
      <c r="V304" s="383">
        <f t="shared" si="58"/>
        <v>0.47185393824874511</v>
      </c>
      <c r="W304" s="386" t="str">
        <f t="shared" si="59"/>
        <v>Moderate to high</v>
      </c>
    </row>
    <row r="305" spans="1:23" x14ac:dyDescent="0.3">
      <c r="A305" s="348">
        <v>1350</v>
      </c>
      <c r="B305" s="333">
        <v>1001.5650000000001</v>
      </c>
      <c r="C305" s="348">
        <v>11612</v>
      </c>
      <c r="D305" s="333">
        <v>8299.0964000000004</v>
      </c>
      <c r="E305" s="348">
        <v>362</v>
      </c>
      <c r="F305" s="333">
        <v>218.286</v>
      </c>
      <c r="G305" s="348">
        <v>237</v>
      </c>
      <c r="H305" s="348"/>
      <c r="I305" s="348"/>
      <c r="J305" s="382">
        <f t="shared" si="49"/>
        <v>0.50309462915601022</v>
      </c>
      <c r="K305" s="382">
        <f t="shared" si="50"/>
        <v>4.3546304347826092</v>
      </c>
      <c r="L305" s="382">
        <f t="shared" si="51"/>
        <v>41.471428571428568</v>
      </c>
      <c r="M305" s="382">
        <f t="shared" si="52"/>
        <v>1.7965925925925927</v>
      </c>
      <c r="N305" s="330"/>
      <c r="O305" s="382">
        <f t="shared" si="48"/>
        <v>0.93623049877131381</v>
      </c>
      <c r="P305" s="382" t="str">
        <f t="shared" si="53"/>
        <v>Sol non sodique – Faible risque de dispersion, perméabilité normale</v>
      </c>
      <c r="Q305" s="382">
        <f t="shared" si="54"/>
        <v>0.50315524296675196</v>
      </c>
      <c r="R305" s="382">
        <f t="shared" si="55"/>
        <v>4.3453675511091774</v>
      </c>
      <c r="S305" s="382">
        <f t="shared" si="56"/>
        <v>41.412656686626747</v>
      </c>
      <c r="T305" s="382">
        <f t="shared" si="57"/>
        <v>1.2814800000000002</v>
      </c>
      <c r="U305" s="382"/>
      <c r="V305" s="383">
        <f t="shared" si="58"/>
        <v>9.1399336902323255E-2</v>
      </c>
      <c r="W305" s="386" t="str">
        <f t="shared" si="59"/>
        <v>None to slight</v>
      </c>
    </row>
    <row r="306" spans="1:23" x14ac:dyDescent="0.3">
      <c r="A306" s="348">
        <v>5754</v>
      </c>
      <c r="B306" s="333">
        <v>4268.8926000000001</v>
      </c>
      <c r="C306" s="348">
        <v>12675</v>
      </c>
      <c r="D306" s="333">
        <v>9058.8225000000002</v>
      </c>
      <c r="E306" s="348">
        <v>654</v>
      </c>
      <c r="F306" s="333">
        <v>394.36199999999997</v>
      </c>
      <c r="G306" s="348">
        <v>286</v>
      </c>
      <c r="H306" s="348"/>
      <c r="I306" s="348"/>
      <c r="J306" s="382">
        <f t="shared" si="49"/>
        <v>0.60710997442455239</v>
      </c>
      <c r="K306" s="382">
        <f t="shared" si="50"/>
        <v>18.560402608695654</v>
      </c>
      <c r="L306" s="382">
        <f t="shared" si="51"/>
        <v>45.267857142857146</v>
      </c>
      <c r="M306" s="382">
        <f t="shared" si="52"/>
        <v>3.2457777777777777</v>
      </c>
      <c r="N306" s="330"/>
      <c r="O306" s="382">
        <f t="shared" si="48"/>
        <v>3.7685170335512699</v>
      </c>
      <c r="P306" s="382" t="str">
        <f t="shared" si="53"/>
        <v>Sol non sodique – Faible risque de dispersion, perméabilité normale</v>
      </c>
      <c r="Q306" s="382">
        <f t="shared" si="54"/>
        <v>0.60718312020460352</v>
      </c>
      <c r="R306" s="382">
        <f t="shared" si="55"/>
        <v>18.520922140060897</v>
      </c>
      <c r="S306" s="382">
        <f t="shared" si="56"/>
        <v>45.20370508982036</v>
      </c>
      <c r="T306" s="382">
        <f t="shared" si="57"/>
        <v>2.3151600000000001</v>
      </c>
      <c r="U306" s="382"/>
      <c r="V306" s="383">
        <f t="shared" si="58"/>
        <v>0.27789593499559634</v>
      </c>
      <c r="W306" s="386" t="str">
        <f t="shared" si="59"/>
        <v>Light to moderate</v>
      </c>
    </row>
    <row r="307" spans="1:23" x14ac:dyDescent="0.3">
      <c r="A307" s="348">
        <v>66306</v>
      </c>
      <c r="B307" s="333">
        <v>49192.421399999999</v>
      </c>
      <c r="C307" s="348">
        <v>16699</v>
      </c>
      <c r="D307" s="333">
        <v>11934.775299999999</v>
      </c>
      <c r="E307" s="348">
        <v>3895</v>
      </c>
      <c r="F307" s="333">
        <v>2348.6849999999999</v>
      </c>
      <c r="G307" s="348">
        <v>1119</v>
      </c>
      <c r="H307" s="348"/>
      <c r="I307" s="348"/>
      <c r="J307" s="382">
        <f t="shared" si="49"/>
        <v>2.3753708439897698</v>
      </c>
      <c r="K307" s="382">
        <f t="shared" si="50"/>
        <v>213.88009304347827</v>
      </c>
      <c r="L307" s="382">
        <f t="shared" si="51"/>
        <v>59.639285714285712</v>
      </c>
      <c r="M307" s="382">
        <f t="shared" si="52"/>
        <v>19.33074074074074</v>
      </c>
      <c r="N307" s="330"/>
      <c r="O307" s="382">
        <f t="shared" si="48"/>
        <v>34.037230871040308</v>
      </c>
      <c r="P307" s="382" t="str">
        <f t="shared" si="53"/>
        <v>Sol très sodique – Très haut risque de dispersion, dégradation sévère</v>
      </c>
      <c r="Q307" s="382">
        <f t="shared" si="54"/>
        <v>2.375657033248082</v>
      </c>
      <c r="R307" s="382">
        <f t="shared" si="55"/>
        <v>213.42514136581121</v>
      </c>
      <c r="S307" s="382">
        <f t="shared" si="56"/>
        <v>59.554766966067859</v>
      </c>
      <c r="T307" s="382">
        <f t="shared" si="57"/>
        <v>13.788300000000001</v>
      </c>
      <c r="U307" s="382"/>
      <c r="V307" s="383">
        <f t="shared" si="58"/>
        <v>0.73812785582118667</v>
      </c>
      <c r="W307" s="386" t="str">
        <f t="shared" si="59"/>
        <v>Extremely high</v>
      </c>
    </row>
    <row r="308" spans="1:23" x14ac:dyDescent="0.3">
      <c r="A308" s="348">
        <v>14781</v>
      </c>
      <c r="B308" s="333">
        <v>10966.0239</v>
      </c>
      <c r="C308" s="348">
        <v>8277</v>
      </c>
      <c r="D308" s="333">
        <v>5915.5718999999999</v>
      </c>
      <c r="E308" s="348">
        <v>1731</v>
      </c>
      <c r="F308" s="333">
        <v>1043.7929999999999</v>
      </c>
      <c r="G308" s="348">
        <v>860</v>
      </c>
      <c r="H308" s="348"/>
      <c r="I308" s="348"/>
      <c r="J308" s="382">
        <f t="shared" si="49"/>
        <v>1.8255754475703323</v>
      </c>
      <c r="K308" s="382">
        <f t="shared" si="50"/>
        <v>47.678364782608696</v>
      </c>
      <c r="L308" s="382">
        <f t="shared" si="51"/>
        <v>29.560714285714283</v>
      </c>
      <c r="M308" s="382">
        <f t="shared" si="52"/>
        <v>8.5908888888888875</v>
      </c>
      <c r="N308" s="330"/>
      <c r="O308" s="382">
        <f t="shared" si="48"/>
        <v>10.916412895134595</v>
      </c>
      <c r="P308" s="382" t="str">
        <f t="shared" si="53"/>
        <v>Sol modérément sodique – Risque modéré de sodicité</v>
      </c>
      <c r="Q308" s="382">
        <f t="shared" si="54"/>
        <v>1.8257953964194373</v>
      </c>
      <c r="R308" s="382">
        <f t="shared" si="55"/>
        <v>47.576946498477596</v>
      </c>
      <c r="S308" s="382">
        <f t="shared" si="56"/>
        <v>29.518821856287424</v>
      </c>
      <c r="T308" s="382">
        <f t="shared" si="57"/>
        <v>6.1277400000000002</v>
      </c>
      <c r="U308" s="382"/>
      <c r="V308" s="383">
        <f t="shared" si="58"/>
        <v>0.55940430315180567</v>
      </c>
      <c r="W308" s="386" t="str">
        <f t="shared" si="59"/>
        <v>High to very high</v>
      </c>
    </row>
    <row r="309" spans="1:23" x14ac:dyDescent="0.3">
      <c r="A309" s="348">
        <v>59667</v>
      </c>
      <c r="B309" s="333">
        <v>44266.9473</v>
      </c>
      <c r="C309" s="348">
        <v>11032</v>
      </c>
      <c r="D309" s="333">
        <v>7884.5703999999996</v>
      </c>
      <c r="E309" s="348">
        <v>3196</v>
      </c>
      <c r="F309" s="333">
        <v>1927.1879999999999</v>
      </c>
      <c r="G309" s="348">
        <v>1057</v>
      </c>
      <c r="H309" s="348"/>
      <c r="I309" s="348"/>
      <c r="J309" s="382">
        <f t="shared" si="49"/>
        <v>2.2437595907928385</v>
      </c>
      <c r="K309" s="382">
        <f t="shared" si="50"/>
        <v>192.46498826086957</v>
      </c>
      <c r="L309" s="382">
        <f t="shared" si="51"/>
        <v>39.4</v>
      </c>
      <c r="M309" s="382">
        <f t="shared" si="52"/>
        <v>15.861629629629627</v>
      </c>
      <c r="N309" s="330"/>
      <c r="O309" s="382">
        <f t="shared" si="48"/>
        <v>36.614650370437445</v>
      </c>
      <c r="P309" s="382" t="str">
        <f t="shared" si="53"/>
        <v>Sol très sodique – Très haut risque de dispersion, dégradation sévère</v>
      </c>
      <c r="Q309" s="382">
        <f t="shared" si="54"/>
        <v>2.2440299232736569</v>
      </c>
      <c r="R309" s="382">
        <f t="shared" si="55"/>
        <v>192.05558938668986</v>
      </c>
      <c r="S309" s="382">
        <f t="shared" si="56"/>
        <v>39.344163672654688</v>
      </c>
      <c r="T309" s="382">
        <f t="shared" si="57"/>
        <v>11.313840000000001</v>
      </c>
      <c r="U309" s="382"/>
      <c r="V309" s="383">
        <f t="shared" si="58"/>
        <v>0.78403597752219301</v>
      </c>
      <c r="W309" s="386" t="str">
        <f t="shared" si="59"/>
        <v>Extremely high</v>
      </c>
    </row>
    <row r="310" spans="1:23" x14ac:dyDescent="0.3">
      <c r="A310" s="348">
        <v>17729</v>
      </c>
      <c r="B310" s="333">
        <v>13153.1451</v>
      </c>
      <c r="C310" s="348">
        <v>23375</v>
      </c>
      <c r="D310" s="333">
        <v>16706.112499999999</v>
      </c>
      <c r="E310" s="348">
        <v>3668</v>
      </c>
      <c r="F310" s="333">
        <v>2211.8040000000001</v>
      </c>
      <c r="G310" s="348">
        <v>1381</v>
      </c>
      <c r="H310" s="348"/>
      <c r="I310" s="348"/>
      <c r="J310" s="382">
        <f t="shared" si="49"/>
        <v>2.9315345268542199</v>
      </c>
      <c r="K310" s="382">
        <f t="shared" si="50"/>
        <v>57.187587391304348</v>
      </c>
      <c r="L310" s="382">
        <f t="shared" si="51"/>
        <v>83.482142857142861</v>
      </c>
      <c r="M310" s="382">
        <f t="shared" si="52"/>
        <v>18.20414814814815</v>
      </c>
      <c r="N310" s="330"/>
      <c r="O310" s="382">
        <f t="shared" si="48"/>
        <v>8.02020685284932</v>
      </c>
      <c r="P310" s="382" t="str">
        <f t="shared" si="53"/>
        <v>Sol non sodique – Faible risque de dispersion, perméabilité normale</v>
      </c>
      <c r="Q310" s="382">
        <f t="shared" si="54"/>
        <v>2.9318877237851662</v>
      </c>
      <c r="R310" s="382">
        <f t="shared" si="55"/>
        <v>57.065941713788597</v>
      </c>
      <c r="S310" s="382">
        <f t="shared" si="56"/>
        <v>83.363834830339314</v>
      </c>
      <c r="T310" s="382">
        <f t="shared" si="57"/>
        <v>12.984720000000001</v>
      </c>
      <c r="U310" s="382"/>
      <c r="V310" s="383">
        <f t="shared" si="58"/>
        <v>0.36499687524593566</v>
      </c>
      <c r="W310" s="386" t="str">
        <f t="shared" si="59"/>
        <v>Moderate to high</v>
      </c>
    </row>
    <row r="311" spans="1:23" x14ac:dyDescent="0.3">
      <c r="A311" s="348">
        <v>60011</v>
      </c>
      <c r="B311" s="333">
        <v>44522.160900000003</v>
      </c>
      <c r="C311" s="348">
        <v>12444</v>
      </c>
      <c r="D311" s="333">
        <v>8893.7268000000004</v>
      </c>
      <c r="E311" s="348">
        <v>3331</v>
      </c>
      <c r="F311" s="333">
        <v>2008.5929999999998</v>
      </c>
      <c r="G311" s="348">
        <v>1592</v>
      </c>
      <c r="H311" s="348"/>
      <c r="I311" s="348"/>
      <c r="J311" s="382">
        <f t="shared" si="49"/>
        <v>3.3794373401534523</v>
      </c>
      <c r="K311" s="382">
        <f t="shared" si="50"/>
        <v>193.57461260869565</v>
      </c>
      <c r="L311" s="382">
        <f t="shared" si="51"/>
        <v>44.442857142857143</v>
      </c>
      <c r="M311" s="382">
        <f t="shared" si="52"/>
        <v>16.531629629629627</v>
      </c>
      <c r="N311" s="330"/>
      <c r="O311" s="382">
        <f t="shared" si="48"/>
        <v>35.058176236246382</v>
      </c>
      <c r="P311" s="382" t="str">
        <f t="shared" si="53"/>
        <v>Sol très sodique – Très haut risque de dispersion, dégradation sévère</v>
      </c>
      <c r="Q311" s="382">
        <f t="shared" si="54"/>
        <v>3.3798445012787721</v>
      </c>
      <c r="R311" s="382">
        <f t="shared" si="55"/>
        <v>193.16285341452806</v>
      </c>
      <c r="S311" s="382">
        <f t="shared" si="56"/>
        <v>44.379874251497007</v>
      </c>
      <c r="T311" s="382">
        <f t="shared" si="57"/>
        <v>11.791740000000001</v>
      </c>
      <c r="U311" s="382"/>
      <c r="V311" s="383">
        <f t="shared" si="58"/>
        <v>0.76435264689974869</v>
      </c>
      <c r="W311" s="386" t="str">
        <f t="shared" si="59"/>
        <v>Extremely high</v>
      </c>
    </row>
    <row r="312" spans="1:23" x14ac:dyDescent="0.3">
      <c r="A312" s="348">
        <v>19435</v>
      </c>
      <c r="B312" s="333">
        <v>14418.826499999999</v>
      </c>
      <c r="C312" s="348">
        <v>13814</v>
      </c>
      <c r="D312" s="333">
        <v>9872.8657999999996</v>
      </c>
      <c r="E312" s="348">
        <v>3145</v>
      </c>
      <c r="F312" s="333">
        <v>1896.4349999999999</v>
      </c>
      <c r="G312" s="348">
        <v>1230</v>
      </c>
      <c r="H312" s="348"/>
      <c r="I312" s="348"/>
      <c r="J312" s="382">
        <f t="shared" si="49"/>
        <v>2.6109974424552429</v>
      </c>
      <c r="K312" s="382">
        <f t="shared" si="50"/>
        <v>62.690550000000002</v>
      </c>
      <c r="L312" s="382">
        <f t="shared" si="51"/>
        <v>49.335714285714282</v>
      </c>
      <c r="M312" s="382">
        <f t="shared" si="52"/>
        <v>15.608518518518517</v>
      </c>
      <c r="N312" s="330"/>
      <c r="O312" s="382">
        <f t="shared" si="48"/>
        <v>11.001370285679673</v>
      </c>
      <c r="P312" s="382" t="str">
        <f t="shared" si="53"/>
        <v>Sol modérément sodique – Risque modéré de sodicité</v>
      </c>
      <c r="Q312" s="382">
        <f t="shared" si="54"/>
        <v>2.6113120204603577</v>
      </c>
      <c r="R312" s="382">
        <f t="shared" si="55"/>
        <v>62.557198782079162</v>
      </c>
      <c r="S312" s="382">
        <f t="shared" si="56"/>
        <v>49.265797405189616</v>
      </c>
      <c r="T312" s="382">
        <f t="shared" si="57"/>
        <v>11.1333</v>
      </c>
      <c r="U312" s="382"/>
      <c r="V312" s="383">
        <f t="shared" si="58"/>
        <v>0.49819535208944549</v>
      </c>
      <c r="W312" s="386" t="str">
        <f t="shared" si="59"/>
        <v>Moderate to high</v>
      </c>
    </row>
    <row r="313" spans="1:23" x14ac:dyDescent="0.3">
      <c r="A313" s="348">
        <v>37841</v>
      </c>
      <c r="B313" s="333">
        <v>28074.2379</v>
      </c>
      <c r="C313" s="348">
        <v>12650</v>
      </c>
      <c r="D313" s="333">
        <v>9040.9549999999999</v>
      </c>
      <c r="E313" s="348">
        <v>2645</v>
      </c>
      <c r="F313" s="333">
        <v>1594.9349999999999</v>
      </c>
      <c r="G313" s="348">
        <v>1578</v>
      </c>
      <c r="H313" s="348"/>
      <c r="I313" s="348"/>
      <c r="J313" s="382">
        <f t="shared" si="49"/>
        <v>3.3497186700767259</v>
      </c>
      <c r="K313" s="382">
        <f t="shared" si="50"/>
        <v>122.06190391304347</v>
      </c>
      <c r="L313" s="382">
        <f t="shared" si="51"/>
        <v>45.178571428571431</v>
      </c>
      <c r="M313" s="382">
        <f t="shared" si="52"/>
        <v>13.127037037037034</v>
      </c>
      <c r="N313" s="330"/>
      <c r="O313" s="382">
        <f t="shared" si="48"/>
        <v>22.606845780127728</v>
      </c>
      <c r="P313" s="382" t="str">
        <f t="shared" si="53"/>
        <v>Sol sodique – Risque élevé de dispersion, structure du sol détériorée</v>
      </c>
      <c r="Q313" s="382">
        <f t="shared" si="54"/>
        <v>3.350122250639386</v>
      </c>
      <c r="R313" s="382">
        <f t="shared" si="55"/>
        <v>121.80226185297956</v>
      </c>
      <c r="S313" s="382">
        <f t="shared" si="56"/>
        <v>45.114545908183629</v>
      </c>
      <c r="T313" s="382">
        <f t="shared" si="57"/>
        <v>9.3633000000000006</v>
      </c>
      <c r="U313" s="382"/>
      <c r="V313" s="383">
        <f t="shared" si="58"/>
        <v>0.67807218108542511</v>
      </c>
      <c r="W313" s="386" t="str">
        <f t="shared" si="59"/>
        <v>High to very high</v>
      </c>
    </row>
    <row r="314" spans="1:23" x14ac:dyDescent="0.3">
      <c r="A314" s="348">
        <v>15102</v>
      </c>
      <c r="B314" s="333">
        <v>11204.1738</v>
      </c>
      <c r="C314" s="348">
        <v>11549</v>
      </c>
      <c r="D314" s="333">
        <v>8254.0702999999994</v>
      </c>
      <c r="E314" s="348">
        <v>2885</v>
      </c>
      <c r="F314" s="333">
        <v>1739.655</v>
      </c>
      <c r="G314" s="348">
        <v>1223</v>
      </c>
      <c r="H314" s="348"/>
      <c r="I314" s="348"/>
      <c r="J314" s="382">
        <f t="shared" si="49"/>
        <v>2.5961381074168792</v>
      </c>
      <c r="K314" s="382">
        <f t="shared" si="50"/>
        <v>48.713799130434786</v>
      </c>
      <c r="L314" s="382">
        <f t="shared" si="51"/>
        <v>41.246428571428567</v>
      </c>
      <c r="M314" s="382">
        <f t="shared" si="52"/>
        <v>14.318148148148147</v>
      </c>
      <c r="N314" s="330"/>
      <c r="O314" s="382">
        <f t="shared" si="48"/>
        <v>9.242043188497588</v>
      </c>
      <c r="P314" s="382" t="str">
        <f t="shared" si="53"/>
        <v>Sol non sodique – Faible risque de dispersion, perméabilité normale</v>
      </c>
      <c r="Q314" s="382">
        <f t="shared" si="54"/>
        <v>2.5964508951406646</v>
      </c>
      <c r="R314" s="382">
        <f t="shared" si="55"/>
        <v>48.610178338407998</v>
      </c>
      <c r="S314" s="382">
        <f t="shared" si="56"/>
        <v>41.187975548902195</v>
      </c>
      <c r="T314" s="382">
        <f t="shared" si="57"/>
        <v>10.212900000000001</v>
      </c>
      <c r="U314" s="382"/>
      <c r="V314" s="383">
        <f t="shared" si="58"/>
        <v>0.47374876176427477</v>
      </c>
      <c r="W314" s="386" t="str">
        <f t="shared" si="59"/>
        <v>Moderate to high</v>
      </c>
    </row>
    <row r="315" spans="1:23" x14ac:dyDescent="0.3">
      <c r="A315" s="348">
        <v>70297</v>
      </c>
      <c r="B315" s="333">
        <v>52153.344299999997</v>
      </c>
      <c r="C315" s="348">
        <v>12383</v>
      </c>
      <c r="D315" s="333">
        <v>8850.1301000000003</v>
      </c>
      <c r="E315" s="348">
        <v>4794</v>
      </c>
      <c r="F315" s="333">
        <v>2890.7819999999997</v>
      </c>
      <c r="G315" s="348">
        <v>1516</v>
      </c>
      <c r="H315" s="348"/>
      <c r="I315" s="348"/>
      <c r="J315" s="382">
        <f t="shared" si="49"/>
        <v>3.2181074168797954</v>
      </c>
      <c r="K315" s="382">
        <f t="shared" si="50"/>
        <v>226.75367086956521</v>
      </c>
      <c r="L315" s="382">
        <f t="shared" si="51"/>
        <v>44.225000000000001</v>
      </c>
      <c r="M315" s="382">
        <f t="shared" si="52"/>
        <v>23.792444444444442</v>
      </c>
      <c r="N315" s="330"/>
      <c r="O315" s="382">
        <f t="shared" si="48"/>
        <v>38.882946613044126</v>
      </c>
      <c r="P315" s="382" t="str">
        <f t="shared" si="53"/>
        <v>Sol très sodique – Très haut risque de dispersion, dégradation sévère</v>
      </c>
      <c r="Q315" s="382">
        <f t="shared" si="54"/>
        <v>3.2184951406649613</v>
      </c>
      <c r="R315" s="382">
        <f t="shared" si="55"/>
        <v>226.27133536320139</v>
      </c>
      <c r="S315" s="382">
        <f t="shared" si="56"/>
        <v>44.162325848303396</v>
      </c>
      <c r="T315" s="382">
        <f t="shared" si="57"/>
        <v>16.970760000000002</v>
      </c>
      <c r="U315" s="382"/>
      <c r="V315" s="383">
        <f t="shared" si="58"/>
        <v>0.77857361767373956</v>
      </c>
      <c r="W315" s="386" t="str">
        <f t="shared" si="59"/>
        <v>Extremely high</v>
      </c>
    </row>
    <row r="316" spans="1:23" x14ac:dyDescent="0.3">
      <c r="A316" s="348">
        <v>16877</v>
      </c>
      <c r="B316" s="333">
        <v>12521.0463</v>
      </c>
      <c r="C316" s="348">
        <v>9691</v>
      </c>
      <c r="D316" s="333">
        <v>6926.1576999999997</v>
      </c>
      <c r="E316" s="348">
        <v>2339</v>
      </c>
      <c r="F316" s="333">
        <v>1410.4169999999999</v>
      </c>
      <c r="G316" s="348">
        <v>1272</v>
      </c>
      <c r="H316" s="348"/>
      <c r="I316" s="348"/>
      <c r="J316" s="382">
        <f t="shared" si="49"/>
        <v>2.7001534526854218</v>
      </c>
      <c r="K316" s="382">
        <f t="shared" si="50"/>
        <v>54.439331739130438</v>
      </c>
      <c r="L316" s="382">
        <f t="shared" si="51"/>
        <v>34.61071428571428</v>
      </c>
      <c r="M316" s="382">
        <f t="shared" si="52"/>
        <v>11.60837037037037</v>
      </c>
      <c r="N316" s="330"/>
      <c r="O316" s="382">
        <f t="shared" si="48"/>
        <v>11.324449857833011</v>
      </c>
      <c r="P316" s="382" t="str">
        <f t="shared" si="53"/>
        <v>Sol modérément sodique – Risque modéré de sodicité</v>
      </c>
      <c r="Q316" s="382">
        <f t="shared" si="54"/>
        <v>2.7004787723785162</v>
      </c>
      <c r="R316" s="382">
        <f t="shared" si="55"/>
        <v>54.323531970421918</v>
      </c>
      <c r="S316" s="382">
        <f t="shared" si="56"/>
        <v>34.561665169660678</v>
      </c>
      <c r="T316" s="382">
        <f t="shared" si="57"/>
        <v>8.2800600000000006</v>
      </c>
      <c r="U316" s="382"/>
      <c r="V316" s="383">
        <f t="shared" si="58"/>
        <v>0.54396567024790232</v>
      </c>
      <c r="W316" s="386" t="str">
        <f t="shared" si="59"/>
        <v>High to very high</v>
      </c>
    </row>
    <row r="317" spans="1:23" x14ac:dyDescent="0.3">
      <c r="A317" s="348">
        <v>70916</v>
      </c>
      <c r="B317" s="333">
        <v>52612.580399999999</v>
      </c>
      <c r="C317" s="348">
        <v>12236</v>
      </c>
      <c r="D317" s="333">
        <v>8745.0691999999999</v>
      </c>
      <c r="E317" s="348">
        <v>3872</v>
      </c>
      <c r="F317" s="333">
        <v>2334.8159999999998</v>
      </c>
      <c r="G317" s="348">
        <v>1490</v>
      </c>
      <c r="H317" s="348"/>
      <c r="I317" s="348"/>
      <c r="J317" s="382">
        <f t="shared" si="49"/>
        <v>3.1629156010230179</v>
      </c>
      <c r="K317" s="382">
        <f t="shared" si="50"/>
        <v>228.75034956521739</v>
      </c>
      <c r="L317" s="382">
        <f t="shared" si="51"/>
        <v>43.7</v>
      </c>
      <c r="M317" s="382">
        <f t="shared" si="52"/>
        <v>19.21659259259259</v>
      </c>
      <c r="N317" s="330"/>
      <c r="O317" s="382">
        <f t="shared" si="48"/>
        <v>40.784408408640857</v>
      </c>
      <c r="P317" s="382" t="str">
        <f t="shared" si="53"/>
        <v>Sol très sodique – Très haut risque de dispersion, dégradation sévère</v>
      </c>
      <c r="Q317" s="382">
        <f t="shared" si="54"/>
        <v>3.1632966751918157</v>
      </c>
      <c r="R317" s="382">
        <f t="shared" si="55"/>
        <v>228.26376685515439</v>
      </c>
      <c r="S317" s="382">
        <f t="shared" si="56"/>
        <v>43.638069860279437</v>
      </c>
      <c r="T317" s="382">
        <f t="shared" si="57"/>
        <v>13.70688</v>
      </c>
      <c r="U317" s="382"/>
      <c r="V317" s="383">
        <f t="shared" si="58"/>
        <v>0.79046360544080507</v>
      </c>
      <c r="W317" s="386" t="str">
        <f t="shared" si="59"/>
        <v>Extremely high</v>
      </c>
    </row>
    <row r="318" spans="1:23" x14ac:dyDescent="0.3">
      <c r="A318" s="348">
        <v>21527</v>
      </c>
      <c r="B318" s="333">
        <v>15970.881300000001</v>
      </c>
      <c r="C318" s="348">
        <v>13333</v>
      </c>
      <c r="D318" s="333">
        <v>9529.0951000000005</v>
      </c>
      <c r="E318" s="348">
        <v>3110</v>
      </c>
      <c r="F318" s="333">
        <v>1875.33</v>
      </c>
      <c r="G318" s="348">
        <v>1177</v>
      </c>
      <c r="H318" s="348"/>
      <c r="I318" s="348"/>
      <c r="J318" s="382">
        <f t="shared" si="49"/>
        <v>2.4984910485933502</v>
      </c>
      <c r="K318" s="382">
        <f t="shared" si="50"/>
        <v>69.438614347826089</v>
      </c>
      <c r="L318" s="382">
        <f t="shared" si="51"/>
        <v>47.617857142857147</v>
      </c>
      <c r="M318" s="382">
        <f t="shared" si="52"/>
        <v>15.434814814814814</v>
      </c>
      <c r="N318" s="330"/>
      <c r="O318" s="382">
        <f t="shared" si="48"/>
        <v>12.366998157956578</v>
      </c>
      <c r="P318" s="382" t="str">
        <f t="shared" si="53"/>
        <v>Sol modérément sodique – Risque modéré de sodicité</v>
      </c>
      <c r="Q318" s="382">
        <f t="shared" si="54"/>
        <v>2.4987920716112533</v>
      </c>
      <c r="R318" s="382">
        <f t="shared" si="55"/>
        <v>69.290909090909082</v>
      </c>
      <c r="S318" s="382">
        <f t="shared" si="56"/>
        <v>47.550374750499003</v>
      </c>
      <c r="T318" s="382">
        <f t="shared" si="57"/>
        <v>11.009400000000001</v>
      </c>
      <c r="U318" s="382"/>
      <c r="V318" s="383">
        <f t="shared" si="58"/>
        <v>0.53157796458764495</v>
      </c>
      <c r="W318" s="386" t="str">
        <f t="shared" si="59"/>
        <v>High to very high</v>
      </c>
    </row>
    <row r="319" spans="1:23" x14ac:dyDescent="0.3">
      <c r="A319" s="348">
        <v>61199</v>
      </c>
      <c r="B319" s="333">
        <v>45403.538099999998</v>
      </c>
      <c r="C319" s="348">
        <v>10809</v>
      </c>
      <c r="D319" s="333">
        <v>7725.1922999999997</v>
      </c>
      <c r="E319" s="348">
        <v>3531</v>
      </c>
      <c r="F319" s="333">
        <v>2129.1929999999998</v>
      </c>
      <c r="G319" s="348">
        <v>1395</v>
      </c>
      <c r="H319" s="348"/>
      <c r="I319" s="348"/>
      <c r="J319" s="382">
        <f t="shared" si="49"/>
        <v>2.9612531969309459</v>
      </c>
      <c r="K319" s="382">
        <f t="shared" si="50"/>
        <v>197.40668739130433</v>
      </c>
      <c r="L319" s="382">
        <f t="shared" si="51"/>
        <v>38.603571428571428</v>
      </c>
      <c r="M319" s="382">
        <f t="shared" si="52"/>
        <v>17.524222222222217</v>
      </c>
      <c r="N319" s="330"/>
      <c r="O319" s="382">
        <f t="shared" si="48"/>
        <v>37.263862896915654</v>
      </c>
      <c r="P319" s="382" t="str">
        <f t="shared" si="53"/>
        <v>Sol très sodique – Très haut risque de dispersion, dégradation sévère</v>
      </c>
      <c r="Q319" s="382">
        <f t="shared" si="54"/>
        <v>2.9616099744245523</v>
      </c>
      <c r="R319" s="382">
        <f t="shared" si="55"/>
        <v>196.98677685950415</v>
      </c>
      <c r="S319" s="382">
        <f t="shared" si="56"/>
        <v>38.548863772455086</v>
      </c>
      <c r="T319" s="382">
        <f t="shared" si="57"/>
        <v>12.499740000000001</v>
      </c>
      <c r="U319" s="382"/>
      <c r="V319" s="383">
        <f t="shared" si="58"/>
        <v>0.78481728559216446</v>
      </c>
      <c r="W319" s="386" t="str">
        <f t="shared" si="59"/>
        <v>Extremely high</v>
      </c>
    </row>
    <row r="320" spans="1:23" x14ac:dyDescent="0.3">
      <c r="A320" s="348">
        <v>19899</v>
      </c>
      <c r="B320" s="333">
        <v>14763.0681</v>
      </c>
      <c r="C320" s="348">
        <v>10823</v>
      </c>
      <c r="D320" s="333">
        <v>7735.1980999999996</v>
      </c>
      <c r="E320" s="348">
        <v>2993</v>
      </c>
      <c r="F320" s="333">
        <v>1804.779</v>
      </c>
      <c r="G320" s="348">
        <v>1162</v>
      </c>
      <c r="H320" s="348"/>
      <c r="I320" s="348"/>
      <c r="J320" s="382">
        <f t="shared" si="49"/>
        <v>2.4666496163682865</v>
      </c>
      <c r="K320" s="382">
        <f t="shared" si="50"/>
        <v>64.187252608695658</v>
      </c>
      <c r="L320" s="382">
        <f t="shared" si="51"/>
        <v>38.653571428571425</v>
      </c>
      <c r="M320" s="382">
        <f t="shared" si="52"/>
        <v>14.854148148148148</v>
      </c>
      <c r="N320" s="330"/>
      <c r="O320" s="382">
        <f t="shared" si="48"/>
        <v>12.409536584801941</v>
      </c>
      <c r="P320" s="382" t="str">
        <f t="shared" si="53"/>
        <v>Sol modérément sodique – Risque modéré de sodicité</v>
      </c>
      <c r="Q320" s="382">
        <f t="shared" si="54"/>
        <v>2.4669468030690536</v>
      </c>
      <c r="R320" s="382">
        <f t="shared" si="55"/>
        <v>64.050717703349278</v>
      </c>
      <c r="S320" s="382">
        <f t="shared" si="56"/>
        <v>38.598792914171653</v>
      </c>
      <c r="T320" s="382">
        <f t="shared" si="57"/>
        <v>10.595220000000001</v>
      </c>
      <c r="U320" s="382"/>
      <c r="V320" s="383">
        <f t="shared" si="58"/>
        <v>0.55353719806979451</v>
      </c>
      <c r="W320" s="386" t="str">
        <f t="shared" si="59"/>
        <v>High to very high</v>
      </c>
    </row>
    <row r="321" spans="1:23" x14ac:dyDescent="0.3">
      <c r="A321" s="348">
        <v>42415</v>
      </c>
      <c r="B321" s="333">
        <v>31467.6885</v>
      </c>
      <c r="C321" s="348">
        <v>8004</v>
      </c>
      <c r="D321" s="333">
        <v>5720.4588000000003</v>
      </c>
      <c r="E321" s="348">
        <v>2484</v>
      </c>
      <c r="F321" s="333">
        <v>1497.8519999999999</v>
      </c>
      <c r="G321" s="348">
        <v>788</v>
      </c>
      <c r="H321" s="348"/>
      <c r="I321" s="348"/>
      <c r="J321" s="382">
        <f t="shared" si="49"/>
        <v>1.6727365728900254</v>
      </c>
      <c r="K321" s="382">
        <f t="shared" si="50"/>
        <v>136.81603695652174</v>
      </c>
      <c r="L321" s="382">
        <f t="shared" si="51"/>
        <v>28.585714285714282</v>
      </c>
      <c r="M321" s="382">
        <f t="shared" si="52"/>
        <v>12.327999999999998</v>
      </c>
      <c r="N321" s="330"/>
      <c r="O321" s="382">
        <f t="shared" si="48"/>
        <v>30.249454706572163</v>
      </c>
      <c r="P321" s="382" t="str">
        <f t="shared" si="53"/>
        <v>Sol très sodique – Très haut risque de dispersion, dégradation sévère</v>
      </c>
      <c r="Q321" s="382">
        <f t="shared" si="54"/>
        <v>1.6729381074168796</v>
      </c>
      <c r="R321" s="382">
        <f t="shared" si="55"/>
        <v>136.52501087429317</v>
      </c>
      <c r="S321" s="382">
        <f t="shared" si="56"/>
        <v>28.545203592814371</v>
      </c>
      <c r="T321" s="382">
        <f t="shared" si="57"/>
        <v>8.7933599999999998</v>
      </c>
      <c r="U321" s="382"/>
      <c r="V321" s="383">
        <f t="shared" si="58"/>
        <v>0.77775847811908172</v>
      </c>
      <c r="W321" s="386" t="str">
        <f t="shared" si="59"/>
        <v>Extremely high</v>
      </c>
    </row>
    <row r="322" spans="1:23" x14ac:dyDescent="0.3">
      <c r="A322" s="348">
        <v>14383</v>
      </c>
      <c r="B322" s="333">
        <v>10670.7477</v>
      </c>
      <c r="C322" s="348">
        <v>13520</v>
      </c>
      <c r="D322" s="333">
        <v>9662.7440000000006</v>
      </c>
      <c r="E322" s="348">
        <v>2341</v>
      </c>
      <c r="F322" s="333">
        <v>1411.623</v>
      </c>
      <c r="G322" s="348">
        <v>1017</v>
      </c>
      <c r="H322" s="348"/>
      <c r="I322" s="348"/>
      <c r="J322" s="382">
        <f t="shared" si="49"/>
        <v>2.158849104859335</v>
      </c>
      <c r="K322" s="382">
        <f t="shared" si="50"/>
        <v>46.3945552173913</v>
      </c>
      <c r="L322" s="382">
        <f t="shared" si="51"/>
        <v>48.285714285714285</v>
      </c>
      <c r="M322" s="382">
        <f t="shared" si="52"/>
        <v>11.618296296296297</v>
      </c>
      <c r="N322" s="330"/>
      <c r="O322" s="382">
        <f t="shared" ref="O322:O338" si="60">(K322/((L322+M322)/2)^0.5)</f>
        <v>8.4772318982498476</v>
      </c>
      <c r="P322" s="382" t="str">
        <f t="shared" si="53"/>
        <v>Sol non sodique – Faible risque de dispersion, perméabilité normale</v>
      </c>
      <c r="Q322" s="382">
        <f t="shared" si="54"/>
        <v>2.1591092071611251</v>
      </c>
      <c r="R322" s="382">
        <f t="shared" si="55"/>
        <v>46.295867768595038</v>
      </c>
      <c r="S322" s="382">
        <f t="shared" si="56"/>
        <v>48.217285429141718</v>
      </c>
      <c r="T322" s="382">
        <f t="shared" si="57"/>
        <v>8.2871400000000008</v>
      </c>
      <c r="U322" s="382"/>
      <c r="V322" s="383">
        <f t="shared" si="58"/>
        <v>0.4410835685782703</v>
      </c>
      <c r="W322" s="386" t="str">
        <f t="shared" si="59"/>
        <v>Moderate to high</v>
      </c>
    </row>
    <row r="323" spans="1:23" x14ac:dyDescent="0.3">
      <c r="A323" s="348">
        <v>69543</v>
      </c>
      <c r="B323" s="333">
        <v>51593.951699999998</v>
      </c>
      <c r="C323" s="348">
        <v>11839</v>
      </c>
      <c r="D323" s="333">
        <v>8461.3333000000002</v>
      </c>
      <c r="E323" s="348">
        <v>3344</v>
      </c>
      <c r="F323" s="333">
        <v>2016.432</v>
      </c>
      <c r="G323" s="348">
        <v>1289</v>
      </c>
      <c r="H323" s="348"/>
      <c r="I323" s="348"/>
      <c r="J323" s="382">
        <f t="shared" ref="J323:J338" si="61">(G323*0.83/10)/39.1</f>
        <v>2.7362404092071611</v>
      </c>
      <c r="K323" s="382">
        <f t="shared" ref="K323:K338" si="62">(A323*0.7419/10)/23</f>
        <v>224.32152913043478</v>
      </c>
      <c r="L323" s="382">
        <f t="shared" ref="L323:L338" si="63">((C323*40/56)/10)/20</f>
        <v>42.282142857142858</v>
      </c>
      <c r="M323" s="382">
        <f t="shared" ref="M323:M338" si="64">(E323*0.603/10)/12.15</f>
        <v>16.596148148148149</v>
      </c>
      <c r="N323" s="330"/>
      <c r="O323" s="382">
        <f t="shared" si="60"/>
        <v>41.343606332703118</v>
      </c>
      <c r="P323" s="382" t="str">
        <f t="shared" ref="P323:P338" si="65">IF(O323 &lt; 10, "Sol non sodique – Faible risque de dispersion, perméabilité normale",
IF(O323 &lt;= 18, "Sol modérément sodique – Risque modéré de sodicité",
IF(O323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323" s="382">
        <f t="shared" ref="Q323:Q338" si="66">(G323*0.8301)/391</f>
        <v>2.7365700767263421</v>
      </c>
      <c r="R323" s="382">
        <f t="shared" ref="R323:R338" si="67">(A323*0.74)/229.9</f>
        <v>223.84436711613745</v>
      </c>
      <c r="S323" s="382">
        <f t="shared" ref="S323:S338" si="68">C323*0.7147/200.4</f>
        <v>42.222222055888224</v>
      </c>
      <c r="T323" s="382">
        <f t="shared" ref="T323:T338" si="69">E323*0.00354</f>
        <v>11.837760000000001</v>
      </c>
      <c r="U323" s="382"/>
      <c r="V323" s="383">
        <f t="shared" ref="V323:V338" si="70">R323/(Q323+R323+S323+T323)</f>
        <v>0.79761842184435072</v>
      </c>
      <c r="W323" s="386" t="str">
        <f t="shared" ref="W323:W338" si="71">IF(V323 &lt; 15%, "None to slight",
IF(V323 &lt; 30%, "Light to moderate",
IF(V323 &lt; 50%, "Moderate to high",
IF(V323 &lt; 70%, "High to very high",
"Extremely high"))))</f>
        <v>Extremely high</v>
      </c>
    </row>
    <row r="324" spans="1:23" x14ac:dyDescent="0.3">
      <c r="A324" s="348">
        <v>20914</v>
      </c>
      <c r="B324" s="333">
        <v>15516.096600000001</v>
      </c>
      <c r="C324" s="348">
        <v>12889</v>
      </c>
      <c r="D324" s="333">
        <v>9211.7682999999997</v>
      </c>
      <c r="E324" s="348">
        <v>2991</v>
      </c>
      <c r="F324" s="333">
        <v>1803.5729999999999</v>
      </c>
      <c r="G324" s="348">
        <v>1004</v>
      </c>
      <c r="H324" s="348"/>
      <c r="I324" s="348"/>
      <c r="J324" s="382">
        <f t="shared" si="61"/>
        <v>2.1312531969309458</v>
      </c>
      <c r="K324" s="382">
        <f t="shared" si="62"/>
        <v>67.461289565217399</v>
      </c>
      <c r="L324" s="382">
        <f t="shared" si="63"/>
        <v>46.032142857142858</v>
      </c>
      <c r="M324" s="382">
        <f t="shared" si="64"/>
        <v>14.84422222222222</v>
      </c>
      <c r="N324" s="330"/>
      <c r="O324" s="382">
        <f t="shared" si="60"/>
        <v>12.227714222428132</v>
      </c>
      <c r="P324" s="382" t="str">
        <f t="shared" si="65"/>
        <v>Sol modérément sodique – Risque modéré de sodicité</v>
      </c>
      <c r="Q324" s="382">
        <f t="shared" si="66"/>
        <v>2.1315099744245525</v>
      </c>
      <c r="R324" s="382">
        <f t="shared" si="67"/>
        <v>67.317790343627664</v>
      </c>
      <c r="S324" s="382">
        <f t="shared" si="68"/>
        <v>45.966907684630733</v>
      </c>
      <c r="T324" s="382">
        <f t="shared" si="69"/>
        <v>10.588140000000001</v>
      </c>
      <c r="U324" s="382"/>
      <c r="V324" s="383">
        <f t="shared" si="70"/>
        <v>0.53424974146284465</v>
      </c>
      <c r="W324" s="386" t="str">
        <f t="shared" si="71"/>
        <v>High to very high</v>
      </c>
    </row>
    <row r="325" spans="1:23" x14ac:dyDescent="0.3">
      <c r="A325" s="348">
        <v>56285</v>
      </c>
      <c r="B325" s="333">
        <v>41757.841500000002</v>
      </c>
      <c r="C325" s="348">
        <v>12708</v>
      </c>
      <c r="D325" s="333">
        <v>9082.4076000000005</v>
      </c>
      <c r="E325" s="348">
        <v>3810</v>
      </c>
      <c r="F325" s="333">
        <v>2297.4299999999998</v>
      </c>
      <c r="G325" s="348">
        <v>1353</v>
      </c>
      <c r="H325" s="348"/>
      <c r="I325" s="348"/>
      <c r="J325" s="382">
        <f t="shared" si="61"/>
        <v>2.8720971867007674</v>
      </c>
      <c r="K325" s="382">
        <f t="shared" si="62"/>
        <v>181.55583260869568</v>
      </c>
      <c r="L325" s="382">
        <f t="shared" si="63"/>
        <v>45.385714285714286</v>
      </c>
      <c r="M325" s="382">
        <f t="shared" si="64"/>
        <v>18.908888888888889</v>
      </c>
      <c r="N325" s="330"/>
      <c r="O325" s="382">
        <f t="shared" si="60"/>
        <v>32.021225073822059</v>
      </c>
      <c r="P325" s="382" t="str">
        <f t="shared" si="65"/>
        <v>Sol très sodique – Très haut risque de dispersion, dégradation sévère</v>
      </c>
      <c r="Q325" s="382">
        <f t="shared" si="66"/>
        <v>2.8724432225063938</v>
      </c>
      <c r="R325" s="382">
        <f t="shared" si="67"/>
        <v>181.16963897346673</v>
      </c>
      <c r="S325" s="382">
        <f t="shared" si="68"/>
        <v>45.321395209580842</v>
      </c>
      <c r="T325" s="382">
        <f t="shared" si="69"/>
        <v>13.487400000000001</v>
      </c>
      <c r="U325" s="382"/>
      <c r="V325" s="383">
        <f t="shared" si="70"/>
        <v>0.74601187736669627</v>
      </c>
      <c r="W325" s="386" t="str">
        <f t="shared" si="71"/>
        <v>Extremely high</v>
      </c>
    </row>
    <row r="326" spans="1:23" x14ac:dyDescent="0.3">
      <c r="A326" s="348">
        <v>16287</v>
      </c>
      <c r="B326" s="333">
        <v>12083.3253</v>
      </c>
      <c r="C326" s="348">
        <v>13663</v>
      </c>
      <c r="D326" s="333">
        <v>9764.9460999999992</v>
      </c>
      <c r="E326" s="348">
        <v>2334</v>
      </c>
      <c r="F326" s="333">
        <v>1407.402</v>
      </c>
      <c r="G326" s="348">
        <v>1192</v>
      </c>
      <c r="H326" s="348"/>
      <c r="I326" s="348"/>
      <c r="J326" s="382">
        <f t="shared" si="61"/>
        <v>2.530332480818414</v>
      </c>
      <c r="K326" s="382">
        <f t="shared" si="62"/>
        <v>52.536196956521742</v>
      </c>
      <c r="L326" s="382">
        <f t="shared" si="63"/>
        <v>48.796428571428564</v>
      </c>
      <c r="M326" s="382">
        <f t="shared" si="64"/>
        <v>11.583555555555556</v>
      </c>
      <c r="N326" s="330"/>
      <c r="O326" s="382">
        <f t="shared" si="60"/>
        <v>9.5615242759729373</v>
      </c>
      <c r="P326" s="382" t="str">
        <f t="shared" si="65"/>
        <v>Sol non sodique – Faible risque de dispersion, perméabilité normale</v>
      </c>
      <c r="Q326" s="382">
        <f t="shared" si="66"/>
        <v>2.5306373401534525</v>
      </c>
      <c r="R326" s="382">
        <f t="shared" si="67"/>
        <v>52.424445411048275</v>
      </c>
      <c r="S326" s="382">
        <f t="shared" si="68"/>
        <v>48.727275948103788</v>
      </c>
      <c r="T326" s="382">
        <f t="shared" si="69"/>
        <v>8.262360000000001</v>
      </c>
      <c r="U326" s="382"/>
      <c r="V326" s="383">
        <f t="shared" si="70"/>
        <v>0.46830655362907714</v>
      </c>
      <c r="W326" s="386" t="str">
        <f t="shared" si="71"/>
        <v>Moderate to high</v>
      </c>
    </row>
    <row r="327" spans="1:23" x14ac:dyDescent="0.3">
      <c r="A327" s="348">
        <v>70391</v>
      </c>
      <c r="B327" s="333">
        <v>52223.082900000001</v>
      </c>
      <c r="C327" s="348">
        <v>12672</v>
      </c>
      <c r="D327" s="333">
        <v>9056.6784000000007</v>
      </c>
      <c r="E327" s="348">
        <v>4144</v>
      </c>
      <c r="F327" s="333">
        <v>2498.8319999999999</v>
      </c>
      <c r="G327" s="348">
        <v>1426</v>
      </c>
      <c r="H327" s="348"/>
      <c r="I327" s="348"/>
      <c r="J327" s="382">
        <f t="shared" si="61"/>
        <v>3.0270588235294116</v>
      </c>
      <c r="K327" s="382">
        <f t="shared" si="62"/>
        <v>227.05688217391304</v>
      </c>
      <c r="L327" s="382">
        <f t="shared" si="63"/>
        <v>45.257142857142853</v>
      </c>
      <c r="M327" s="382">
        <f t="shared" si="64"/>
        <v>20.566518518518517</v>
      </c>
      <c r="N327" s="330"/>
      <c r="O327" s="382">
        <f t="shared" si="60"/>
        <v>39.578437963647715</v>
      </c>
      <c r="P327" s="382" t="str">
        <f t="shared" si="65"/>
        <v>Sol très sodique – Très haut risque de dispersion, dégradation sévère</v>
      </c>
      <c r="Q327" s="382">
        <f t="shared" si="66"/>
        <v>3.0274235294117644</v>
      </c>
      <c r="R327" s="382">
        <f t="shared" si="67"/>
        <v>226.57390169638973</v>
      </c>
      <c r="S327" s="382">
        <f t="shared" si="68"/>
        <v>45.193005988023955</v>
      </c>
      <c r="T327" s="382">
        <f t="shared" si="69"/>
        <v>14.66976</v>
      </c>
      <c r="U327" s="382"/>
      <c r="V327" s="383">
        <f t="shared" si="70"/>
        <v>0.78273578165182811</v>
      </c>
      <c r="W327" s="386" t="str">
        <f t="shared" si="71"/>
        <v>Extremely high</v>
      </c>
    </row>
    <row r="328" spans="1:23" x14ac:dyDescent="0.3">
      <c r="A328" s="348">
        <v>16342</v>
      </c>
      <c r="B328" s="333">
        <v>12124.129800000001</v>
      </c>
      <c r="C328" s="348">
        <v>9978</v>
      </c>
      <c r="D328" s="333">
        <v>7131.2766000000001</v>
      </c>
      <c r="E328" s="348">
        <v>2338</v>
      </c>
      <c r="F328" s="333">
        <v>1409.8139999999999</v>
      </c>
      <c r="G328" s="348">
        <v>1188</v>
      </c>
      <c r="H328" s="348"/>
      <c r="I328" s="348"/>
      <c r="J328" s="382">
        <f t="shared" si="61"/>
        <v>2.521841432225064</v>
      </c>
      <c r="K328" s="382">
        <f t="shared" si="62"/>
        <v>52.713607826086957</v>
      </c>
      <c r="L328" s="382">
        <f t="shared" si="63"/>
        <v>35.635714285714286</v>
      </c>
      <c r="M328" s="382">
        <f t="shared" si="64"/>
        <v>11.603407407407405</v>
      </c>
      <c r="N328" s="330"/>
      <c r="O328" s="382">
        <f t="shared" si="60"/>
        <v>10.846430353282699</v>
      </c>
      <c r="P328" s="382" t="str">
        <f t="shared" si="65"/>
        <v>Sol modérément sodique – Risque modéré de sodicité</v>
      </c>
      <c r="Q328" s="382">
        <f t="shared" si="66"/>
        <v>2.5221452685421992</v>
      </c>
      <c r="R328" s="382">
        <f t="shared" si="67"/>
        <v>52.601478903871246</v>
      </c>
      <c r="S328" s="382">
        <f t="shared" si="68"/>
        <v>35.585212574850296</v>
      </c>
      <c r="T328" s="382">
        <f t="shared" si="69"/>
        <v>8.2765199999999997</v>
      </c>
      <c r="U328" s="382"/>
      <c r="V328" s="383">
        <f t="shared" si="70"/>
        <v>0.53140667097030292</v>
      </c>
      <c r="W328" s="386" t="str">
        <f t="shared" si="71"/>
        <v>High to very high</v>
      </c>
    </row>
    <row r="329" spans="1:23" x14ac:dyDescent="0.3">
      <c r="A329" s="348">
        <v>49848</v>
      </c>
      <c r="B329" s="333">
        <v>36982.231200000002</v>
      </c>
      <c r="C329" s="348">
        <v>11597</v>
      </c>
      <c r="D329" s="333">
        <v>8288.3759000000009</v>
      </c>
      <c r="E329" s="348">
        <v>2986</v>
      </c>
      <c r="F329" s="333">
        <v>1800.558</v>
      </c>
      <c r="G329" s="348">
        <v>1507</v>
      </c>
      <c r="H329" s="348"/>
      <c r="I329" s="348"/>
      <c r="J329" s="382">
        <f t="shared" si="61"/>
        <v>3.1990025575447567</v>
      </c>
      <c r="K329" s="382">
        <f t="shared" si="62"/>
        <v>160.79230956521741</v>
      </c>
      <c r="L329" s="382">
        <f t="shared" si="63"/>
        <v>41.417857142857144</v>
      </c>
      <c r="M329" s="382">
        <f t="shared" si="64"/>
        <v>14.819407407407407</v>
      </c>
      <c r="N329" s="330"/>
      <c r="O329" s="382">
        <f t="shared" si="60"/>
        <v>30.322721502600523</v>
      </c>
      <c r="P329" s="382" t="str">
        <f t="shared" si="65"/>
        <v>Sol très sodique – Très haut risque de dispersion, dégradation sévère</v>
      </c>
      <c r="Q329" s="382">
        <f t="shared" si="66"/>
        <v>3.1993879795396416</v>
      </c>
      <c r="R329" s="382">
        <f t="shared" si="67"/>
        <v>160.45028273162242</v>
      </c>
      <c r="S329" s="382">
        <f t="shared" si="68"/>
        <v>41.359161177644715</v>
      </c>
      <c r="T329" s="382">
        <f t="shared" si="69"/>
        <v>10.570440000000001</v>
      </c>
      <c r="U329" s="382"/>
      <c r="V329" s="383">
        <f t="shared" si="70"/>
        <v>0.74427509345323684</v>
      </c>
      <c r="W329" s="386" t="str">
        <f t="shared" si="71"/>
        <v>Extremely high</v>
      </c>
    </row>
    <row r="330" spans="1:23" x14ac:dyDescent="0.3">
      <c r="A330" s="348">
        <v>17915</v>
      </c>
      <c r="B330" s="333">
        <v>13291.138500000001</v>
      </c>
      <c r="C330" s="348">
        <v>11389</v>
      </c>
      <c r="D330" s="333">
        <v>8139.7183000000005</v>
      </c>
      <c r="E330" s="348">
        <v>3451</v>
      </c>
      <c r="F330" s="333">
        <v>2080.953</v>
      </c>
      <c r="G330" s="348">
        <v>1209</v>
      </c>
      <c r="H330" s="348"/>
      <c r="I330" s="348"/>
      <c r="J330" s="382">
        <f t="shared" si="61"/>
        <v>2.5664194373401532</v>
      </c>
      <c r="K330" s="382">
        <f t="shared" si="62"/>
        <v>57.78755869565218</v>
      </c>
      <c r="L330" s="382">
        <f t="shared" si="63"/>
        <v>40.674999999999997</v>
      </c>
      <c r="M330" s="382">
        <f t="shared" si="64"/>
        <v>17.127185185185187</v>
      </c>
      <c r="N330" s="330"/>
      <c r="O330" s="382">
        <f t="shared" si="60"/>
        <v>10.749226568201355</v>
      </c>
      <c r="P330" s="382" t="str">
        <f t="shared" si="65"/>
        <v>Sol modérément sodique – Risque modéré de sodicité</v>
      </c>
      <c r="Q330" s="382">
        <f t="shared" si="66"/>
        <v>2.5667286445012785</v>
      </c>
      <c r="R330" s="382">
        <f t="shared" si="67"/>
        <v>57.664636798608093</v>
      </c>
      <c r="S330" s="382">
        <f t="shared" si="68"/>
        <v>40.617356786427145</v>
      </c>
      <c r="T330" s="382">
        <f t="shared" si="69"/>
        <v>12.21654</v>
      </c>
      <c r="U330" s="382"/>
      <c r="V330" s="383">
        <f t="shared" si="70"/>
        <v>0.5100119670844766</v>
      </c>
      <c r="W330" s="386" t="str">
        <f t="shared" si="71"/>
        <v>High to very high</v>
      </c>
    </row>
    <row r="331" spans="1:23" x14ac:dyDescent="0.3">
      <c r="A331" s="348">
        <v>50766</v>
      </c>
      <c r="B331" s="333">
        <v>37663.295400000003</v>
      </c>
      <c r="C331" s="348">
        <v>12150</v>
      </c>
      <c r="D331" s="333">
        <v>8683.6049999999996</v>
      </c>
      <c r="E331" s="348">
        <v>3298</v>
      </c>
      <c r="F331" s="333">
        <v>1988.694</v>
      </c>
      <c r="G331" s="348">
        <v>1521</v>
      </c>
      <c r="H331" s="348"/>
      <c r="I331" s="348"/>
      <c r="J331" s="382">
        <f t="shared" si="61"/>
        <v>3.2287212276214827</v>
      </c>
      <c r="K331" s="382">
        <f t="shared" si="62"/>
        <v>163.75345826086956</v>
      </c>
      <c r="L331" s="382">
        <f t="shared" si="63"/>
        <v>43.392857142857146</v>
      </c>
      <c r="M331" s="382">
        <f t="shared" si="64"/>
        <v>16.367851851851849</v>
      </c>
      <c r="N331" s="330"/>
      <c r="O331" s="382">
        <f t="shared" si="60"/>
        <v>29.95695090663737</v>
      </c>
      <c r="P331" s="382" t="str">
        <f t="shared" si="65"/>
        <v>Sol très sodique – Très haut risque de dispersion, dégradation sévère</v>
      </c>
      <c r="Q331" s="382">
        <f t="shared" si="66"/>
        <v>3.2291102301790278</v>
      </c>
      <c r="R331" s="382">
        <f t="shared" si="67"/>
        <v>163.40513266637666</v>
      </c>
      <c r="S331" s="382">
        <f t="shared" si="68"/>
        <v>43.331362275449095</v>
      </c>
      <c r="T331" s="382">
        <f t="shared" si="69"/>
        <v>11.67492</v>
      </c>
      <c r="U331" s="382"/>
      <c r="V331" s="383">
        <f t="shared" si="70"/>
        <v>0.73725295741636421</v>
      </c>
      <c r="W331" s="386" t="str">
        <f t="shared" si="71"/>
        <v>Extremely high</v>
      </c>
    </row>
    <row r="332" spans="1:23" x14ac:dyDescent="0.3">
      <c r="A332" s="348">
        <v>15858</v>
      </c>
      <c r="B332" s="333">
        <v>11765.0502</v>
      </c>
      <c r="C332" s="348">
        <v>12147</v>
      </c>
      <c r="D332" s="333">
        <v>8681.4609</v>
      </c>
      <c r="E332" s="348">
        <v>2830</v>
      </c>
      <c r="F332" s="333">
        <v>1706.49</v>
      </c>
      <c r="G332" s="348">
        <v>1334</v>
      </c>
      <c r="H332" s="348"/>
      <c r="I332" s="348"/>
      <c r="J332" s="382">
        <f t="shared" si="61"/>
        <v>2.8317647058823532</v>
      </c>
      <c r="K332" s="382">
        <f t="shared" si="62"/>
        <v>51.152392173913043</v>
      </c>
      <c r="L332" s="382">
        <f t="shared" si="63"/>
        <v>43.382142857142853</v>
      </c>
      <c r="M332" s="382">
        <f t="shared" si="64"/>
        <v>14.045185185185185</v>
      </c>
      <c r="N332" s="330"/>
      <c r="O332" s="382">
        <f t="shared" si="60"/>
        <v>9.5460046456213909</v>
      </c>
      <c r="P332" s="382" t="str">
        <f t="shared" si="65"/>
        <v>Sol non sodique – Faible risque de dispersion, perméabilité normale</v>
      </c>
      <c r="Q332" s="382">
        <f t="shared" si="66"/>
        <v>2.8321058823529413</v>
      </c>
      <c r="R332" s="382">
        <f t="shared" si="67"/>
        <v>51.043584167029145</v>
      </c>
      <c r="S332" s="382">
        <f t="shared" si="68"/>
        <v>43.32066317365269</v>
      </c>
      <c r="T332" s="382">
        <f t="shared" si="69"/>
        <v>10.0182</v>
      </c>
      <c r="U332" s="382"/>
      <c r="V332" s="383">
        <f t="shared" si="70"/>
        <v>0.47608820475001107</v>
      </c>
      <c r="W332" s="386" t="str">
        <f t="shared" si="71"/>
        <v>Moderate to high</v>
      </c>
    </row>
    <row r="333" spans="1:23" x14ac:dyDescent="0.3">
      <c r="A333" s="348">
        <v>67340</v>
      </c>
      <c r="B333" s="333">
        <v>49959.546000000002</v>
      </c>
      <c r="C333" s="348">
        <v>10251</v>
      </c>
      <c r="D333" s="333">
        <v>7326.3896999999997</v>
      </c>
      <c r="E333" s="348">
        <v>2982</v>
      </c>
      <c r="F333" s="333">
        <v>1798.146</v>
      </c>
      <c r="G333" s="348">
        <v>1433</v>
      </c>
      <c r="H333" s="348"/>
      <c r="I333" s="348"/>
      <c r="J333" s="382">
        <f t="shared" si="61"/>
        <v>3.0419181585677748</v>
      </c>
      <c r="K333" s="382">
        <f t="shared" si="62"/>
        <v>217.21541739130436</v>
      </c>
      <c r="L333" s="382">
        <f t="shared" si="63"/>
        <v>36.61071428571428</v>
      </c>
      <c r="M333" s="382">
        <f t="shared" si="64"/>
        <v>14.799555555555553</v>
      </c>
      <c r="N333" s="330"/>
      <c r="O333" s="382">
        <f t="shared" si="60"/>
        <v>42.843081817996548</v>
      </c>
      <c r="P333" s="382" t="str">
        <f t="shared" si="65"/>
        <v>Sol très sodique – Très haut risque de dispersion, dégradation sévère</v>
      </c>
      <c r="Q333" s="382">
        <f t="shared" si="66"/>
        <v>3.0422846547314575</v>
      </c>
      <c r="R333" s="382">
        <f t="shared" si="67"/>
        <v>216.75337103088299</v>
      </c>
      <c r="S333" s="382">
        <f t="shared" si="68"/>
        <v>36.558830838323352</v>
      </c>
      <c r="T333" s="382">
        <f t="shared" si="69"/>
        <v>10.556280000000001</v>
      </c>
      <c r="U333" s="382"/>
      <c r="V333" s="383">
        <f t="shared" si="70"/>
        <v>0.81208178243886442</v>
      </c>
      <c r="W333" s="386" t="str">
        <f t="shared" si="71"/>
        <v>Extremely high</v>
      </c>
    </row>
    <row r="334" spans="1:23" x14ac:dyDescent="0.3">
      <c r="A334" s="348">
        <v>21614</v>
      </c>
      <c r="B334" s="333">
        <v>16035.426600000001</v>
      </c>
      <c r="C334" s="348">
        <v>13017</v>
      </c>
      <c r="D334" s="333">
        <v>9303.2499000000007</v>
      </c>
      <c r="E334" s="348">
        <v>3420</v>
      </c>
      <c r="F334" s="333">
        <v>2062.2599999999998</v>
      </c>
      <c r="G334" s="348">
        <v>1145</v>
      </c>
      <c r="H334" s="348"/>
      <c r="I334" s="348"/>
      <c r="J334" s="382">
        <f t="shared" si="61"/>
        <v>2.4305626598465473</v>
      </c>
      <c r="K334" s="382">
        <f t="shared" si="62"/>
        <v>69.719246086956531</v>
      </c>
      <c r="L334" s="382">
        <f t="shared" si="63"/>
        <v>46.489285714285714</v>
      </c>
      <c r="M334" s="382">
        <f t="shared" si="64"/>
        <v>16.973333333333329</v>
      </c>
      <c r="N334" s="330"/>
      <c r="O334" s="382">
        <f t="shared" si="60"/>
        <v>12.376808873400261</v>
      </c>
      <c r="P334" s="382" t="str">
        <f t="shared" si="65"/>
        <v>Sol modérément sodique – Risque modéré de sodicité</v>
      </c>
      <c r="Q334" s="382">
        <f t="shared" si="66"/>
        <v>2.4308554987212276</v>
      </c>
      <c r="R334" s="382">
        <f t="shared" si="67"/>
        <v>69.570943888647236</v>
      </c>
      <c r="S334" s="382">
        <f t="shared" si="68"/>
        <v>46.423402694610779</v>
      </c>
      <c r="T334" s="382">
        <f t="shared" si="69"/>
        <v>12.1068</v>
      </c>
      <c r="U334" s="382"/>
      <c r="V334" s="383">
        <f t="shared" si="70"/>
        <v>0.53297998022702464</v>
      </c>
      <c r="W334" s="386" t="str">
        <f t="shared" si="71"/>
        <v>High to very high</v>
      </c>
    </row>
    <row r="335" spans="1:23" x14ac:dyDescent="0.3">
      <c r="A335" s="348">
        <v>58086</v>
      </c>
      <c r="B335" s="333">
        <v>43094.003400000001</v>
      </c>
      <c r="C335" s="348">
        <v>10510</v>
      </c>
      <c r="D335" s="333">
        <v>7511.4970000000003</v>
      </c>
      <c r="E335" s="348">
        <v>4219</v>
      </c>
      <c r="F335" s="333">
        <v>2544.0569999999998</v>
      </c>
      <c r="G335" s="348">
        <v>1386</v>
      </c>
      <c r="H335" s="348"/>
      <c r="I335" s="348"/>
      <c r="J335" s="382">
        <f t="shared" si="61"/>
        <v>2.9421483375959072</v>
      </c>
      <c r="K335" s="382">
        <f t="shared" si="62"/>
        <v>187.36523217391306</v>
      </c>
      <c r="L335" s="382">
        <f t="shared" si="63"/>
        <v>37.535714285714285</v>
      </c>
      <c r="M335" s="382">
        <f t="shared" si="64"/>
        <v>20.938740740740737</v>
      </c>
      <c r="N335" s="330"/>
      <c r="O335" s="382">
        <f t="shared" si="60"/>
        <v>34.651410060331884</v>
      </c>
      <c r="P335" s="382" t="str">
        <f t="shared" si="65"/>
        <v>Sol très sodique – Très haut risque de dispersion, dégradation sévère</v>
      </c>
      <c r="Q335" s="382">
        <f t="shared" si="66"/>
        <v>2.9425028132992326</v>
      </c>
      <c r="R335" s="382">
        <f t="shared" si="67"/>
        <v>186.96668116572422</v>
      </c>
      <c r="S335" s="382">
        <f t="shared" si="68"/>
        <v>37.482519960079841</v>
      </c>
      <c r="T335" s="382">
        <f t="shared" si="69"/>
        <v>14.935260000000001</v>
      </c>
      <c r="U335" s="382"/>
      <c r="V335" s="383">
        <f t="shared" si="70"/>
        <v>0.77154716143230717</v>
      </c>
      <c r="W335" s="386" t="str">
        <f t="shared" si="71"/>
        <v>Extremely high</v>
      </c>
    </row>
    <row r="336" spans="1:23" x14ac:dyDescent="0.3">
      <c r="A336" s="348">
        <v>24010</v>
      </c>
      <c r="B336" s="333">
        <v>17813.019</v>
      </c>
      <c r="C336" s="348">
        <v>12759</v>
      </c>
      <c r="D336" s="333">
        <v>9118.8572999999997</v>
      </c>
      <c r="E336" s="348">
        <v>3262</v>
      </c>
      <c r="F336" s="333">
        <v>1966.9859999999999</v>
      </c>
      <c r="G336" s="348">
        <v>1091</v>
      </c>
      <c r="H336" s="348"/>
      <c r="I336" s="348"/>
      <c r="J336" s="382">
        <f t="shared" si="61"/>
        <v>2.3159335038363169</v>
      </c>
      <c r="K336" s="382">
        <f t="shared" si="62"/>
        <v>77.447908695652174</v>
      </c>
      <c r="L336" s="382">
        <f t="shared" si="63"/>
        <v>45.567857142857143</v>
      </c>
      <c r="M336" s="382">
        <f t="shared" si="64"/>
        <v>16.189185185185185</v>
      </c>
      <c r="N336" s="330"/>
      <c r="O336" s="382">
        <f t="shared" si="60"/>
        <v>13.937389868585754</v>
      </c>
      <c r="P336" s="382" t="str">
        <f t="shared" si="65"/>
        <v>Sol modérément sodique – Risque modéré de sodicité</v>
      </c>
      <c r="Q336" s="382">
        <f t="shared" si="66"/>
        <v>2.3162125319693092</v>
      </c>
      <c r="R336" s="382">
        <f t="shared" si="67"/>
        <v>77.283166594171377</v>
      </c>
      <c r="S336" s="382">
        <f t="shared" si="68"/>
        <v>45.503279940119761</v>
      </c>
      <c r="T336" s="382">
        <f t="shared" si="69"/>
        <v>11.54748</v>
      </c>
      <c r="U336" s="382"/>
      <c r="V336" s="383">
        <f t="shared" si="70"/>
        <v>0.56555497946985211</v>
      </c>
      <c r="W336" s="386" t="str">
        <f t="shared" si="71"/>
        <v>High to very high</v>
      </c>
    </row>
    <row r="337" spans="1:23" x14ac:dyDescent="0.3">
      <c r="A337" s="348">
        <v>55595</v>
      </c>
      <c r="B337" s="333">
        <v>41245.930500000002</v>
      </c>
      <c r="C337" s="348">
        <v>9506</v>
      </c>
      <c r="D337" s="333">
        <v>6793.9381999999996</v>
      </c>
      <c r="E337" s="348">
        <v>2451</v>
      </c>
      <c r="F337" s="333">
        <v>1477.953</v>
      </c>
      <c r="G337" s="348">
        <v>1157</v>
      </c>
      <c r="H337" s="348"/>
      <c r="I337" s="348"/>
      <c r="J337" s="382">
        <f t="shared" si="61"/>
        <v>2.4560358056265983</v>
      </c>
      <c r="K337" s="382">
        <f t="shared" si="62"/>
        <v>179.33013260869566</v>
      </c>
      <c r="L337" s="382">
        <f t="shared" si="63"/>
        <v>33.950000000000003</v>
      </c>
      <c r="M337" s="382">
        <f t="shared" si="64"/>
        <v>12.164222222222222</v>
      </c>
      <c r="N337" s="330"/>
      <c r="O337" s="382">
        <f t="shared" si="60"/>
        <v>37.346578780154161</v>
      </c>
      <c r="P337" s="382" t="str">
        <f t="shared" si="65"/>
        <v>Sol très sodique – Très haut risque de dispersion, dégradation sévère</v>
      </c>
      <c r="Q337" s="382">
        <f t="shared" si="66"/>
        <v>2.4563317135549871</v>
      </c>
      <c r="R337" s="382">
        <f t="shared" si="67"/>
        <v>178.94867333623316</v>
      </c>
      <c r="S337" s="382">
        <f t="shared" si="68"/>
        <v>33.901887225548897</v>
      </c>
      <c r="T337" s="382">
        <f t="shared" si="69"/>
        <v>8.676540000000001</v>
      </c>
      <c r="U337" s="382"/>
      <c r="V337" s="383">
        <f t="shared" si="70"/>
        <v>0.79893709779505562</v>
      </c>
      <c r="W337" s="386" t="str">
        <f t="shared" si="71"/>
        <v>Extremely high</v>
      </c>
    </row>
    <row r="338" spans="1:23" x14ac:dyDescent="0.3">
      <c r="A338" s="348">
        <v>23511</v>
      </c>
      <c r="B338" s="333">
        <v>17442.8109</v>
      </c>
      <c r="C338" s="348">
        <v>10790</v>
      </c>
      <c r="D338" s="333">
        <v>7711.6130000000003</v>
      </c>
      <c r="E338" s="348">
        <v>3237</v>
      </c>
      <c r="F338" s="333">
        <v>1951.9109999999998</v>
      </c>
      <c r="G338" s="348">
        <v>1028</v>
      </c>
      <c r="H338" s="348"/>
      <c r="I338" s="348"/>
      <c r="J338" s="382">
        <f t="shared" si="61"/>
        <v>2.1821994884910483</v>
      </c>
      <c r="K338" s="382">
        <f t="shared" si="62"/>
        <v>75.838308260869567</v>
      </c>
      <c r="L338" s="382">
        <f t="shared" si="63"/>
        <v>38.535714285714285</v>
      </c>
      <c r="M338" s="382">
        <f t="shared" si="64"/>
        <v>16.065111111111108</v>
      </c>
      <c r="N338" s="330"/>
      <c r="O338" s="382">
        <f t="shared" si="60"/>
        <v>14.514565193970968</v>
      </c>
      <c r="P338" s="382" t="str">
        <f t="shared" si="65"/>
        <v>Sol modérément sodique – Risque modéré de sodicité</v>
      </c>
      <c r="Q338" s="382">
        <f t="shared" si="66"/>
        <v>2.1824624040920715</v>
      </c>
      <c r="R338" s="382">
        <f t="shared" si="67"/>
        <v>75.676989995650274</v>
      </c>
      <c r="S338" s="382">
        <f t="shared" si="68"/>
        <v>38.481102794411179</v>
      </c>
      <c r="T338" s="382">
        <f t="shared" si="69"/>
        <v>11.45898</v>
      </c>
      <c r="U338" s="382"/>
      <c r="V338" s="383">
        <f t="shared" si="70"/>
        <v>0.59215387505659944</v>
      </c>
      <c r="W338" s="386" t="str">
        <f t="shared" si="71"/>
        <v>High to very high</v>
      </c>
    </row>
    <row r="339" spans="1:23" x14ac:dyDescent="0.3">
      <c r="A339" s="330"/>
      <c r="B339" s="330"/>
      <c r="C339" s="330"/>
      <c r="D339" s="330"/>
      <c r="E339" s="330"/>
      <c r="F339" s="330"/>
      <c r="G339" s="330"/>
      <c r="H339" s="332"/>
      <c r="I339" s="332"/>
      <c r="O339" s="384"/>
      <c r="V339" s="384"/>
    </row>
    <row r="340" spans="1:23" x14ac:dyDescent="0.3">
      <c r="A340" s="333"/>
      <c r="B340" s="333"/>
      <c r="C340" s="333"/>
      <c r="D340" s="333"/>
      <c r="E340" s="333"/>
      <c r="F340" s="333"/>
      <c r="G340" s="333"/>
      <c r="H340" s="332"/>
      <c r="I340" s="332"/>
      <c r="L340" s="455"/>
    </row>
    <row r="341" spans="1:23" x14ac:dyDescent="0.3">
      <c r="A341" s="333"/>
      <c r="B341" s="333"/>
      <c r="C341" s="333"/>
      <c r="D341" s="333"/>
      <c r="E341" s="333"/>
      <c r="F341" s="333"/>
      <c r="G341" s="333"/>
      <c r="H341" s="332"/>
      <c r="I341" s="332"/>
      <c r="L341" s="455"/>
    </row>
    <row r="342" spans="1:23" x14ac:dyDescent="0.3">
      <c r="A342" s="333"/>
      <c r="B342" s="333"/>
      <c r="C342" s="333"/>
      <c r="D342" s="333"/>
      <c r="E342" s="333"/>
      <c r="F342" s="333"/>
      <c r="G342" s="333"/>
      <c r="H342" s="332"/>
      <c r="I342" s="332"/>
    </row>
    <row r="343" spans="1:23" x14ac:dyDescent="0.3">
      <c r="A343" s="333"/>
      <c r="B343" s="333"/>
      <c r="C343" s="333"/>
      <c r="D343" s="333"/>
      <c r="E343" s="333"/>
      <c r="F343" s="333"/>
      <c r="G343" s="333"/>
      <c r="H343" s="332"/>
      <c r="I343" s="332"/>
    </row>
    <row r="344" spans="1:23" x14ac:dyDescent="0.3">
      <c r="A344" s="333"/>
      <c r="B344" s="333"/>
      <c r="C344" s="333"/>
      <c r="D344" s="333"/>
      <c r="E344" s="333"/>
      <c r="F344" s="333"/>
      <c r="G344" s="333"/>
      <c r="H344" s="332"/>
      <c r="I344" s="332"/>
    </row>
    <row r="345" spans="1:23" x14ac:dyDescent="0.3">
      <c r="A345" s="333"/>
      <c r="B345" s="333"/>
      <c r="C345" s="333"/>
      <c r="D345" s="333"/>
      <c r="E345" s="333"/>
      <c r="F345" s="333"/>
      <c r="G345" s="333"/>
      <c r="H345" s="332"/>
      <c r="I345" s="332"/>
    </row>
    <row r="346" spans="1:23" x14ac:dyDescent="0.3">
      <c r="A346" s="333"/>
      <c r="B346" s="333"/>
      <c r="C346" s="333"/>
      <c r="D346" s="333"/>
      <c r="E346" s="333"/>
      <c r="F346" s="333"/>
      <c r="G346" s="333"/>
      <c r="H346" s="332"/>
      <c r="I346" s="332"/>
    </row>
    <row r="347" spans="1:23" x14ac:dyDescent="0.3">
      <c r="A347" s="333"/>
      <c r="B347" s="333"/>
      <c r="C347" s="333"/>
      <c r="D347" s="333"/>
      <c r="E347" s="333"/>
      <c r="F347" s="333"/>
      <c r="G347" s="333"/>
      <c r="H347" s="332"/>
      <c r="I347" s="332"/>
    </row>
    <row r="348" spans="1:23" x14ac:dyDescent="0.3">
      <c r="A348" s="333"/>
      <c r="B348" s="333"/>
      <c r="C348" s="333"/>
      <c r="D348" s="333"/>
      <c r="E348" s="333"/>
      <c r="F348" s="333"/>
      <c r="G348" s="333"/>
      <c r="H348" s="332"/>
      <c r="I348" s="332"/>
    </row>
    <row r="349" spans="1:23" x14ac:dyDescent="0.3">
      <c r="A349" s="333"/>
      <c r="B349" s="333"/>
      <c r="C349" s="333"/>
      <c r="D349" s="333"/>
      <c r="E349" s="333"/>
      <c r="F349" s="333"/>
      <c r="G349" s="333"/>
      <c r="H349" s="332"/>
      <c r="I349" s="332"/>
    </row>
    <row r="350" spans="1:23" x14ac:dyDescent="0.3">
      <c r="A350" s="333"/>
      <c r="B350" s="333"/>
      <c r="C350" s="333"/>
      <c r="D350" s="333"/>
      <c r="E350" s="333"/>
      <c r="F350" s="333"/>
      <c r="G350" s="333"/>
      <c r="H350" s="332"/>
      <c r="I350" s="332"/>
    </row>
    <row r="351" spans="1:23" x14ac:dyDescent="0.3">
      <c r="A351" s="333"/>
      <c r="B351" s="333"/>
      <c r="C351" s="333"/>
      <c r="D351" s="333"/>
      <c r="E351" s="333"/>
      <c r="F351" s="333"/>
      <c r="G351" s="333"/>
      <c r="H351" s="332"/>
      <c r="I351" s="332"/>
    </row>
    <row r="352" spans="1:23" x14ac:dyDescent="0.3">
      <c r="A352" s="333"/>
      <c r="B352" s="333"/>
      <c r="C352" s="333"/>
      <c r="D352" s="333"/>
      <c r="E352" s="333"/>
      <c r="F352" s="333"/>
      <c r="G352" s="333"/>
      <c r="H352" s="332"/>
      <c r="I352" s="332"/>
    </row>
    <row r="353" spans="1:9" x14ac:dyDescent="0.3">
      <c r="A353" s="333"/>
      <c r="B353" s="333"/>
      <c r="C353" s="333"/>
      <c r="D353" s="333"/>
      <c r="E353" s="333"/>
      <c r="F353" s="333"/>
      <c r="G353" s="333"/>
      <c r="H353" s="332"/>
      <c r="I353" s="332"/>
    </row>
    <row r="354" spans="1:9" x14ac:dyDescent="0.3">
      <c r="A354" s="333"/>
      <c r="B354" s="333"/>
      <c r="C354" s="333"/>
      <c r="D354" s="333"/>
      <c r="E354" s="333"/>
      <c r="F354" s="333"/>
      <c r="G354" s="333"/>
      <c r="H354" s="332"/>
      <c r="I354" s="3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8"/>
  <sheetViews>
    <sheetView zoomScale="72" zoomScaleNormal="72" workbookViewId="0">
      <selection activeCell="A43" sqref="A43"/>
    </sheetView>
  </sheetViews>
  <sheetFormatPr baseColWidth="10" defaultColWidth="11.44140625" defaultRowHeight="15.6" x14ac:dyDescent="0.3"/>
  <cols>
    <col min="1" max="1" width="18.21875" style="333" customWidth="1"/>
    <col min="2" max="2" width="9.21875" style="420"/>
    <col min="3" max="3" width="32.6640625" customWidth="1"/>
  </cols>
  <sheetData>
    <row r="1" spans="1:3" ht="16.2" thickBot="1" x14ac:dyDescent="0.35">
      <c r="A1" s="19" t="s">
        <v>1031</v>
      </c>
      <c r="B1" s="387" t="s">
        <v>1122</v>
      </c>
    </row>
    <row r="2" spans="1:3" x14ac:dyDescent="0.3">
      <c r="A2" s="28">
        <v>0.43</v>
      </c>
      <c r="B2" s="388">
        <v>3.0980275580481893E-2</v>
      </c>
      <c r="C2" t="str">
        <f>IF(AND(B2&gt;15, A2&lt;0.5), "non salin, alcalin",
   IF(AND(B2&gt;15, A2&gt;=0.5), "salin et alcalin",
   IF(AND(B2&lt;=15, A2&lt;0.5), "non salin et non alcalin",
   IF(AND(B2&lt;=15, A2&gt;=0.5), "salin et non alcalin"))))</f>
        <v>non salin et non alcalin</v>
      </c>
    </row>
    <row r="3" spans="1:3" x14ac:dyDescent="0.3">
      <c r="A3" s="41">
        <v>4.5</v>
      </c>
      <c r="B3" s="389">
        <v>0.19473370829526421</v>
      </c>
      <c r="C3" t="str">
        <f t="shared" ref="C3:C66" si="0">IF(AND(B3&gt;15, A3&lt;0.5), "non salin, alcalin",
   IF(AND(B3&gt;15, A3&gt;=0.5), "salin et alcalin",
   IF(AND(B3&lt;=15, A3&lt;0.5), "non salin et non alcalin",
   IF(AND(B3&lt;=15, A3&gt;=0.5), "salin et non alcalin"))))</f>
        <v>salin et non alcalin</v>
      </c>
    </row>
    <row r="4" spans="1:3" x14ac:dyDescent="0.3">
      <c r="A4" s="41">
        <v>0.18</v>
      </c>
      <c r="B4" s="389">
        <v>1.7332969336739765E-2</v>
      </c>
      <c r="C4" t="str">
        <f t="shared" si="0"/>
        <v>non salin et non alcalin</v>
      </c>
    </row>
    <row r="5" spans="1:3" x14ac:dyDescent="0.3">
      <c r="A5" s="41">
        <v>0.1</v>
      </c>
      <c r="B5" s="389">
        <v>7.6608152190370512E-3</v>
      </c>
      <c r="C5" t="str">
        <f t="shared" si="0"/>
        <v>non salin et non alcalin</v>
      </c>
    </row>
    <row r="6" spans="1:3" x14ac:dyDescent="0.3">
      <c r="A6" s="41">
        <v>0.24</v>
      </c>
      <c r="B6" s="389">
        <v>2.296208814842499E-2</v>
      </c>
      <c r="C6" t="str">
        <f t="shared" si="0"/>
        <v>non salin et non alcalin</v>
      </c>
    </row>
    <row r="7" spans="1:3" x14ac:dyDescent="0.3">
      <c r="A7" s="41">
        <v>2.2000000000000002</v>
      </c>
      <c r="B7" s="389">
        <v>5.4280408119752009E-4</v>
      </c>
      <c r="C7" t="str">
        <f t="shared" si="0"/>
        <v>salin et non alcalin</v>
      </c>
    </row>
    <row r="8" spans="1:3" x14ac:dyDescent="0.3">
      <c r="A8" s="41">
        <v>4.3</v>
      </c>
      <c r="B8" s="389">
        <v>0.19225943355170305</v>
      </c>
      <c r="C8" t="str">
        <f t="shared" si="0"/>
        <v>salin et non alcalin</v>
      </c>
    </row>
    <row r="9" spans="1:3" x14ac:dyDescent="0.3">
      <c r="A9" s="41">
        <v>2.5</v>
      </c>
      <c r="B9" s="389">
        <v>0.23974188338419786</v>
      </c>
      <c r="C9" t="str">
        <f t="shared" si="0"/>
        <v>salin et non alcalin</v>
      </c>
    </row>
    <row r="10" spans="1:3" x14ac:dyDescent="0.3">
      <c r="A10" s="41">
        <v>22.98</v>
      </c>
      <c r="B10" s="389">
        <v>0.62690301223157796</v>
      </c>
      <c r="C10" t="str">
        <f t="shared" si="0"/>
        <v>salin et non alcalin</v>
      </c>
    </row>
    <row r="11" spans="1:3" x14ac:dyDescent="0.3">
      <c r="A11" s="41">
        <v>9.1999999999999993</v>
      </c>
      <c r="B11" s="389">
        <v>0.42657431604601415</v>
      </c>
      <c r="C11" t="str">
        <f t="shared" si="0"/>
        <v>salin et non alcalin</v>
      </c>
    </row>
    <row r="12" spans="1:3" ht="16.2" thickBot="1" x14ac:dyDescent="0.35">
      <c r="A12" s="50">
        <v>0.14000000000000001</v>
      </c>
      <c r="B12" s="390">
        <v>1.6912657427944362E-2</v>
      </c>
      <c r="C12" t="str">
        <f t="shared" si="0"/>
        <v>non salin et non alcalin</v>
      </c>
    </row>
    <row r="13" spans="1:3" x14ac:dyDescent="0.3">
      <c r="A13" s="57">
        <v>0.08</v>
      </c>
      <c r="B13" s="391">
        <v>1.1517372388039484E-2</v>
      </c>
      <c r="C13" t="str">
        <f t="shared" si="0"/>
        <v>non salin et non alcalin</v>
      </c>
    </row>
    <row r="14" spans="1:3" x14ac:dyDescent="0.3">
      <c r="A14" s="61">
        <v>0.11</v>
      </c>
      <c r="B14" s="392">
        <v>1.5075360944155942E-2</v>
      </c>
      <c r="C14" t="str">
        <f t="shared" si="0"/>
        <v>non salin et non alcalin</v>
      </c>
    </row>
    <row r="15" spans="1:3" x14ac:dyDescent="0.3">
      <c r="A15" s="61">
        <v>0.1</v>
      </c>
      <c r="B15" s="392">
        <v>1.5109916928444132E-2</v>
      </c>
      <c r="C15" t="str">
        <f t="shared" si="0"/>
        <v>non salin et non alcalin</v>
      </c>
    </row>
    <row r="16" spans="1:3" x14ac:dyDescent="0.3">
      <c r="A16" s="61">
        <v>0.08</v>
      </c>
      <c r="B16" s="392">
        <v>1.376812498657496E-2</v>
      </c>
      <c r="C16" t="str">
        <f t="shared" si="0"/>
        <v>non salin et non alcalin</v>
      </c>
    </row>
    <row r="17" spans="1:3" x14ac:dyDescent="0.3">
      <c r="A17" s="61">
        <v>46.27</v>
      </c>
      <c r="B17" s="392">
        <v>0.77176456675317606</v>
      </c>
      <c r="C17" t="str">
        <f t="shared" si="0"/>
        <v>salin et non alcalin</v>
      </c>
    </row>
    <row r="18" spans="1:3" ht="16.2" thickBot="1" x14ac:dyDescent="0.35">
      <c r="A18" s="75">
        <v>43.63</v>
      </c>
      <c r="B18" s="393">
        <v>0.84075242964732844</v>
      </c>
      <c r="C18" t="str">
        <f t="shared" si="0"/>
        <v>salin et non alcalin</v>
      </c>
    </row>
    <row r="19" spans="1:3" x14ac:dyDescent="0.3">
      <c r="A19" s="83">
        <v>0.14000000000000001</v>
      </c>
      <c r="B19" s="394">
        <v>3.1951934991188834E-2</v>
      </c>
      <c r="C19" t="str">
        <f t="shared" si="0"/>
        <v>non salin et non alcalin</v>
      </c>
    </row>
    <row r="20" spans="1:3" x14ac:dyDescent="0.3">
      <c r="A20" s="87">
        <v>0.17</v>
      </c>
      <c r="B20" s="395">
        <v>3.2061674091835905E-2</v>
      </c>
      <c r="C20" t="str">
        <f t="shared" si="0"/>
        <v>non salin et non alcalin</v>
      </c>
    </row>
    <row r="21" spans="1:3" x14ac:dyDescent="0.3">
      <c r="A21" s="87">
        <v>0.12</v>
      </c>
      <c r="B21" s="395">
        <v>1.8839187511829034E-2</v>
      </c>
      <c r="C21" t="str">
        <f t="shared" si="0"/>
        <v>non salin et non alcalin</v>
      </c>
    </row>
    <row r="22" spans="1:3" x14ac:dyDescent="0.3">
      <c r="A22" s="87">
        <v>0.12</v>
      </c>
      <c r="B22" s="395">
        <v>1.7134146709325258E-2</v>
      </c>
      <c r="C22" t="str">
        <f t="shared" si="0"/>
        <v>non salin et non alcalin</v>
      </c>
    </row>
    <row r="23" spans="1:3" x14ac:dyDescent="0.3">
      <c r="A23" s="87">
        <v>3.5</v>
      </c>
      <c r="B23" s="395">
        <v>0.30444820438280645</v>
      </c>
      <c r="C23" t="str">
        <f t="shared" si="0"/>
        <v>salin et non alcalin</v>
      </c>
    </row>
    <row r="24" spans="1:3" x14ac:dyDescent="0.3">
      <c r="A24" s="87">
        <v>0.16</v>
      </c>
      <c r="B24" s="395">
        <v>0.11432471315965997</v>
      </c>
      <c r="C24" t="str">
        <f t="shared" si="0"/>
        <v>non salin et non alcalin</v>
      </c>
    </row>
    <row r="25" spans="1:3" x14ac:dyDescent="0.3">
      <c r="A25" s="87">
        <v>0.8</v>
      </c>
      <c r="B25" s="395">
        <v>0.17285812395093442</v>
      </c>
      <c r="C25" t="str">
        <f t="shared" si="0"/>
        <v>salin et non alcalin</v>
      </c>
    </row>
    <row r="26" spans="1:3" x14ac:dyDescent="0.3">
      <c r="A26" s="87">
        <v>1.3</v>
      </c>
      <c r="B26" s="395">
        <v>0.23567507079312613</v>
      </c>
      <c r="C26" t="str">
        <f t="shared" si="0"/>
        <v>salin et non alcalin</v>
      </c>
    </row>
    <row r="27" spans="1:3" x14ac:dyDescent="0.3">
      <c r="A27" s="87">
        <v>2.1</v>
      </c>
      <c r="B27" s="395">
        <v>0.32403467218662985</v>
      </c>
      <c r="C27" t="str">
        <f t="shared" si="0"/>
        <v>salin et non alcalin</v>
      </c>
    </row>
    <row r="28" spans="1:3" x14ac:dyDescent="0.3">
      <c r="A28" s="87">
        <v>2.9</v>
      </c>
      <c r="B28" s="395">
        <v>0.33721196046227675</v>
      </c>
      <c r="C28" t="str">
        <f t="shared" si="0"/>
        <v>salin et non alcalin</v>
      </c>
    </row>
    <row r="29" spans="1:3" x14ac:dyDescent="0.3">
      <c r="A29" s="87">
        <v>2.2999999999999998</v>
      </c>
      <c r="B29" s="395">
        <v>0.25863283995809455</v>
      </c>
      <c r="C29" t="str">
        <f t="shared" si="0"/>
        <v>salin et non alcalin</v>
      </c>
    </row>
    <row r="30" spans="1:3" x14ac:dyDescent="0.3">
      <c r="A30" s="87">
        <v>0.6</v>
      </c>
      <c r="B30" s="395">
        <v>0.13088504490684855</v>
      </c>
      <c r="C30" t="str">
        <f t="shared" si="0"/>
        <v>salin et non alcalin</v>
      </c>
    </row>
    <row r="31" spans="1:3" x14ac:dyDescent="0.3">
      <c r="A31" s="87">
        <v>0.74</v>
      </c>
      <c r="B31" s="395">
        <v>0.14331281409068075</v>
      </c>
      <c r="C31" t="str">
        <f t="shared" si="0"/>
        <v>salin et non alcalin</v>
      </c>
    </row>
    <row r="32" spans="1:3" x14ac:dyDescent="0.3">
      <c r="A32" s="87">
        <v>0.43</v>
      </c>
      <c r="B32" s="395">
        <v>0.11390173131707147</v>
      </c>
      <c r="C32" t="str">
        <f t="shared" si="0"/>
        <v>non salin et non alcalin</v>
      </c>
    </row>
    <row r="33" spans="1:3" x14ac:dyDescent="0.3">
      <c r="A33" s="87">
        <v>2.8</v>
      </c>
      <c r="B33" s="395">
        <v>0.36375901202478372</v>
      </c>
      <c r="C33" t="str">
        <f t="shared" si="0"/>
        <v>salin et non alcalin</v>
      </c>
    </row>
    <row r="34" spans="1:3" x14ac:dyDescent="0.3">
      <c r="A34" s="87">
        <v>1</v>
      </c>
      <c r="B34" s="395">
        <v>0.13219184886675314</v>
      </c>
      <c r="C34" t="str">
        <f t="shared" si="0"/>
        <v>salin et non alcalin</v>
      </c>
    </row>
    <row r="35" spans="1:3" x14ac:dyDescent="0.3">
      <c r="A35" s="87">
        <v>0.51</v>
      </c>
      <c r="B35" s="395">
        <v>4.9312493532430772E-2</v>
      </c>
      <c r="C35" t="str">
        <f t="shared" si="0"/>
        <v>salin et non alcalin</v>
      </c>
    </row>
    <row r="36" spans="1:3" x14ac:dyDescent="0.3">
      <c r="A36" s="87">
        <v>0.6</v>
      </c>
      <c r="B36" s="395">
        <v>4.6060194144225984E-2</v>
      </c>
      <c r="C36" t="str">
        <f t="shared" si="0"/>
        <v>salin et non alcalin</v>
      </c>
    </row>
    <row r="37" spans="1:3" x14ac:dyDescent="0.3">
      <c r="A37" s="87">
        <v>0.56000000000000005</v>
      </c>
      <c r="B37" s="395">
        <v>4.6930745822566421E-2</v>
      </c>
      <c r="C37" t="str">
        <f t="shared" si="0"/>
        <v>salin et non alcalin</v>
      </c>
    </row>
    <row r="38" spans="1:3" x14ac:dyDescent="0.3">
      <c r="A38" s="87">
        <v>0.48</v>
      </c>
      <c r="B38" s="395">
        <v>4.578330127001385E-2</v>
      </c>
      <c r="C38" t="str">
        <f t="shared" si="0"/>
        <v>non salin et non alcalin</v>
      </c>
    </row>
    <row r="39" spans="1:3" x14ac:dyDescent="0.3">
      <c r="A39" s="87">
        <v>0.37</v>
      </c>
      <c r="B39" s="395">
        <v>3.8689898463022732E-2</v>
      </c>
      <c r="C39" t="str">
        <f t="shared" si="0"/>
        <v>non salin et non alcalin</v>
      </c>
    </row>
    <row r="40" spans="1:3" x14ac:dyDescent="0.3">
      <c r="A40" s="87">
        <v>0.36</v>
      </c>
      <c r="B40" s="395">
        <v>4.9276048256438686E-2</v>
      </c>
      <c r="C40" t="str">
        <f t="shared" si="0"/>
        <v>non salin et non alcalin</v>
      </c>
    </row>
    <row r="41" spans="1:3" x14ac:dyDescent="0.3">
      <c r="A41" s="87">
        <v>0.31</v>
      </c>
      <c r="B41" s="395">
        <v>2.6770903785208768E-2</v>
      </c>
      <c r="C41" t="str">
        <f t="shared" si="0"/>
        <v>non salin et non alcalin</v>
      </c>
    </row>
    <row r="42" spans="1:3" x14ac:dyDescent="0.3">
      <c r="A42" s="87">
        <v>3.1</v>
      </c>
      <c r="B42" s="395">
        <v>0.13256831687295415</v>
      </c>
      <c r="C42" t="str">
        <f t="shared" si="0"/>
        <v>salin et non alcalin</v>
      </c>
    </row>
    <row r="43" spans="1:3" x14ac:dyDescent="0.3">
      <c r="A43" s="87">
        <v>1.1000000000000001</v>
      </c>
      <c r="B43" s="395">
        <v>9.469220640162021E-2</v>
      </c>
      <c r="C43" t="str">
        <f t="shared" si="0"/>
        <v>salin et non alcalin</v>
      </c>
    </row>
    <row r="44" spans="1:3" x14ac:dyDescent="0.3">
      <c r="A44" s="87">
        <v>1.2</v>
      </c>
      <c r="B44" s="395">
        <v>7.256607094035733E-2</v>
      </c>
      <c r="C44" t="str">
        <f t="shared" si="0"/>
        <v>salin et non alcalin</v>
      </c>
    </row>
    <row r="45" spans="1:3" x14ac:dyDescent="0.3">
      <c r="A45" s="87">
        <v>0.92</v>
      </c>
      <c r="B45" s="395">
        <v>6.1893330395949506E-2</v>
      </c>
      <c r="C45" t="str">
        <f t="shared" si="0"/>
        <v>salin et non alcalin</v>
      </c>
    </row>
    <row r="46" spans="1:3" x14ac:dyDescent="0.3">
      <c r="A46" s="87">
        <v>0.63</v>
      </c>
      <c r="B46" s="395">
        <v>4.6403393273390922E-2</v>
      </c>
      <c r="C46" t="str">
        <f t="shared" si="0"/>
        <v>salin et non alcalin</v>
      </c>
    </row>
    <row r="47" spans="1:3" x14ac:dyDescent="0.3">
      <c r="A47" s="87">
        <v>0.57999999999999996</v>
      </c>
      <c r="B47" s="395">
        <v>6.1035559279313423E-2</v>
      </c>
      <c r="C47" t="str">
        <f t="shared" si="0"/>
        <v>salin et non alcalin</v>
      </c>
    </row>
    <row r="48" spans="1:3" x14ac:dyDescent="0.3">
      <c r="A48" s="87">
        <v>0.13</v>
      </c>
      <c r="B48" s="395">
        <v>2.6860594571551714E-2</v>
      </c>
      <c r="C48" t="str">
        <f t="shared" si="0"/>
        <v>non salin et non alcalin</v>
      </c>
    </row>
    <row r="49" spans="1:3" x14ac:dyDescent="0.3">
      <c r="A49" s="87">
        <v>0.17</v>
      </c>
      <c r="B49" s="395">
        <v>4.4386156820580273E-2</v>
      </c>
      <c r="C49" t="str">
        <f t="shared" si="0"/>
        <v>non salin et non alcalin</v>
      </c>
    </row>
    <row r="50" spans="1:3" x14ac:dyDescent="0.3">
      <c r="A50" s="87">
        <v>0.13</v>
      </c>
      <c r="B50" s="395">
        <v>3.0424900250259544E-2</v>
      </c>
      <c r="C50" t="str">
        <f t="shared" si="0"/>
        <v>non salin et non alcalin</v>
      </c>
    </row>
    <row r="51" spans="1:3" x14ac:dyDescent="0.3">
      <c r="A51" s="87">
        <v>0.33</v>
      </c>
      <c r="B51" s="395">
        <v>7.4906540760002985E-2</v>
      </c>
      <c r="C51" t="str">
        <f t="shared" si="0"/>
        <v>non salin et non alcalin</v>
      </c>
    </row>
    <row r="52" spans="1:3" x14ac:dyDescent="0.3">
      <c r="A52" s="87">
        <v>0.12</v>
      </c>
      <c r="B52" s="395">
        <v>1.9859561928308615E-2</v>
      </c>
      <c r="C52" t="str">
        <f t="shared" si="0"/>
        <v>non salin et non alcalin</v>
      </c>
    </row>
    <row r="53" spans="1:3" x14ac:dyDescent="0.3">
      <c r="A53" s="87">
        <v>0.11</v>
      </c>
      <c r="B53" s="395">
        <v>1.0613397426553851E-2</v>
      </c>
      <c r="C53" t="str">
        <f t="shared" si="0"/>
        <v>non salin et non alcalin</v>
      </c>
    </row>
    <row r="54" spans="1:3" x14ac:dyDescent="0.3">
      <c r="A54" s="87">
        <v>0.1</v>
      </c>
      <c r="B54" s="395">
        <v>1.9579597114827797E-2</v>
      </c>
      <c r="C54" t="str">
        <f t="shared" si="0"/>
        <v>non salin et non alcalin</v>
      </c>
    </row>
    <row r="55" spans="1:3" ht="16.2" thickBot="1" x14ac:dyDescent="0.35">
      <c r="A55" s="103">
        <v>0.11</v>
      </c>
      <c r="B55" s="396">
        <v>1.786620067347135E-2</v>
      </c>
      <c r="C55" t="str">
        <f t="shared" si="0"/>
        <v>non salin et non alcalin</v>
      </c>
    </row>
    <row r="56" spans="1:3" x14ac:dyDescent="0.3">
      <c r="A56" s="112">
        <v>0.1</v>
      </c>
      <c r="B56" s="397">
        <v>1.0244696898022933E-2</v>
      </c>
      <c r="C56" t="str">
        <f t="shared" si="0"/>
        <v>non salin et non alcalin</v>
      </c>
    </row>
    <row r="57" spans="1:3" x14ac:dyDescent="0.3">
      <c r="A57" s="117">
        <v>0.09</v>
      </c>
      <c r="B57" s="398">
        <v>9.3959751237546046E-3</v>
      </c>
      <c r="C57" t="str">
        <f t="shared" si="0"/>
        <v>non salin et non alcalin</v>
      </c>
    </row>
    <row r="58" spans="1:3" x14ac:dyDescent="0.3">
      <c r="A58" s="117">
        <v>19.13</v>
      </c>
      <c r="B58" s="398">
        <v>0.50155382762401624</v>
      </c>
      <c r="C58" t="str">
        <f t="shared" si="0"/>
        <v>salin et non alcalin</v>
      </c>
    </row>
    <row r="59" spans="1:3" x14ac:dyDescent="0.3">
      <c r="A59" s="117">
        <v>19.16</v>
      </c>
      <c r="B59" s="398">
        <v>0.52262721240067922</v>
      </c>
      <c r="C59" t="str">
        <f t="shared" si="0"/>
        <v>salin et non alcalin</v>
      </c>
    </row>
    <row r="60" spans="1:3" x14ac:dyDescent="0.3">
      <c r="A60" s="117">
        <v>15.57</v>
      </c>
      <c r="B60" s="398">
        <v>0.45793638377421364</v>
      </c>
      <c r="C60" t="str">
        <f t="shared" si="0"/>
        <v>salin et non alcalin</v>
      </c>
    </row>
    <row r="61" spans="1:3" x14ac:dyDescent="0.3">
      <c r="A61" s="117">
        <v>0.24</v>
      </c>
      <c r="B61" s="398">
        <v>3.0867268042886073E-2</v>
      </c>
      <c r="C61" t="str">
        <f t="shared" si="0"/>
        <v>non salin et non alcalin</v>
      </c>
    </row>
    <row r="62" spans="1:3" x14ac:dyDescent="0.3">
      <c r="A62" s="117">
        <v>0.54</v>
      </c>
      <c r="B62" s="398">
        <v>5.8215886833236107E-2</v>
      </c>
      <c r="C62" t="str">
        <f t="shared" si="0"/>
        <v>salin et non alcalin</v>
      </c>
    </row>
    <row r="63" spans="1:3" x14ac:dyDescent="0.3">
      <c r="A63" s="117">
        <v>0.28999999999999998</v>
      </c>
      <c r="B63" s="398">
        <v>3.3536811712593713E-2</v>
      </c>
      <c r="C63" t="str">
        <f t="shared" si="0"/>
        <v>non salin et non alcalin</v>
      </c>
    </row>
    <row r="64" spans="1:3" x14ac:dyDescent="0.3">
      <c r="A64" s="117">
        <v>0.28999999999999998</v>
      </c>
      <c r="B64" s="398">
        <v>3.203215773118627E-2</v>
      </c>
      <c r="C64" t="str">
        <f t="shared" si="0"/>
        <v>non salin et non alcalin</v>
      </c>
    </row>
    <row r="65" spans="1:3" x14ac:dyDescent="0.3">
      <c r="A65" s="117">
        <v>1.1000000000000001</v>
      </c>
      <c r="B65" s="398">
        <v>6.8733782722195713E-2</v>
      </c>
      <c r="C65" t="str">
        <f t="shared" si="0"/>
        <v>salin et non alcalin</v>
      </c>
    </row>
    <row r="66" spans="1:3" x14ac:dyDescent="0.3">
      <c r="A66" s="117">
        <v>10.49</v>
      </c>
      <c r="B66" s="398">
        <v>0.25513307689282205</v>
      </c>
      <c r="C66" t="str">
        <f t="shared" si="0"/>
        <v>salin et non alcalin</v>
      </c>
    </row>
    <row r="67" spans="1:3" x14ac:dyDescent="0.3">
      <c r="A67" s="117">
        <v>3.7</v>
      </c>
      <c r="B67" s="398">
        <v>0.16946757685781622</v>
      </c>
      <c r="C67" t="str">
        <f t="shared" ref="C67:C130" si="1">IF(AND(B67&gt;15, A67&lt;0.5), "non salin, alcalin",
   IF(AND(B67&gt;15, A67&gt;=0.5), "salin et alcalin",
   IF(AND(B67&lt;=15, A67&lt;0.5), "non salin et non alcalin",
   IF(AND(B67&lt;=15, A67&gt;=0.5), "salin et non alcalin"))))</f>
        <v>salin et non alcalin</v>
      </c>
    </row>
    <row r="68" spans="1:3" x14ac:dyDescent="0.3">
      <c r="A68" s="117">
        <v>12.66</v>
      </c>
      <c r="B68" s="398">
        <v>0.27200067587789445</v>
      </c>
      <c r="C68" t="str">
        <f t="shared" si="1"/>
        <v>salin et non alcalin</v>
      </c>
    </row>
    <row r="69" spans="1:3" x14ac:dyDescent="0.3">
      <c r="A69" s="117">
        <v>1.3</v>
      </c>
      <c r="B69" s="398">
        <v>8.2314217386591476E-2</v>
      </c>
      <c r="C69" t="str">
        <f t="shared" si="1"/>
        <v>salin et non alcalin</v>
      </c>
    </row>
    <row r="70" spans="1:3" x14ac:dyDescent="0.3">
      <c r="A70" s="117">
        <v>0.82</v>
      </c>
      <c r="B70" s="398">
        <v>6.0233013162954388E-2</v>
      </c>
      <c r="C70" t="str">
        <f t="shared" si="1"/>
        <v>salin et non alcalin</v>
      </c>
    </row>
    <row r="71" spans="1:3" x14ac:dyDescent="0.3">
      <c r="A71" s="117">
        <v>0.2</v>
      </c>
      <c r="B71" s="398">
        <v>1.6499612214583969E-2</v>
      </c>
      <c r="C71" t="str">
        <f t="shared" si="1"/>
        <v>non salin et non alcalin</v>
      </c>
    </row>
    <row r="72" spans="1:3" x14ac:dyDescent="0.3">
      <c r="A72" s="117">
        <v>0.27</v>
      </c>
      <c r="B72" s="398">
        <v>2.7455425872493222E-2</v>
      </c>
      <c r="C72" t="str">
        <f t="shared" si="1"/>
        <v>non salin et non alcalin</v>
      </c>
    </row>
    <row r="73" spans="1:3" x14ac:dyDescent="0.3">
      <c r="A73" s="117">
        <v>6.7</v>
      </c>
      <c r="B73" s="398">
        <v>0.32709941447137392</v>
      </c>
      <c r="C73" t="str">
        <f t="shared" si="1"/>
        <v>salin et non alcalin</v>
      </c>
    </row>
    <row r="74" spans="1:3" x14ac:dyDescent="0.3">
      <c r="A74" s="117">
        <v>7.8</v>
      </c>
      <c r="B74" s="398">
        <v>0.34431970453097338</v>
      </c>
      <c r="C74" t="str">
        <f t="shared" si="1"/>
        <v>salin et non alcalin</v>
      </c>
    </row>
    <row r="75" spans="1:3" x14ac:dyDescent="0.3">
      <c r="A75" s="117">
        <v>15.4</v>
      </c>
      <c r="B75" s="398">
        <v>0.40589120034376985</v>
      </c>
      <c r="C75" t="str">
        <f t="shared" si="1"/>
        <v>salin et non alcalin</v>
      </c>
    </row>
    <row r="76" spans="1:3" x14ac:dyDescent="0.3">
      <c r="A76" s="117">
        <v>4.8</v>
      </c>
      <c r="B76" s="398">
        <v>0.27302657953646559</v>
      </c>
      <c r="C76" t="str">
        <f t="shared" si="1"/>
        <v>salin et non alcalin</v>
      </c>
    </row>
    <row r="77" spans="1:3" x14ac:dyDescent="0.3">
      <c r="A77" s="117">
        <v>6.3</v>
      </c>
      <c r="B77" s="398">
        <v>0.31507077626250424</v>
      </c>
      <c r="C77" t="str">
        <f t="shared" si="1"/>
        <v>salin et non alcalin</v>
      </c>
    </row>
    <row r="78" spans="1:3" x14ac:dyDescent="0.3">
      <c r="A78" s="117">
        <v>0.34</v>
      </c>
      <c r="B78" s="398">
        <v>5.3266586178570802E-2</v>
      </c>
      <c r="C78" t="str">
        <f t="shared" si="1"/>
        <v>non salin et non alcalin</v>
      </c>
    </row>
    <row r="79" spans="1:3" x14ac:dyDescent="0.3">
      <c r="A79" s="117">
        <v>0.74</v>
      </c>
      <c r="B79" s="398">
        <v>7.525586391616107E-2</v>
      </c>
      <c r="C79" t="str">
        <f t="shared" si="1"/>
        <v>salin et non alcalin</v>
      </c>
    </row>
    <row r="80" spans="1:3" x14ac:dyDescent="0.3">
      <c r="A80" s="117">
        <v>0.28999999999999998</v>
      </c>
      <c r="B80" s="398">
        <v>4.9172123602664486E-2</v>
      </c>
      <c r="C80" t="str">
        <f t="shared" si="1"/>
        <v>non salin et non alcalin</v>
      </c>
    </row>
    <row r="81" spans="1:3" ht="16.2" thickBot="1" x14ac:dyDescent="0.35">
      <c r="A81" s="135">
        <v>0.39</v>
      </c>
      <c r="B81" s="399">
        <v>3.9224445573466625E-2</v>
      </c>
      <c r="C81" t="str">
        <f t="shared" si="1"/>
        <v>non salin et non alcalin</v>
      </c>
    </row>
    <row r="82" spans="1:3" x14ac:dyDescent="0.3">
      <c r="A82" s="144">
        <v>57.09</v>
      </c>
      <c r="B82" s="400">
        <v>0.80911306467366029</v>
      </c>
      <c r="C82" t="str">
        <f t="shared" si="1"/>
        <v>salin et non alcalin</v>
      </c>
    </row>
    <row r="83" spans="1:3" x14ac:dyDescent="0.3">
      <c r="A83" s="149">
        <v>42.15</v>
      </c>
      <c r="B83" s="401">
        <v>0.72510404070127599</v>
      </c>
      <c r="C83" t="str">
        <f t="shared" si="1"/>
        <v>salin et non alcalin</v>
      </c>
    </row>
    <row r="84" spans="1:3" x14ac:dyDescent="0.3">
      <c r="A84" s="149">
        <v>36.299999999999997</v>
      </c>
      <c r="B84" s="401">
        <v>0.67875107686589409</v>
      </c>
      <c r="C84" t="str">
        <f t="shared" si="1"/>
        <v>salin et non alcalin</v>
      </c>
    </row>
    <row r="85" spans="1:3" x14ac:dyDescent="0.3">
      <c r="A85" s="149">
        <v>49.48</v>
      </c>
      <c r="B85" s="401">
        <v>0.84528036029545051</v>
      </c>
      <c r="C85" t="str">
        <f t="shared" si="1"/>
        <v>salin et non alcalin</v>
      </c>
    </row>
    <row r="86" spans="1:3" x14ac:dyDescent="0.3">
      <c r="A86" s="149">
        <v>17.72</v>
      </c>
      <c r="B86" s="401">
        <v>0.53206309898193738</v>
      </c>
      <c r="C86" t="str">
        <f t="shared" si="1"/>
        <v>salin et non alcalin</v>
      </c>
    </row>
    <row r="87" spans="1:3" x14ac:dyDescent="0.3">
      <c r="A87" s="149">
        <v>42.54</v>
      </c>
      <c r="B87" s="401">
        <v>0.82431997230729293</v>
      </c>
      <c r="C87" t="str">
        <f t="shared" si="1"/>
        <v>salin et non alcalin</v>
      </c>
    </row>
    <row r="88" spans="1:3" x14ac:dyDescent="0.3">
      <c r="A88" s="149">
        <v>40.93</v>
      </c>
      <c r="B88" s="401">
        <v>0.80650622362289626</v>
      </c>
      <c r="C88" t="str">
        <f t="shared" si="1"/>
        <v>salin et non alcalin</v>
      </c>
    </row>
    <row r="89" spans="1:3" x14ac:dyDescent="0.3">
      <c r="A89" s="149">
        <v>30.54</v>
      </c>
      <c r="B89" s="401">
        <v>0.72978697671622128</v>
      </c>
      <c r="C89" t="str">
        <f t="shared" si="1"/>
        <v>salin et non alcalin</v>
      </c>
    </row>
    <row r="90" spans="1:3" x14ac:dyDescent="0.3">
      <c r="A90" s="149">
        <v>24.46</v>
      </c>
      <c r="B90" s="401">
        <v>0.4803805569343062</v>
      </c>
      <c r="C90" t="str">
        <f t="shared" si="1"/>
        <v>salin et non alcalin</v>
      </c>
    </row>
    <row r="91" spans="1:3" x14ac:dyDescent="0.3">
      <c r="A91" s="149">
        <v>46.65</v>
      </c>
      <c r="B91" s="401">
        <v>0.77620031251477528</v>
      </c>
      <c r="C91" t="str">
        <f t="shared" si="1"/>
        <v>salin et non alcalin</v>
      </c>
    </row>
    <row r="92" spans="1:3" x14ac:dyDescent="0.3">
      <c r="A92" s="149">
        <v>44.48</v>
      </c>
      <c r="B92" s="401">
        <v>0.80827726893482421</v>
      </c>
      <c r="C92" t="str">
        <f t="shared" si="1"/>
        <v>salin et non alcalin</v>
      </c>
    </row>
    <row r="93" spans="1:3" x14ac:dyDescent="0.3">
      <c r="A93" s="149">
        <v>14.76</v>
      </c>
      <c r="B93" s="401">
        <v>0.60210426951943685</v>
      </c>
      <c r="C93" t="str">
        <f t="shared" si="1"/>
        <v>salin et non alcalin</v>
      </c>
    </row>
    <row r="94" spans="1:3" x14ac:dyDescent="0.3">
      <c r="A94" s="149">
        <v>55.6</v>
      </c>
      <c r="B94" s="401">
        <v>0.81106658794983044</v>
      </c>
      <c r="C94" t="str">
        <f t="shared" si="1"/>
        <v>salin et non alcalin</v>
      </c>
    </row>
    <row r="95" spans="1:3" x14ac:dyDescent="0.3">
      <c r="A95" s="149">
        <v>52.85</v>
      </c>
      <c r="B95" s="401">
        <v>0.80110279570960941</v>
      </c>
      <c r="C95" t="str">
        <f t="shared" si="1"/>
        <v>salin et non alcalin</v>
      </c>
    </row>
    <row r="96" spans="1:3" x14ac:dyDescent="0.3">
      <c r="A96" s="149">
        <v>42.7</v>
      </c>
      <c r="B96" s="401">
        <v>0.81506410721334643</v>
      </c>
      <c r="C96" t="str">
        <f t="shared" si="1"/>
        <v>salin et non alcalin</v>
      </c>
    </row>
    <row r="97" spans="1:3" x14ac:dyDescent="0.3">
      <c r="A97" s="149">
        <v>56.96</v>
      </c>
      <c r="B97" s="401">
        <v>0.83048609095957393</v>
      </c>
      <c r="C97" t="str">
        <f t="shared" si="1"/>
        <v>salin et non alcalin</v>
      </c>
    </row>
    <row r="98" spans="1:3" x14ac:dyDescent="0.3">
      <c r="A98" s="149">
        <v>4.7</v>
      </c>
      <c r="B98" s="401">
        <v>0.16605537893241115</v>
      </c>
      <c r="C98" t="str">
        <f t="shared" si="1"/>
        <v>salin et non alcalin</v>
      </c>
    </row>
    <row r="99" spans="1:3" x14ac:dyDescent="0.3">
      <c r="A99" s="149">
        <v>4.2</v>
      </c>
      <c r="B99" s="401">
        <v>0.15867269763465117</v>
      </c>
      <c r="C99" t="str">
        <f t="shared" si="1"/>
        <v>salin et non alcalin</v>
      </c>
    </row>
    <row r="100" spans="1:3" x14ac:dyDescent="0.3">
      <c r="A100" s="149">
        <v>4.2</v>
      </c>
      <c r="B100" s="401">
        <v>0.14545755885604902</v>
      </c>
      <c r="C100" t="str">
        <f t="shared" si="1"/>
        <v>salin et non alcalin</v>
      </c>
    </row>
    <row r="101" spans="1:3" x14ac:dyDescent="0.3">
      <c r="A101" s="149">
        <v>3.3</v>
      </c>
      <c r="B101" s="401">
        <v>0.13578068431502754</v>
      </c>
      <c r="C101" t="str">
        <f t="shared" si="1"/>
        <v>salin et non alcalin</v>
      </c>
    </row>
    <row r="102" spans="1:3" x14ac:dyDescent="0.3">
      <c r="A102" s="149">
        <v>5.3</v>
      </c>
      <c r="B102" s="401">
        <v>0.16295837977842623</v>
      </c>
      <c r="C102" t="str">
        <f t="shared" si="1"/>
        <v>salin et non alcalin</v>
      </c>
    </row>
    <row r="103" spans="1:3" x14ac:dyDescent="0.3">
      <c r="A103" s="149">
        <v>2.8</v>
      </c>
      <c r="B103" s="401">
        <v>0.11596937326242178</v>
      </c>
      <c r="C103" t="str">
        <f t="shared" si="1"/>
        <v>salin et non alcalin</v>
      </c>
    </row>
    <row r="104" spans="1:3" x14ac:dyDescent="0.3">
      <c r="A104" s="149">
        <v>4.2</v>
      </c>
      <c r="B104" s="401">
        <v>0.14572402657713446</v>
      </c>
      <c r="C104" t="str">
        <f t="shared" si="1"/>
        <v>salin et non alcalin</v>
      </c>
    </row>
    <row r="105" spans="1:3" x14ac:dyDescent="0.3">
      <c r="A105" s="149">
        <v>5.7</v>
      </c>
      <c r="B105" s="401">
        <v>0.1674155187095149</v>
      </c>
      <c r="C105" t="str">
        <f t="shared" si="1"/>
        <v>salin et non alcalin</v>
      </c>
    </row>
    <row r="106" spans="1:3" x14ac:dyDescent="0.3">
      <c r="A106" s="149">
        <v>4.0999999999999996</v>
      </c>
      <c r="B106" s="401">
        <v>0.12502783563933856</v>
      </c>
      <c r="C106" t="str">
        <f t="shared" si="1"/>
        <v>salin et non alcalin</v>
      </c>
    </row>
    <row r="107" spans="1:3" x14ac:dyDescent="0.3">
      <c r="A107" s="149">
        <v>2.9</v>
      </c>
      <c r="B107" s="401">
        <v>0.12595273514462399</v>
      </c>
      <c r="C107" t="str">
        <f t="shared" si="1"/>
        <v>salin et non alcalin</v>
      </c>
    </row>
    <row r="108" spans="1:3" x14ac:dyDescent="0.3">
      <c r="A108" s="149">
        <v>4.3</v>
      </c>
      <c r="B108" s="401">
        <v>0.14716796502747048</v>
      </c>
      <c r="C108" t="str">
        <f t="shared" si="1"/>
        <v>salin et non alcalin</v>
      </c>
    </row>
    <row r="109" spans="1:3" x14ac:dyDescent="0.3">
      <c r="A109" s="149">
        <v>3.9</v>
      </c>
      <c r="B109" s="401">
        <v>0.13798555783906538</v>
      </c>
      <c r="C109" t="str">
        <f t="shared" si="1"/>
        <v>salin et non alcalin</v>
      </c>
    </row>
    <row r="110" spans="1:3" x14ac:dyDescent="0.3">
      <c r="A110" s="149">
        <v>4.9000000000000004</v>
      </c>
      <c r="B110" s="401">
        <v>0.14333939874110502</v>
      </c>
      <c r="C110" t="str">
        <f t="shared" si="1"/>
        <v>salin et non alcalin</v>
      </c>
    </row>
    <row r="111" spans="1:3" x14ac:dyDescent="0.3">
      <c r="A111" s="149">
        <v>4.7</v>
      </c>
      <c r="B111" s="401">
        <v>0.13538626261251227</v>
      </c>
      <c r="C111" t="str">
        <f t="shared" si="1"/>
        <v>salin et non alcalin</v>
      </c>
    </row>
    <row r="112" spans="1:3" x14ac:dyDescent="0.3">
      <c r="A112" s="149">
        <v>5.8</v>
      </c>
      <c r="B112" s="401">
        <v>0.16641588323244957</v>
      </c>
      <c r="C112" t="str">
        <f t="shared" si="1"/>
        <v>salin et non alcalin</v>
      </c>
    </row>
    <row r="113" spans="1:3" x14ac:dyDescent="0.3">
      <c r="A113" s="149">
        <v>5.2</v>
      </c>
      <c r="B113" s="401">
        <v>0.14967631344532917</v>
      </c>
      <c r="C113" t="str">
        <f t="shared" si="1"/>
        <v>salin et non alcalin</v>
      </c>
    </row>
    <row r="114" spans="1:3" ht="16.2" thickBot="1" x14ac:dyDescent="0.35">
      <c r="A114" s="164">
        <v>2.8</v>
      </c>
      <c r="B114" s="402">
        <v>9.9602692252526145E-2</v>
      </c>
      <c r="C114" t="str">
        <f t="shared" si="1"/>
        <v>salin et non alcalin</v>
      </c>
    </row>
    <row r="115" spans="1:3" x14ac:dyDescent="0.3">
      <c r="A115" s="174">
        <v>0.1</v>
      </c>
      <c r="B115" s="403">
        <v>6.8573551009515413E-3</v>
      </c>
      <c r="C115" t="str">
        <f t="shared" si="1"/>
        <v>non salin et non alcalin</v>
      </c>
    </row>
    <row r="116" spans="1:3" x14ac:dyDescent="0.3">
      <c r="A116" s="177">
        <v>0.15</v>
      </c>
      <c r="B116" s="404">
        <v>4.4320728194784179E-2</v>
      </c>
      <c r="C116" t="str">
        <f t="shared" si="1"/>
        <v>non salin et non alcalin</v>
      </c>
    </row>
    <row r="117" spans="1:3" x14ac:dyDescent="0.3">
      <c r="A117" s="177">
        <v>0.23</v>
      </c>
      <c r="B117" s="404">
        <v>5.3519185252787045E-2</v>
      </c>
      <c r="C117" t="str">
        <f t="shared" si="1"/>
        <v>non salin et non alcalin</v>
      </c>
    </row>
    <row r="118" spans="1:3" x14ac:dyDescent="0.3">
      <c r="A118" s="177">
        <v>0.24</v>
      </c>
      <c r="B118" s="404">
        <v>6.0043990496269947E-2</v>
      </c>
      <c r="C118" t="str">
        <f t="shared" si="1"/>
        <v>non salin et non alcalin</v>
      </c>
    </row>
    <row r="119" spans="1:3" x14ac:dyDescent="0.3">
      <c r="A119" s="177">
        <v>0.1</v>
      </c>
      <c r="B119" s="404">
        <v>6.5038367335008382E-2</v>
      </c>
      <c r="C119" t="str">
        <f t="shared" si="1"/>
        <v>non salin et non alcalin</v>
      </c>
    </row>
    <row r="120" spans="1:3" x14ac:dyDescent="0.3">
      <c r="A120" s="177">
        <v>0.43</v>
      </c>
      <c r="B120" s="404">
        <v>4.5890469102872367E-2</v>
      </c>
      <c r="C120" t="str">
        <f t="shared" si="1"/>
        <v>non salin et non alcalin</v>
      </c>
    </row>
    <row r="121" spans="1:3" x14ac:dyDescent="0.3">
      <c r="A121" s="177">
        <v>0.21</v>
      </c>
      <c r="B121" s="404">
        <v>8.4707856446171285E-3</v>
      </c>
      <c r="C121" t="str">
        <f t="shared" si="1"/>
        <v>non salin et non alcalin</v>
      </c>
    </row>
    <row r="122" spans="1:3" x14ac:dyDescent="0.3">
      <c r="A122" s="177">
        <v>0.33</v>
      </c>
      <c r="B122" s="404">
        <v>2.2662839120118138E-2</v>
      </c>
      <c r="C122" t="str">
        <f t="shared" si="1"/>
        <v>non salin et non alcalin</v>
      </c>
    </row>
    <row r="123" spans="1:3" x14ac:dyDescent="0.3">
      <c r="A123" s="177">
        <v>0.35</v>
      </c>
      <c r="B123" s="404">
        <v>1.102360922578975E-2</v>
      </c>
      <c r="C123" t="str">
        <f t="shared" si="1"/>
        <v>non salin et non alcalin</v>
      </c>
    </row>
    <row r="124" spans="1:3" x14ac:dyDescent="0.3">
      <c r="A124" s="177">
        <v>0.11</v>
      </c>
      <c r="B124" s="404">
        <v>3.6203588637181199E-2</v>
      </c>
      <c r="C124" t="str">
        <f t="shared" si="1"/>
        <v>non salin et non alcalin</v>
      </c>
    </row>
    <row r="125" spans="1:3" x14ac:dyDescent="0.3">
      <c r="A125" s="177">
        <v>0.17</v>
      </c>
      <c r="B125" s="404">
        <v>2.564425959292366E-3</v>
      </c>
      <c r="C125" t="str">
        <f t="shared" si="1"/>
        <v>non salin et non alcalin</v>
      </c>
    </row>
    <row r="126" spans="1:3" x14ac:dyDescent="0.3">
      <c r="A126" s="177">
        <v>0.15</v>
      </c>
      <c r="B126" s="404">
        <v>7.8354719785144464E-4</v>
      </c>
      <c r="C126" t="str">
        <f t="shared" si="1"/>
        <v>non salin et non alcalin</v>
      </c>
    </row>
    <row r="127" spans="1:3" x14ac:dyDescent="0.3">
      <c r="A127" s="177">
        <v>0.13</v>
      </c>
      <c r="B127" s="404">
        <v>1.3622915922089604E-2</v>
      </c>
      <c r="C127" t="str">
        <f t="shared" si="1"/>
        <v>non salin et non alcalin</v>
      </c>
    </row>
    <row r="128" spans="1:3" ht="16.2" thickBot="1" x14ac:dyDescent="0.35">
      <c r="A128" s="197">
        <v>0.13</v>
      </c>
      <c r="B128" s="405">
        <v>1.3279729485151317E-2</v>
      </c>
      <c r="C128" t="str">
        <f t="shared" si="1"/>
        <v>non salin et non alcalin</v>
      </c>
    </row>
    <row r="129" spans="1:3" x14ac:dyDescent="0.3">
      <c r="A129" s="205">
        <v>0.27</v>
      </c>
      <c r="B129" s="406">
        <v>3.7284571141767954E-2</v>
      </c>
      <c r="C129" t="str">
        <f t="shared" si="1"/>
        <v>non salin et non alcalin</v>
      </c>
    </row>
    <row r="130" spans="1:3" x14ac:dyDescent="0.3">
      <c r="A130" s="208">
        <v>0.28999999999999998</v>
      </c>
      <c r="B130" s="407">
        <v>0.22376609455795582</v>
      </c>
      <c r="C130" t="str">
        <f t="shared" si="1"/>
        <v>non salin et non alcalin</v>
      </c>
    </row>
    <row r="131" spans="1:3" x14ac:dyDescent="0.3">
      <c r="A131" s="208">
        <v>0.13</v>
      </c>
      <c r="B131" s="407">
        <v>2.211893684618094E-2</v>
      </c>
      <c r="C131" t="str">
        <f t="shared" ref="C131:C194" si="2">IF(AND(B131&gt;15, A131&lt;0.5), "non salin, alcalin",
   IF(AND(B131&gt;15, A131&gt;=0.5), "salin et alcalin",
   IF(AND(B131&lt;=15, A131&lt;0.5), "non salin et non alcalin",
   IF(AND(B131&lt;=15, A131&gt;=0.5), "salin et non alcalin"))))</f>
        <v>non salin et non alcalin</v>
      </c>
    </row>
    <row r="132" spans="1:3" x14ac:dyDescent="0.3">
      <c r="A132" s="208">
        <v>0.11</v>
      </c>
      <c r="B132" s="407">
        <v>2.9188140811925542E-2</v>
      </c>
      <c r="C132" t="str">
        <f t="shared" si="2"/>
        <v>non salin et non alcalin</v>
      </c>
    </row>
    <row r="133" spans="1:3" x14ac:dyDescent="0.3">
      <c r="A133" s="208">
        <v>0.09</v>
      </c>
      <c r="B133" s="407">
        <v>3.0776430812075987E-2</v>
      </c>
      <c r="C133" t="str">
        <f t="shared" si="2"/>
        <v>non salin et non alcalin</v>
      </c>
    </row>
    <row r="134" spans="1:3" x14ac:dyDescent="0.3">
      <c r="A134" s="208">
        <v>0.11</v>
      </c>
      <c r="B134" s="407">
        <v>3.4706680570707145E-2</v>
      </c>
      <c r="C134" t="str">
        <f t="shared" si="2"/>
        <v>non salin et non alcalin</v>
      </c>
    </row>
    <row r="135" spans="1:3" x14ac:dyDescent="0.3">
      <c r="A135" s="208">
        <v>1.89</v>
      </c>
      <c r="B135" s="407">
        <v>0.13622675332536843</v>
      </c>
      <c r="C135" t="str">
        <f t="shared" si="2"/>
        <v>salin et non alcalin</v>
      </c>
    </row>
    <row r="136" spans="1:3" x14ac:dyDescent="0.3">
      <c r="A136" s="208">
        <v>22.54</v>
      </c>
      <c r="B136" s="407">
        <v>0.4443888824744629</v>
      </c>
      <c r="C136" t="str">
        <f t="shared" si="2"/>
        <v>salin et non alcalin</v>
      </c>
    </row>
    <row r="137" spans="1:3" x14ac:dyDescent="0.3">
      <c r="A137" s="208">
        <v>0.59</v>
      </c>
      <c r="B137" s="407">
        <v>7.5106198689803685E-2</v>
      </c>
      <c r="C137" t="str">
        <f t="shared" si="2"/>
        <v>salin et non alcalin</v>
      </c>
    </row>
    <row r="138" spans="1:3" x14ac:dyDescent="0.3">
      <c r="A138" s="208">
        <v>0.1</v>
      </c>
      <c r="B138" s="407">
        <v>2.3183092321773058E-2</v>
      </c>
      <c r="C138" t="str">
        <f t="shared" si="2"/>
        <v>non salin et non alcalin</v>
      </c>
    </row>
    <row r="139" spans="1:3" x14ac:dyDescent="0.3">
      <c r="A139" s="208">
        <v>0.33</v>
      </c>
      <c r="B139" s="407">
        <v>6.560749826241638E-2</v>
      </c>
      <c r="C139" t="str">
        <f t="shared" si="2"/>
        <v>non salin et non alcalin</v>
      </c>
    </row>
    <row r="140" spans="1:3" x14ac:dyDescent="0.3">
      <c r="A140" s="208">
        <v>0.26</v>
      </c>
      <c r="B140" s="407">
        <v>3.3066549576670955E-2</v>
      </c>
      <c r="C140" t="str">
        <f t="shared" si="2"/>
        <v>non salin et non alcalin</v>
      </c>
    </row>
    <row r="141" spans="1:3" ht="16.2" thickBot="1" x14ac:dyDescent="0.35">
      <c r="A141" s="227">
        <v>0.56000000000000005</v>
      </c>
      <c r="B141" s="408">
        <v>9.6757585231875082E-2</v>
      </c>
      <c r="C141" t="str">
        <f t="shared" si="2"/>
        <v>salin et non alcalin</v>
      </c>
    </row>
    <row r="142" spans="1:3" x14ac:dyDescent="0.3">
      <c r="A142" s="235">
        <v>12.85</v>
      </c>
      <c r="B142" s="409">
        <v>0.68838916685964302</v>
      </c>
      <c r="C142" t="str">
        <f t="shared" si="2"/>
        <v>salin et non alcalin</v>
      </c>
    </row>
    <row r="143" spans="1:3" x14ac:dyDescent="0.3">
      <c r="A143" s="247">
        <v>11.12</v>
      </c>
      <c r="B143" s="410">
        <v>0.52815756028012428</v>
      </c>
      <c r="C143" t="str">
        <f t="shared" si="2"/>
        <v>salin et non alcalin</v>
      </c>
    </row>
    <row r="144" spans="1:3" x14ac:dyDescent="0.3">
      <c r="A144" s="247">
        <v>7.74</v>
      </c>
      <c r="B144" s="410">
        <v>0.52087488929892223</v>
      </c>
      <c r="C144" t="str">
        <f t="shared" si="2"/>
        <v>salin et non alcalin</v>
      </c>
    </row>
    <row r="145" spans="1:3" x14ac:dyDescent="0.3">
      <c r="A145" s="247">
        <v>10.45</v>
      </c>
      <c r="B145" s="410">
        <v>0.56762837812410583</v>
      </c>
      <c r="C145" t="str">
        <f t="shared" si="2"/>
        <v>salin et non alcalin</v>
      </c>
    </row>
    <row r="146" spans="1:3" x14ac:dyDescent="0.3">
      <c r="A146" s="247">
        <v>9.91</v>
      </c>
      <c r="B146" s="410">
        <v>0.57439630869881619</v>
      </c>
      <c r="C146" t="str">
        <f t="shared" si="2"/>
        <v>salin et non alcalin</v>
      </c>
    </row>
    <row r="147" spans="1:3" x14ac:dyDescent="0.3">
      <c r="A147" s="247">
        <v>7.32</v>
      </c>
      <c r="B147" s="410">
        <v>0.3602372719691242</v>
      </c>
      <c r="C147" t="str">
        <f t="shared" si="2"/>
        <v>salin et non alcalin</v>
      </c>
    </row>
    <row r="148" spans="1:3" x14ac:dyDescent="0.3">
      <c r="A148" s="247">
        <v>11</v>
      </c>
      <c r="B148" s="410">
        <v>0.53542444930729993</v>
      </c>
      <c r="C148" t="str">
        <f t="shared" si="2"/>
        <v>salin et non alcalin</v>
      </c>
    </row>
    <row r="149" spans="1:3" x14ac:dyDescent="0.3">
      <c r="A149" s="247">
        <v>11.6</v>
      </c>
      <c r="B149" s="410">
        <v>0.41809564814549904</v>
      </c>
      <c r="C149" t="str">
        <f t="shared" si="2"/>
        <v>salin et non alcalin</v>
      </c>
    </row>
    <row r="150" spans="1:3" x14ac:dyDescent="0.3">
      <c r="A150" s="247">
        <v>12.28</v>
      </c>
      <c r="B150" s="410">
        <v>0.69341723961707158</v>
      </c>
      <c r="C150" t="str">
        <f t="shared" si="2"/>
        <v>salin et non alcalin</v>
      </c>
    </row>
    <row r="151" spans="1:3" x14ac:dyDescent="0.3">
      <c r="A151" s="247">
        <v>10.26</v>
      </c>
      <c r="B151" s="410">
        <v>0.6214524492072373</v>
      </c>
      <c r="C151" t="str">
        <f t="shared" si="2"/>
        <v>salin et non alcalin</v>
      </c>
    </row>
    <row r="152" spans="1:3" x14ac:dyDescent="0.3">
      <c r="A152" s="247">
        <v>7.0000000000000007E-2</v>
      </c>
      <c r="B152" s="410">
        <v>1.3367588447704812E-2</v>
      </c>
      <c r="C152" t="str">
        <f t="shared" si="2"/>
        <v>non salin et non alcalin</v>
      </c>
    </row>
    <row r="153" spans="1:3" x14ac:dyDescent="0.3">
      <c r="A153" s="247">
        <v>0.08</v>
      </c>
      <c r="B153" s="410">
        <v>1.4500304653359369E-2</v>
      </c>
      <c r="C153" t="str">
        <f t="shared" si="2"/>
        <v>non salin et non alcalin</v>
      </c>
    </row>
    <row r="154" spans="1:3" x14ac:dyDescent="0.3">
      <c r="A154" s="247">
        <v>7.0000000000000007E-2</v>
      </c>
      <c r="B154" s="410">
        <v>2.6634582910768173E-2</v>
      </c>
      <c r="C154" t="str">
        <f t="shared" si="2"/>
        <v>non salin et non alcalin</v>
      </c>
    </row>
    <row r="155" spans="1:3" x14ac:dyDescent="0.3">
      <c r="A155" s="247">
        <v>0.73</v>
      </c>
      <c r="B155" s="410">
        <v>8.0506833249192875E-2</v>
      </c>
      <c r="C155" t="str">
        <f t="shared" si="2"/>
        <v>salin et non alcalin</v>
      </c>
    </row>
    <row r="156" spans="1:3" x14ac:dyDescent="0.3">
      <c r="A156" s="247">
        <v>0.23</v>
      </c>
      <c r="B156" s="410">
        <v>8.9613177021196561E-2</v>
      </c>
      <c r="C156" t="str">
        <f t="shared" si="2"/>
        <v>non salin et non alcalin</v>
      </c>
    </row>
    <row r="157" spans="1:3" x14ac:dyDescent="0.3">
      <c r="A157" s="247">
        <v>0.35</v>
      </c>
      <c r="B157" s="410">
        <v>6.7049564378096269E-2</v>
      </c>
      <c r="C157" t="str">
        <f t="shared" si="2"/>
        <v>non salin et non alcalin</v>
      </c>
    </row>
    <row r="158" spans="1:3" x14ac:dyDescent="0.3">
      <c r="A158" s="247">
        <v>2.21</v>
      </c>
      <c r="B158" s="410">
        <v>2.109490530542441E-3</v>
      </c>
      <c r="C158" t="str">
        <f t="shared" si="2"/>
        <v>salin et non alcalin</v>
      </c>
    </row>
    <row r="159" spans="1:3" x14ac:dyDescent="0.3">
      <c r="A159" s="247">
        <v>2.34</v>
      </c>
      <c r="B159" s="410">
        <v>5.1592777489001453E-3</v>
      </c>
      <c r="C159" t="str">
        <f t="shared" si="2"/>
        <v>salin et non alcalin</v>
      </c>
    </row>
    <row r="160" spans="1:3" x14ac:dyDescent="0.3">
      <c r="A160" s="247">
        <v>18.78</v>
      </c>
      <c r="B160" s="410">
        <v>0.68418616814041344</v>
      </c>
      <c r="C160" t="str">
        <f t="shared" si="2"/>
        <v>salin et non alcalin</v>
      </c>
    </row>
    <row r="161" spans="1:3" x14ac:dyDescent="0.3">
      <c r="A161" s="247">
        <v>10.4</v>
      </c>
      <c r="B161" s="410">
        <v>0.44289007344820813</v>
      </c>
      <c r="C161" t="str">
        <f t="shared" si="2"/>
        <v>salin et non alcalin</v>
      </c>
    </row>
    <row r="162" spans="1:3" x14ac:dyDescent="0.3">
      <c r="A162" s="247">
        <v>0.46</v>
      </c>
      <c r="B162" s="410">
        <v>5.6369413205349113E-2</v>
      </c>
      <c r="C162" t="str">
        <f t="shared" si="2"/>
        <v>non salin et non alcalin</v>
      </c>
    </row>
    <row r="163" spans="1:3" x14ac:dyDescent="0.3">
      <c r="A163" s="247">
        <v>2.96</v>
      </c>
      <c r="B163" s="410">
        <v>0.29304541629340136</v>
      </c>
      <c r="C163" t="str">
        <f t="shared" si="2"/>
        <v>salin et non alcalin</v>
      </c>
    </row>
    <row r="164" spans="1:3" x14ac:dyDescent="0.3">
      <c r="A164" s="247">
        <v>7.04</v>
      </c>
      <c r="B164" s="410">
        <v>0.49642705229190498</v>
      </c>
      <c r="C164" t="str">
        <f t="shared" si="2"/>
        <v>salin et non alcalin</v>
      </c>
    </row>
    <row r="165" spans="1:3" x14ac:dyDescent="0.3">
      <c r="A165" s="247">
        <v>0.1</v>
      </c>
      <c r="B165" s="410">
        <v>5.9948694123426642E-3</v>
      </c>
      <c r="C165" t="str">
        <f t="shared" si="2"/>
        <v>non salin et non alcalin</v>
      </c>
    </row>
    <row r="166" spans="1:3" ht="16.2" thickBot="1" x14ac:dyDescent="0.35">
      <c r="A166" s="259">
        <v>0.15</v>
      </c>
      <c r="B166" s="411">
        <v>1.2358658639916819E-2</v>
      </c>
      <c r="C166" t="str">
        <f t="shared" si="2"/>
        <v>non salin et non alcalin</v>
      </c>
    </row>
    <row r="167" spans="1:3" x14ac:dyDescent="0.3">
      <c r="A167" s="268">
        <v>0.1</v>
      </c>
      <c r="B167" s="412">
        <v>8.0554209126751358E-3</v>
      </c>
      <c r="C167" t="str">
        <f t="shared" si="2"/>
        <v>non salin et non alcalin</v>
      </c>
    </row>
    <row r="168" spans="1:3" x14ac:dyDescent="0.3">
      <c r="A168" s="6">
        <v>0.1</v>
      </c>
      <c r="B168" s="413">
        <v>8.7302845286985741E-3</v>
      </c>
      <c r="C168" t="str">
        <f t="shared" si="2"/>
        <v>non salin et non alcalin</v>
      </c>
    </row>
    <row r="169" spans="1:3" x14ac:dyDescent="0.3">
      <c r="A169" s="6">
        <v>0.14000000000000001</v>
      </c>
      <c r="B169" s="413">
        <v>4.4847901789029625E-3</v>
      </c>
      <c r="C169" t="str">
        <f t="shared" si="2"/>
        <v>non salin et non alcalin</v>
      </c>
    </row>
    <row r="170" spans="1:3" x14ac:dyDescent="0.3">
      <c r="A170" s="6">
        <v>0.16</v>
      </c>
      <c r="B170" s="413">
        <v>1.452579404616774E-2</v>
      </c>
      <c r="C170" t="str">
        <f t="shared" si="2"/>
        <v>non salin et non alcalin</v>
      </c>
    </row>
    <row r="171" spans="1:3" x14ac:dyDescent="0.3">
      <c r="A171" s="6">
        <v>8.67</v>
      </c>
      <c r="B171" s="413">
        <v>0.66882659730070482</v>
      </c>
      <c r="C171" t="str">
        <f t="shared" si="2"/>
        <v>salin et non alcalin</v>
      </c>
    </row>
    <row r="172" spans="1:3" x14ac:dyDescent="0.3">
      <c r="A172" s="6">
        <v>6.81</v>
      </c>
      <c r="B172" s="413">
        <v>0.44543569050354487</v>
      </c>
      <c r="C172" t="str">
        <f t="shared" si="2"/>
        <v>salin et non alcalin</v>
      </c>
    </row>
    <row r="173" spans="1:3" x14ac:dyDescent="0.3">
      <c r="A173" s="6">
        <v>2.52</v>
      </c>
      <c r="B173" s="413">
        <v>0.30908734577082231</v>
      </c>
      <c r="C173" t="str">
        <f t="shared" si="2"/>
        <v>salin et non alcalin</v>
      </c>
    </row>
    <row r="174" spans="1:3" x14ac:dyDescent="0.3">
      <c r="A174" s="6">
        <v>1.49</v>
      </c>
      <c r="B174" s="413">
        <v>0.18451478074667316</v>
      </c>
      <c r="C174" t="str">
        <f t="shared" si="2"/>
        <v>salin et non alcalin</v>
      </c>
    </row>
    <row r="175" spans="1:3" x14ac:dyDescent="0.3">
      <c r="A175" s="6">
        <v>6.91</v>
      </c>
      <c r="B175" s="413">
        <v>0.33221580263252681</v>
      </c>
      <c r="C175" t="str">
        <f t="shared" si="2"/>
        <v>salin et non alcalin</v>
      </c>
    </row>
    <row r="176" spans="1:3" x14ac:dyDescent="0.3">
      <c r="A176" s="6">
        <v>7.39</v>
      </c>
      <c r="B176" s="413">
        <v>0.36193370069265807</v>
      </c>
      <c r="C176" t="str">
        <f t="shared" si="2"/>
        <v>salin et non alcalin</v>
      </c>
    </row>
    <row r="177" spans="1:3" x14ac:dyDescent="0.3">
      <c r="A177" s="6">
        <v>1.2</v>
      </c>
      <c r="B177" s="413">
        <v>0.13698499438011835</v>
      </c>
      <c r="C177" t="str">
        <f t="shared" si="2"/>
        <v>salin et non alcalin</v>
      </c>
    </row>
    <row r="178" spans="1:3" x14ac:dyDescent="0.3">
      <c r="A178" s="6">
        <v>8.4</v>
      </c>
      <c r="B178" s="413">
        <v>0.41710494965726208</v>
      </c>
      <c r="C178" t="str">
        <f t="shared" si="2"/>
        <v>salin et non alcalin</v>
      </c>
    </row>
    <row r="179" spans="1:3" x14ac:dyDescent="0.3">
      <c r="A179" s="6">
        <v>1.78</v>
      </c>
      <c r="B179" s="413">
        <v>0.1097195785924219</v>
      </c>
      <c r="C179" t="str">
        <f t="shared" si="2"/>
        <v>salin et non alcalin</v>
      </c>
    </row>
    <row r="180" spans="1:3" x14ac:dyDescent="0.3">
      <c r="A180" s="6">
        <v>4.67</v>
      </c>
      <c r="B180" s="413">
        <v>0.33981629792459844</v>
      </c>
      <c r="C180" t="str">
        <f t="shared" si="2"/>
        <v>salin et non alcalin</v>
      </c>
    </row>
    <row r="181" spans="1:3" x14ac:dyDescent="0.3">
      <c r="A181" s="6">
        <v>6.23</v>
      </c>
      <c r="B181" s="414">
        <v>0.3011946931623285</v>
      </c>
      <c r="C181" t="str">
        <f t="shared" si="2"/>
        <v>salin et non alcalin</v>
      </c>
    </row>
    <row r="182" spans="1:3" x14ac:dyDescent="0.3">
      <c r="A182" s="6">
        <v>9.57</v>
      </c>
      <c r="B182" s="414">
        <v>0.43623156208689412</v>
      </c>
      <c r="C182" t="str">
        <f t="shared" si="2"/>
        <v>salin et non alcalin</v>
      </c>
    </row>
    <row r="183" spans="1:3" x14ac:dyDescent="0.3">
      <c r="A183" s="6">
        <v>19.64</v>
      </c>
      <c r="B183" s="414">
        <v>0.68175350882016383</v>
      </c>
      <c r="C183" t="str">
        <f t="shared" si="2"/>
        <v>salin et non alcalin</v>
      </c>
    </row>
    <row r="184" spans="1:3" x14ac:dyDescent="0.3">
      <c r="A184" s="6">
        <v>12.68</v>
      </c>
      <c r="B184" s="414">
        <v>0.44515189452583687</v>
      </c>
      <c r="C184" t="str">
        <f t="shared" si="2"/>
        <v>salin et non alcalin</v>
      </c>
    </row>
    <row r="185" spans="1:3" x14ac:dyDescent="0.3">
      <c r="A185" s="6">
        <v>11.84</v>
      </c>
      <c r="B185" s="414">
        <v>0.54050224769221766</v>
      </c>
      <c r="C185" t="str">
        <f t="shared" si="2"/>
        <v>salin et non alcalin</v>
      </c>
    </row>
    <row r="186" spans="1:3" x14ac:dyDescent="0.3">
      <c r="A186" s="6">
        <v>11.26</v>
      </c>
      <c r="B186" s="414">
        <v>0.32430093167028623</v>
      </c>
      <c r="C186" t="str">
        <f t="shared" si="2"/>
        <v>salin et non alcalin</v>
      </c>
    </row>
    <row r="187" spans="1:3" x14ac:dyDescent="0.3">
      <c r="A187" s="6">
        <v>4.8600000000000003</v>
      </c>
      <c r="B187" s="414">
        <v>0.22802743891004632</v>
      </c>
      <c r="C187" t="str">
        <f t="shared" si="2"/>
        <v>salin et non alcalin</v>
      </c>
    </row>
    <row r="188" spans="1:3" x14ac:dyDescent="0.3">
      <c r="A188" s="6">
        <v>18.97</v>
      </c>
      <c r="B188" s="414">
        <v>0.53248963757383994</v>
      </c>
      <c r="C188" t="str">
        <f t="shared" si="2"/>
        <v>salin et non alcalin</v>
      </c>
    </row>
    <row r="189" spans="1:3" x14ac:dyDescent="0.3">
      <c r="A189" s="6">
        <v>8.84</v>
      </c>
      <c r="B189" s="414">
        <v>0.35144221200101011</v>
      </c>
      <c r="C189" t="str">
        <f t="shared" si="2"/>
        <v>salin et non alcalin</v>
      </c>
    </row>
    <row r="190" spans="1:3" x14ac:dyDescent="0.3">
      <c r="A190" s="6">
        <v>16.350000000000001</v>
      </c>
      <c r="B190" s="414">
        <v>0.5034054827467852</v>
      </c>
      <c r="C190" t="str">
        <f t="shared" si="2"/>
        <v>salin et non alcalin</v>
      </c>
    </row>
    <row r="191" spans="1:3" x14ac:dyDescent="0.3">
      <c r="A191" s="6">
        <v>10.26</v>
      </c>
      <c r="B191" s="414">
        <v>0.38801104190446745</v>
      </c>
      <c r="C191" t="str">
        <f t="shared" si="2"/>
        <v>salin et non alcalin</v>
      </c>
    </row>
    <row r="192" spans="1:3" x14ac:dyDescent="0.3">
      <c r="A192" s="6">
        <v>10.61</v>
      </c>
      <c r="B192" s="414">
        <v>0.31224288668234246</v>
      </c>
      <c r="C192" t="str">
        <f t="shared" si="2"/>
        <v>salin et non alcalin</v>
      </c>
    </row>
    <row r="193" spans="1:3" x14ac:dyDescent="0.3">
      <c r="A193" s="6">
        <v>7.32</v>
      </c>
      <c r="B193" s="414">
        <v>0.3110708893935144</v>
      </c>
      <c r="C193" t="str">
        <f t="shared" si="2"/>
        <v>salin et non alcalin</v>
      </c>
    </row>
    <row r="194" spans="1:3" x14ac:dyDescent="0.3">
      <c r="A194" s="6">
        <v>36</v>
      </c>
      <c r="B194" s="414">
        <v>0.72941786063619174</v>
      </c>
      <c r="C194" t="str">
        <f t="shared" si="2"/>
        <v>salin et non alcalin</v>
      </c>
    </row>
    <row r="195" spans="1:3" x14ac:dyDescent="0.3">
      <c r="A195" s="6">
        <v>32.1</v>
      </c>
      <c r="B195" s="414">
        <v>0.71537096563186997</v>
      </c>
      <c r="C195" t="str">
        <f t="shared" ref="C195:C258" si="3">IF(AND(B195&gt;15, A195&lt;0.5), "non salin, alcalin",
   IF(AND(B195&gt;15, A195&gt;=0.5), "salin et alcalin",
   IF(AND(B195&lt;=15, A195&lt;0.5), "non salin et non alcalin",
   IF(AND(B195&lt;=15, A195&gt;=0.5), "salin et non alcalin"))))</f>
        <v>salin et non alcalin</v>
      </c>
    </row>
    <row r="196" spans="1:3" x14ac:dyDescent="0.3">
      <c r="A196" s="6">
        <v>19.670000000000002</v>
      </c>
      <c r="B196" s="414">
        <v>0.52925333428515386</v>
      </c>
      <c r="C196" t="str">
        <f t="shared" si="3"/>
        <v>salin et non alcalin</v>
      </c>
    </row>
    <row r="197" spans="1:3" x14ac:dyDescent="0.3">
      <c r="A197" s="6">
        <v>26.04</v>
      </c>
      <c r="B197" s="414">
        <v>0.81792051885444239</v>
      </c>
      <c r="C197" t="str">
        <f t="shared" si="3"/>
        <v>salin et non alcalin</v>
      </c>
    </row>
    <row r="198" spans="1:3" x14ac:dyDescent="0.3">
      <c r="A198" s="6">
        <v>22.25</v>
      </c>
      <c r="B198" s="414">
        <v>0.57898602821095424</v>
      </c>
      <c r="C198" t="str">
        <f t="shared" si="3"/>
        <v>salin et non alcalin</v>
      </c>
    </row>
    <row r="199" spans="1:3" x14ac:dyDescent="0.3">
      <c r="A199" s="6">
        <v>19.420000000000002</v>
      </c>
      <c r="B199" s="414">
        <v>0.54555446363688853</v>
      </c>
      <c r="C199" t="str">
        <f t="shared" si="3"/>
        <v>salin et non alcalin</v>
      </c>
    </row>
    <row r="200" spans="1:3" x14ac:dyDescent="0.3">
      <c r="A200" s="6">
        <v>11.63</v>
      </c>
      <c r="B200" s="414">
        <v>0.17945938951874099</v>
      </c>
      <c r="C200" t="str">
        <f t="shared" si="3"/>
        <v>salin et non alcalin</v>
      </c>
    </row>
    <row r="201" spans="1:3" x14ac:dyDescent="0.3">
      <c r="A201" s="6">
        <v>2.2599999999999998</v>
      </c>
      <c r="B201" s="414">
        <v>1.4626425182085285E-3</v>
      </c>
      <c r="C201" t="str">
        <f t="shared" si="3"/>
        <v>salin et non alcalin</v>
      </c>
    </row>
    <row r="202" spans="1:3" x14ac:dyDescent="0.3">
      <c r="A202" s="6">
        <v>4.29</v>
      </c>
      <c r="B202" s="414">
        <v>3.7460274828205013E-2</v>
      </c>
      <c r="C202" t="str">
        <f t="shared" si="3"/>
        <v>salin et non alcalin</v>
      </c>
    </row>
    <row r="203" spans="1:3" x14ac:dyDescent="0.3">
      <c r="A203" s="6">
        <v>2.2400000000000002</v>
      </c>
      <c r="B203" s="414">
        <v>7.1234844413500646E-4</v>
      </c>
      <c r="C203" t="str">
        <f t="shared" si="3"/>
        <v>salin et non alcalin</v>
      </c>
    </row>
    <row r="204" spans="1:3" x14ac:dyDescent="0.3">
      <c r="A204" s="6">
        <v>2.2799999999999998</v>
      </c>
      <c r="B204" s="414">
        <v>1.1912207949076833E-3</v>
      </c>
      <c r="C204" t="str">
        <f t="shared" si="3"/>
        <v>salin et non alcalin</v>
      </c>
    </row>
    <row r="205" spans="1:3" x14ac:dyDescent="0.3">
      <c r="A205" s="6">
        <v>6.32</v>
      </c>
      <c r="B205" s="414">
        <v>8.0819483563672759E-2</v>
      </c>
      <c r="C205" t="str">
        <f t="shared" si="3"/>
        <v>salin et non alcalin</v>
      </c>
    </row>
    <row r="206" spans="1:3" x14ac:dyDescent="0.3">
      <c r="A206" s="6">
        <v>16.63</v>
      </c>
      <c r="B206" s="414">
        <v>0.26472734309808316</v>
      </c>
      <c r="C206" t="str">
        <f t="shared" si="3"/>
        <v>salin et non alcalin</v>
      </c>
    </row>
    <row r="207" spans="1:3" x14ac:dyDescent="0.3">
      <c r="A207" s="6">
        <v>25.37</v>
      </c>
      <c r="B207" s="414">
        <v>0.29534887766950924</v>
      </c>
      <c r="C207" t="str">
        <f t="shared" si="3"/>
        <v>salin et non alcalin</v>
      </c>
    </row>
    <row r="208" spans="1:3" x14ac:dyDescent="0.3">
      <c r="A208" s="6">
        <v>8.83</v>
      </c>
      <c r="B208" s="414">
        <v>0.10451529754064928</v>
      </c>
      <c r="C208" t="str">
        <f t="shared" si="3"/>
        <v>salin et non alcalin</v>
      </c>
    </row>
    <row r="209" spans="1:3" x14ac:dyDescent="0.3">
      <c r="A209" s="6">
        <v>2.5</v>
      </c>
      <c r="B209" s="414">
        <v>9.5654548381636617E-2</v>
      </c>
      <c r="C209" t="str">
        <f t="shared" si="3"/>
        <v>salin et non alcalin</v>
      </c>
    </row>
    <row r="210" spans="1:3" x14ac:dyDescent="0.3">
      <c r="A210" s="6">
        <v>8.42</v>
      </c>
      <c r="B210" s="414">
        <v>0.25659307980433316</v>
      </c>
      <c r="C210" t="str">
        <f t="shared" si="3"/>
        <v>salin et non alcalin</v>
      </c>
    </row>
    <row r="211" spans="1:3" x14ac:dyDescent="0.3">
      <c r="A211" s="6">
        <v>8.15</v>
      </c>
      <c r="B211" s="414">
        <v>0.26716718851153265</v>
      </c>
      <c r="C211" t="str">
        <f t="shared" si="3"/>
        <v>salin et non alcalin</v>
      </c>
    </row>
    <row r="212" spans="1:3" x14ac:dyDescent="0.3">
      <c r="A212" s="6">
        <v>14.87</v>
      </c>
      <c r="B212" s="414">
        <v>0.25431754012608077</v>
      </c>
      <c r="C212" t="str">
        <f t="shared" si="3"/>
        <v>salin et non alcalin</v>
      </c>
    </row>
    <row r="213" spans="1:3" x14ac:dyDescent="0.3">
      <c r="A213" s="6">
        <v>2.3199999999999998</v>
      </c>
      <c r="B213" s="414">
        <v>2.0348653677325847E-3</v>
      </c>
      <c r="C213" t="str">
        <f t="shared" si="3"/>
        <v>salin et non alcalin</v>
      </c>
    </row>
    <row r="214" spans="1:3" x14ac:dyDescent="0.3">
      <c r="A214" s="6">
        <v>6.2</v>
      </c>
      <c r="B214" s="414">
        <v>5.9606683629058688E-2</v>
      </c>
      <c r="C214" t="str">
        <f t="shared" si="3"/>
        <v>salin et non alcalin</v>
      </c>
    </row>
    <row r="215" spans="1:3" x14ac:dyDescent="0.3">
      <c r="A215" s="6">
        <v>2.29</v>
      </c>
      <c r="B215" s="414">
        <v>7.302382649946854E-4</v>
      </c>
      <c r="C215" t="str">
        <f t="shared" si="3"/>
        <v>salin et non alcalin</v>
      </c>
    </row>
    <row r="216" spans="1:3" x14ac:dyDescent="0.3">
      <c r="A216" s="6">
        <v>2.35</v>
      </c>
      <c r="B216" s="414">
        <v>1.7770149697462171E-3</v>
      </c>
      <c r="C216" t="str">
        <f t="shared" si="3"/>
        <v>salin et non alcalin</v>
      </c>
    </row>
    <row r="217" spans="1:3" x14ac:dyDescent="0.3">
      <c r="A217" s="6">
        <v>3.28</v>
      </c>
      <c r="B217" s="414">
        <v>0.12285413263052042</v>
      </c>
      <c r="C217" t="str">
        <f t="shared" si="3"/>
        <v>salin et non alcalin</v>
      </c>
    </row>
    <row r="218" spans="1:3" x14ac:dyDescent="0.3">
      <c r="A218" s="6">
        <v>6.89</v>
      </c>
      <c r="B218" s="414">
        <v>0.17277532476650864</v>
      </c>
      <c r="C218" t="str">
        <f t="shared" si="3"/>
        <v>salin et non alcalin</v>
      </c>
    </row>
    <row r="219" spans="1:3" x14ac:dyDescent="0.3">
      <c r="A219" s="6">
        <v>25.85</v>
      </c>
      <c r="B219" s="414">
        <v>0.51373850356137374</v>
      </c>
      <c r="C219" t="str">
        <f t="shared" si="3"/>
        <v>salin et non alcalin</v>
      </c>
    </row>
    <row r="220" spans="1:3" ht="16.2" thickBot="1" x14ac:dyDescent="0.35">
      <c r="A220" s="291">
        <v>22.18</v>
      </c>
      <c r="B220" s="415">
        <v>0.39545304440006401</v>
      </c>
      <c r="C220" t="str">
        <f t="shared" si="3"/>
        <v>salin et non alcalin</v>
      </c>
    </row>
    <row r="221" spans="1:3" x14ac:dyDescent="0.3">
      <c r="A221" s="1">
        <v>0.47</v>
      </c>
      <c r="B221" s="416">
        <v>0.10568096765679909</v>
      </c>
      <c r="C221" t="str">
        <f t="shared" si="3"/>
        <v>non salin et non alcalin</v>
      </c>
    </row>
    <row r="222" spans="1:3" x14ac:dyDescent="0.3">
      <c r="A222" s="2">
        <v>0.4</v>
      </c>
      <c r="B222" s="417">
        <v>0.1019566343394137</v>
      </c>
      <c r="C222" t="str">
        <f t="shared" si="3"/>
        <v>non salin et non alcalin</v>
      </c>
    </row>
    <row r="223" spans="1:3" x14ac:dyDescent="0.3">
      <c r="A223" s="2">
        <v>1.1599999999999999</v>
      </c>
      <c r="B223" s="417">
        <v>0.12070706083519506</v>
      </c>
      <c r="C223" t="str">
        <f t="shared" si="3"/>
        <v>salin et non alcalin</v>
      </c>
    </row>
    <row r="224" spans="1:3" x14ac:dyDescent="0.3">
      <c r="A224" s="2">
        <v>2.5499999999999998</v>
      </c>
      <c r="B224" s="417">
        <v>0.18929695419636364</v>
      </c>
      <c r="C224" t="str">
        <f t="shared" si="3"/>
        <v>salin et non alcalin</v>
      </c>
    </row>
    <row r="225" spans="1:3" x14ac:dyDescent="0.3">
      <c r="A225" s="2">
        <v>2.36</v>
      </c>
      <c r="B225" s="417">
        <v>0.13323414550797291</v>
      </c>
      <c r="C225" t="str">
        <f t="shared" si="3"/>
        <v>salin et non alcalin</v>
      </c>
    </row>
    <row r="226" spans="1:3" x14ac:dyDescent="0.3">
      <c r="A226" s="2">
        <v>4.99</v>
      </c>
      <c r="B226" s="417">
        <v>0.34571617445802028</v>
      </c>
      <c r="C226" t="str">
        <f t="shared" si="3"/>
        <v>salin et non alcalin</v>
      </c>
    </row>
    <row r="227" spans="1:3" x14ac:dyDescent="0.3">
      <c r="A227" s="2">
        <v>0.42</v>
      </c>
      <c r="B227" s="417">
        <v>7.5046490561314669E-2</v>
      </c>
      <c r="C227" t="str">
        <f t="shared" si="3"/>
        <v>non salin et non alcalin</v>
      </c>
    </row>
    <row r="228" spans="1:3" x14ac:dyDescent="0.3">
      <c r="A228" s="2">
        <v>0.28000000000000003</v>
      </c>
      <c r="B228" s="417">
        <v>5.8500384454185025E-2</v>
      </c>
      <c r="C228" t="str">
        <f t="shared" si="3"/>
        <v>non salin et non alcalin</v>
      </c>
    </row>
    <row r="229" spans="1:3" x14ac:dyDescent="0.3">
      <c r="A229" s="2">
        <v>0.16</v>
      </c>
      <c r="B229" s="417">
        <v>8.7582850668066047E-3</v>
      </c>
      <c r="C229" t="str">
        <f t="shared" si="3"/>
        <v>non salin et non alcalin</v>
      </c>
    </row>
    <row r="230" spans="1:3" x14ac:dyDescent="0.3">
      <c r="A230" s="2">
        <v>1.38</v>
      </c>
      <c r="B230" s="417">
        <v>8.8547505407132798E-2</v>
      </c>
      <c r="C230" t="str">
        <f t="shared" si="3"/>
        <v>salin et non alcalin</v>
      </c>
    </row>
    <row r="231" spans="1:3" x14ac:dyDescent="0.3">
      <c r="A231" s="2">
        <v>0.1</v>
      </c>
      <c r="B231" s="417">
        <v>7.76282400979246E-3</v>
      </c>
      <c r="C231" t="str">
        <f t="shared" si="3"/>
        <v>non salin et non alcalin</v>
      </c>
    </row>
    <row r="232" spans="1:3" x14ac:dyDescent="0.3">
      <c r="A232" s="2">
        <v>0.11</v>
      </c>
      <c r="B232" s="417">
        <v>1.516920960225317E-2</v>
      </c>
      <c r="C232" t="str">
        <f t="shared" si="3"/>
        <v>non salin et non alcalin</v>
      </c>
    </row>
    <row r="233" spans="1:3" x14ac:dyDescent="0.3">
      <c r="A233" s="2">
        <v>0.22</v>
      </c>
      <c r="B233" s="417">
        <v>2.1897731816284429E-2</v>
      </c>
      <c r="C233" t="str">
        <f t="shared" si="3"/>
        <v>non salin et non alcalin</v>
      </c>
    </row>
    <row r="234" spans="1:3" ht="16.2" thickBot="1" x14ac:dyDescent="0.35">
      <c r="A234" s="3">
        <v>0.72</v>
      </c>
      <c r="B234" s="418">
        <v>8.1484275866451961E-2</v>
      </c>
      <c r="C234" t="str">
        <f t="shared" si="3"/>
        <v>salin et non alcalin</v>
      </c>
    </row>
    <row r="235" spans="1:3" x14ac:dyDescent="0.3">
      <c r="A235" s="343">
        <v>0.17</v>
      </c>
      <c r="B235" s="419">
        <v>2.8806944004026721E-2</v>
      </c>
      <c r="C235" t="str">
        <f t="shared" si="3"/>
        <v>non salin et non alcalin</v>
      </c>
    </row>
    <row r="236" spans="1:3" x14ac:dyDescent="0.3">
      <c r="A236" s="343">
        <v>0.27</v>
      </c>
      <c r="B236" s="420">
        <v>4.1955272736779216E-2</v>
      </c>
      <c r="C236" t="str">
        <f t="shared" si="3"/>
        <v>non salin et non alcalin</v>
      </c>
    </row>
    <row r="237" spans="1:3" x14ac:dyDescent="0.3">
      <c r="A237" s="343">
        <v>0.18</v>
      </c>
      <c r="B237" s="420">
        <v>1.8182801718734841E-2</v>
      </c>
      <c r="C237" t="str">
        <f t="shared" si="3"/>
        <v>non salin et non alcalin</v>
      </c>
    </row>
    <row r="238" spans="1:3" x14ac:dyDescent="0.3">
      <c r="A238" s="343">
        <v>0.09</v>
      </c>
      <c r="B238" s="420">
        <v>2.5471294492301472E-2</v>
      </c>
      <c r="C238" t="str">
        <f t="shared" si="3"/>
        <v>non salin et non alcalin</v>
      </c>
    </row>
    <row r="239" spans="1:3" x14ac:dyDescent="0.3">
      <c r="A239" s="343">
        <v>0.11</v>
      </c>
      <c r="B239" s="420">
        <v>3.2487787426760803E-3</v>
      </c>
      <c r="C239" t="str">
        <f t="shared" si="3"/>
        <v>non salin et non alcalin</v>
      </c>
    </row>
    <row r="240" spans="1:3" x14ac:dyDescent="0.3">
      <c r="A240" s="343">
        <v>4.3099999999999996</v>
      </c>
      <c r="B240" s="420">
        <v>0.31283449833642579</v>
      </c>
      <c r="C240" t="str">
        <f t="shared" si="3"/>
        <v>salin et non alcalin</v>
      </c>
    </row>
    <row r="241" spans="1:3" x14ac:dyDescent="0.3">
      <c r="A241" s="343">
        <v>4.01</v>
      </c>
      <c r="B241" s="420">
        <v>0.3807529888227017</v>
      </c>
      <c r="C241" t="str">
        <f t="shared" si="3"/>
        <v>salin et non alcalin</v>
      </c>
    </row>
    <row r="242" spans="1:3" x14ac:dyDescent="0.3">
      <c r="A242" s="343">
        <v>0.21</v>
      </c>
      <c r="B242" s="420">
        <v>4.1804712039429349E-2</v>
      </c>
      <c r="C242" t="str">
        <f t="shared" si="3"/>
        <v>non salin et non alcalin</v>
      </c>
    </row>
    <row r="243" spans="1:3" x14ac:dyDescent="0.3">
      <c r="A243" s="343">
        <v>7.0000000000000007E-2</v>
      </c>
      <c r="B243" s="420">
        <v>5.4957825813556375E-3</v>
      </c>
      <c r="C243" t="str">
        <f t="shared" si="3"/>
        <v>non salin et non alcalin</v>
      </c>
    </row>
    <row r="244" spans="1:3" x14ac:dyDescent="0.3">
      <c r="A244" s="343">
        <v>8.66</v>
      </c>
      <c r="B244" s="420">
        <v>6.8061833183103881E-2</v>
      </c>
      <c r="C244" t="str">
        <f t="shared" si="3"/>
        <v>salin et non alcalin</v>
      </c>
    </row>
    <row r="245" spans="1:3" x14ac:dyDescent="0.3">
      <c r="A245" s="343">
        <v>9.31</v>
      </c>
      <c r="B245" s="420">
        <v>0.18670569272008095</v>
      </c>
      <c r="C245" t="str">
        <f t="shared" si="3"/>
        <v>salin et non alcalin</v>
      </c>
    </row>
    <row r="246" spans="1:3" x14ac:dyDescent="0.3">
      <c r="A246" s="343">
        <v>0.21</v>
      </c>
      <c r="B246" s="420">
        <v>1.6440588149820006E-2</v>
      </c>
      <c r="C246" t="str">
        <f t="shared" si="3"/>
        <v>non salin et non alcalin</v>
      </c>
    </row>
    <row r="247" spans="1:3" x14ac:dyDescent="0.3">
      <c r="A247" s="343">
        <v>0.09</v>
      </c>
      <c r="B247" s="420">
        <v>4.5953650386504992E-3</v>
      </c>
      <c r="C247" t="str">
        <f t="shared" si="3"/>
        <v>non salin et non alcalin</v>
      </c>
    </row>
    <row r="248" spans="1:3" x14ac:dyDescent="0.3">
      <c r="A248" s="343">
        <v>0.11</v>
      </c>
      <c r="B248" s="420">
        <v>4.1970260968184183E-3</v>
      </c>
      <c r="C248" t="str">
        <f t="shared" si="3"/>
        <v>non salin et non alcalin</v>
      </c>
    </row>
    <row r="249" spans="1:3" x14ac:dyDescent="0.3">
      <c r="A249" s="343">
        <v>7.0000000000000007E-2</v>
      </c>
      <c r="B249" s="420">
        <v>6.0184408927095919E-3</v>
      </c>
      <c r="C249" t="str">
        <f t="shared" si="3"/>
        <v>non salin et non alcalin</v>
      </c>
    </row>
    <row r="250" spans="1:3" x14ac:dyDescent="0.3">
      <c r="A250" s="343">
        <v>0.28999999999999998</v>
      </c>
      <c r="B250" s="420">
        <v>2.3326274881769297E-2</v>
      </c>
      <c r="C250" t="str">
        <f t="shared" si="3"/>
        <v>non salin et non alcalin</v>
      </c>
    </row>
    <row r="251" spans="1:3" x14ac:dyDescent="0.3">
      <c r="A251" s="343">
        <v>0.11</v>
      </c>
      <c r="B251" s="420">
        <v>4.0872342129895829E-2</v>
      </c>
      <c r="C251" t="str">
        <f t="shared" si="3"/>
        <v>non salin et non alcalin</v>
      </c>
    </row>
    <row r="252" spans="1:3" x14ac:dyDescent="0.3">
      <c r="A252" s="343">
        <v>0.22</v>
      </c>
      <c r="B252" s="420">
        <v>6.5840412264327242E-2</v>
      </c>
      <c r="C252" t="str">
        <f t="shared" si="3"/>
        <v>non salin et non alcalin</v>
      </c>
    </row>
    <row r="253" spans="1:3" x14ac:dyDescent="0.3">
      <c r="A253" s="343">
        <v>0.47</v>
      </c>
      <c r="B253" s="420">
        <v>3.4656048578916875E-3</v>
      </c>
      <c r="C253" t="str">
        <f t="shared" si="3"/>
        <v>non salin et non alcalin</v>
      </c>
    </row>
    <row r="254" spans="1:3" x14ac:dyDescent="0.3">
      <c r="A254" s="343">
        <v>1.19</v>
      </c>
      <c r="B254" s="420">
        <v>0.12039242817697322</v>
      </c>
      <c r="C254" t="str">
        <f t="shared" si="3"/>
        <v>salin et non alcalin</v>
      </c>
    </row>
    <row r="255" spans="1:3" x14ac:dyDescent="0.3">
      <c r="A255" s="343">
        <v>0.3</v>
      </c>
      <c r="B255" s="420">
        <v>2.6231140228078084E-2</v>
      </c>
      <c r="C255" t="str">
        <f t="shared" si="3"/>
        <v>non salin et non alcalin</v>
      </c>
    </row>
    <row r="256" spans="1:3" x14ac:dyDescent="0.3">
      <c r="A256" s="343">
        <v>0.2</v>
      </c>
      <c r="B256" s="420">
        <v>3.2627964265866012E-3</v>
      </c>
      <c r="C256" t="str">
        <f t="shared" si="3"/>
        <v>non salin et non alcalin</v>
      </c>
    </row>
    <row r="257" spans="1:3" x14ac:dyDescent="0.3">
      <c r="A257" s="343">
        <v>0.56000000000000005</v>
      </c>
      <c r="B257" s="420">
        <v>4.7780958695658689E-2</v>
      </c>
      <c r="C257" t="str">
        <f t="shared" si="3"/>
        <v>salin et non alcalin</v>
      </c>
    </row>
    <row r="258" spans="1:3" x14ac:dyDescent="0.3">
      <c r="A258" s="343">
        <v>4.75</v>
      </c>
      <c r="B258" s="420">
        <v>0.36282594019736003</v>
      </c>
      <c r="C258" t="str">
        <f t="shared" si="3"/>
        <v>salin et non alcalin</v>
      </c>
    </row>
    <row r="259" spans="1:3" x14ac:dyDescent="0.3">
      <c r="A259" s="343">
        <v>4.16</v>
      </c>
      <c r="B259" s="420">
        <v>0.38600695536254831</v>
      </c>
      <c r="C259" t="str">
        <f t="shared" ref="C259:C322" si="4">IF(AND(B259&gt;15, A259&lt;0.5), "non salin, alcalin",
   IF(AND(B259&gt;15, A259&gt;=0.5), "salin et alcalin",
   IF(AND(B259&lt;=15, A259&lt;0.5), "non salin et non alcalin",
   IF(AND(B259&lt;=15, A259&gt;=0.5), "salin et non alcalin"))))</f>
        <v>salin et non alcalin</v>
      </c>
    </row>
    <row r="260" spans="1:3" x14ac:dyDescent="0.3">
      <c r="A260" s="343">
        <v>12.09</v>
      </c>
      <c r="B260" s="420">
        <v>0.74645251276266167</v>
      </c>
      <c r="C260" t="str">
        <f t="shared" si="4"/>
        <v>salin et non alcalin</v>
      </c>
    </row>
    <row r="261" spans="1:3" x14ac:dyDescent="0.3">
      <c r="A261" s="343">
        <v>0.2</v>
      </c>
      <c r="B261" s="420">
        <v>1.0280975663726225E-2</v>
      </c>
      <c r="C261" t="str">
        <f t="shared" si="4"/>
        <v>non salin et non alcalin</v>
      </c>
    </row>
    <row r="262" spans="1:3" x14ac:dyDescent="0.3">
      <c r="A262" s="343">
        <v>0.08</v>
      </c>
      <c r="B262" s="420">
        <v>2.3650660028795316E-3</v>
      </c>
      <c r="C262" t="str">
        <f t="shared" si="4"/>
        <v>non salin et non alcalin</v>
      </c>
    </row>
    <row r="263" spans="1:3" x14ac:dyDescent="0.3">
      <c r="A263" s="343">
        <v>12.07</v>
      </c>
      <c r="B263" s="420">
        <v>0.36229746391858925</v>
      </c>
      <c r="C263" t="str">
        <f t="shared" si="4"/>
        <v>salin et non alcalin</v>
      </c>
    </row>
    <row r="264" spans="1:3" x14ac:dyDescent="0.3">
      <c r="A264" s="343">
        <v>11.37</v>
      </c>
      <c r="B264" s="420">
        <v>0.31108558600063879</v>
      </c>
      <c r="C264" t="str">
        <f t="shared" si="4"/>
        <v>salin et non alcalin</v>
      </c>
    </row>
    <row r="265" spans="1:3" x14ac:dyDescent="0.3">
      <c r="A265" s="343">
        <v>17.11</v>
      </c>
      <c r="B265" s="420">
        <v>0.57244199989276212</v>
      </c>
      <c r="C265" t="str">
        <f t="shared" si="4"/>
        <v>salin et non alcalin</v>
      </c>
    </row>
    <row r="266" spans="1:3" x14ac:dyDescent="0.3">
      <c r="A266" s="343">
        <v>13.34</v>
      </c>
      <c r="B266" s="420">
        <v>0.49199934223980518</v>
      </c>
      <c r="C266" t="str">
        <f t="shared" si="4"/>
        <v>salin et non alcalin</v>
      </c>
    </row>
    <row r="267" spans="1:3" x14ac:dyDescent="0.3">
      <c r="A267" s="343">
        <v>12.67</v>
      </c>
      <c r="B267" s="420">
        <v>0.49831420414680078</v>
      </c>
      <c r="C267" t="str">
        <f t="shared" si="4"/>
        <v>salin et non alcalin</v>
      </c>
    </row>
    <row r="268" spans="1:3" x14ac:dyDescent="0.3">
      <c r="A268" s="343">
        <v>18.29</v>
      </c>
      <c r="B268" s="420">
        <v>0.49221645449539786</v>
      </c>
      <c r="C268" t="str">
        <f t="shared" si="4"/>
        <v>salin et non alcalin</v>
      </c>
    </row>
    <row r="269" spans="1:3" x14ac:dyDescent="0.3">
      <c r="A269" s="343">
        <v>11.48</v>
      </c>
      <c r="B269" s="420">
        <v>0.48994261707181697</v>
      </c>
      <c r="C269" t="str">
        <f t="shared" si="4"/>
        <v>salin et non alcalin</v>
      </c>
    </row>
    <row r="270" spans="1:3" x14ac:dyDescent="0.3">
      <c r="A270" s="343">
        <v>12.48</v>
      </c>
      <c r="B270" s="420">
        <v>0.34601060901200836</v>
      </c>
      <c r="C270" t="str">
        <f t="shared" si="4"/>
        <v>salin et non alcalin</v>
      </c>
    </row>
    <row r="271" spans="1:3" x14ac:dyDescent="0.3">
      <c r="A271" s="343">
        <v>14.97</v>
      </c>
      <c r="B271" s="420">
        <v>0.57929708804187885</v>
      </c>
      <c r="C271" t="str">
        <f t="shared" si="4"/>
        <v>salin et non alcalin</v>
      </c>
    </row>
    <row r="272" spans="1:3" x14ac:dyDescent="0.3">
      <c r="A272" s="343">
        <v>15.24</v>
      </c>
      <c r="B272" s="420">
        <v>0.49528760954124856</v>
      </c>
      <c r="C272" t="str">
        <f t="shared" si="4"/>
        <v>salin et non alcalin</v>
      </c>
    </row>
    <row r="273" spans="1:3" x14ac:dyDescent="0.3">
      <c r="A273" s="343">
        <v>5.43</v>
      </c>
      <c r="B273" s="420">
        <v>0.30897823090897064</v>
      </c>
      <c r="C273" t="str">
        <f t="shared" si="4"/>
        <v>salin et non alcalin</v>
      </c>
    </row>
    <row r="274" spans="1:3" x14ac:dyDescent="0.3">
      <c r="A274" s="343">
        <v>6.01</v>
      </c>
      <c r="B274" s="420">
        <v>0.168654886431471</v>
      </c>
      <c r="C274" t="str">
        <f t="shared" si="4"/>
        <v>salin et non alcalin</v>
      </c>
    </row>
    <row r="275" spans="1:3" x14ac:dyDescent="0.3">
      <c r="A275" s="343">
        <v>69.010000000000005</v>
      </c>
      <c r="B275" s="420">
        <v>0.68781446936036816</v>
      </c>
      <c r="C275" t="str">
        <f t="shared" si="4"/>
        <v>salin et non alcalin</v>
      </c>
    </row>
    <row r="276" spans="1:3" x14ac:dyDescent="0.3">
      <c r="A276" s="343">
        <v>11.64</v>
      </c>
      <c r="B276" s="420">
        <v>0.24409090532806793</v>
      </c>
      <c r="C276" t="str">
        <f t="shared" si="4"/>
        <v>salin et non alcalin</v>
      </c>
    </row>
    <row r="277" spans="1:3" x14ac:dyDescent="0.3">
      <c r="A277" s="343">
        <v>46.82</v>
      </c>
      <c r="B277" s="420">
        <v>0.54169508930060239</v>
      </c>
      <c r="C277" t="str">
        <f t="shared" si="4"/>
        <v>salin et non alcalin</v>
      </c>
    </row>
    <row r="278" spans="1:3" x14ac:dyDescent="0.3">
      <c r="A278" s="343">
        <v>11.34</v>
      </c>
      <c r="B278" s="420">
        <v>0.20820162979071793</v>
      </c>
      <c r="C278" t="str">
        <f t="shared" si="4"/>
        <v>salin et non alcalin</v>
      </c>
    </row>
    <row r="279" spans="1:3" x14ac:dyDescent="0.3">
      <c r="A279" s="343">
        <v>43.14</v>
      </c>
      <c r="B279" s="420">
        <v>0.64633420648380746</v>
      </c>
      <c r="C279" t="str">
        <f t="shared" si="4"/>
        <v>salin et non alcalin</v>
      </c>
    </row>
    <row r="280" spans="1:3" x14ac:dyDescent="0.3">
      <c r="A280" s="343">
        <v>9.2899999999999991</v>
      </c>
      <c r="B280" s="420">
        <v>0.43830258556922663</v>
      </c>
      <c r="C280" t="str">
        <f t="shared" si="4"/>
        <v>salin et non alcalin</v>
      </c>
    </row>
    <row r="281" spans="1:3" x14ac:dyDescent="0.3">
      <c r="A281" s="343">
        <v>3.88</v>
      </c>
      <c r="B281" s="420">
        <v>3.701188338872765E-2</v>
      </c>
      <c r="C281" t="str">
        <f t="shared" si="4"/>
        <v>salin et non alcalin</v>
      </c>
    </row>
    <row r="282" spans="1:3" x14ac:dyDescent="0.3">
      <c r="A282" s="343">
        <v>4.34</v>
      </c>
      <c r="B282" s="420">
        <v>5.1951600545229674E-2</v>
      </c>
      <c r="C282" t="str">
        <f t="shared" si="4"/>
        <v>salin et non alcalin</v>
      </c>
    </row>
    <row r="283" spans="1:3" x14ac:dyDescent="0.3">
      <c r="A283" s="343">
        <v>7.04</v>
      </c>
      <c r="B283" s="420">
        <v>0.23811504280093862</v>
      </c>
      <c r="C283" t="str">
        <f t="shared" si="4"/>
        <v>salin et non alcalin</v>
      </c>
    </row>
    <row r="284" spans="1:3" x14ac:dyDescent="0.3">
      <c r="A284" s="343">
        <v>2.21</v>
      </c>
      <c r="B284" s="420">
        <v>9.6789591237382872E-2</v>
      </c>
      <c r="C284" t="str">
        <f t="shared" si="4"/>
        <v>salin et non alcalin</v>
      </c>
    </row>
    <row r="285" spans="1:3" x14ac:dyDescent="0.3">
      <c r="A285" s="343">
        <v>20.02</v>
      </c>
      <c r="B285" s="420">
        <v>0.40002227707712301</v>
      </c>
      <c r="C285" t="str">
        <f t="shared" si="4"/>
        <v>salin et non alcalin</v>
      </c>
    </row>
    <row r="286" spans="1:3" x14ac:dyDescent="0.3">
      <c r="A286" s="343">
        <v>16.38</v>
      </c>
      <c r="B286" s="420">
        <v>0.28600873361544576</v>
      </c>
      <c r="C286" t="str">
        <f t="shared" si="4"/>
        <v>salin et non alcalin</v>
      </c>
    </row>
    <row r="287" spans="1:3" x14ac:dyDescent="0.3">
      <c r="A287" s="343">
        <v>5.57</v>
      </c>
      <c r="B287" s="420">
        <v>0.45158081345746337</v>
      </c>
      <c r="C287" t="str">
        <f t="shared" si="4"/>
        <v>salin et non alcalin</v>
      </c>
    </row>
    <row r="288" spans="1:3" x14ac:dyDescent="0.3">
      <c r="A288" s="349">
        <v>14.18</v>
      </c>
      <c r="B288" s="420">
        <v>0.55154463018272903</v>
      </c>
      <c r="C288" t="str">
        <f t="shared" si="4"/>
        <v>salin et non alcalin</v>
      </c>
    </row>
    <row r="289" spans="1:3" x14ac:dyDescent="0.3">
      <c r="A289" s="349">
        <v>6.78</v>
      </c>
      <c r="B289" s="420">
        <v>0.4825800539386278</v>
      </c>
      <c r="C289" t="str">
        <f t="shared" si="4"/>
        <v>salin et non alcalin</v>
      </c>
    </row>
    <row r="290" spans="1:3" x14ac:dyDescent="0.3">
      <c r="A290" s="349">
        <v>11.82</v>
      </c>
      <c r="B290" s="420">
        <v>0.44715364189316303</v>
      </c>
      <c r="C290" t="str">
        <f t="shared" si="4"/>
        <v>salin et non alcalin</v>
      </c>
    </row>
    <row r="291" spans="1:3" x14ac:dyDescent="0.3">
      <c r="A291" s="349">
        <v>11.38</v>
      </c>
      <c r="B291" s="420">
        <v>0.62565217376526472</v>
      </c>
      <c r="C291" t="str">
        <f t="shared" si="4"/>
        <v>salin et non alcalin</v>
      </c>
    </row>
    <row r="292" spans="1:3" x14ac:dyDescent="0.3">
      <c r="A292" s="349">
        <v>15.03</v>
      </c>
      <c r="B292" s="420">
        <v>0.56964822904654633</v>
      </c>
      <c r="C292" t="str">
        <f t="shared" si="4"/>
        <v>salin et non alcalin</v>
      </c>
    </row>
    <row r="293" spans="1:3" x14ac:dyDescent="0.3">
      <c r="A293" s="349">
        <v>8.66</v>
      </c>
      <c r="B293" s="420">
        <v>0.54180315479618812</v>
      </c>
      <c r="C293" t="str">
        <f t="shared" si="4"/>
        <v>salin et non alcalin</v>
      </c>
    </row>
    <row r="294" spans="1:3" x14ac:dyDescent="0.3">
      <c r="A294" s="349">
        <v>14.7</v>
      </c>
      <c r="B294" s="420">
        <v>0.54071616210209117</v>
      </c>
      <c r="C294" t="str">
        <f t="shared" si="4"/>
        <v>salin et non alcalin</v>
      </c>
    </row>
    <row r="295" spans="1:3" x14ac:dyDescent="0.3">
      <c r="A295" s="349">
        <v>6.41</v>
      </c>
      <c r="B295" s="420">
        <v>0.41316792922279055</v>
      </c>
      <c r="C295" t="str">
        <f t="shared" si="4"/>
        <v>salin et non alcalin</v>
      </c>
    </row>
    <row r="296" spans="1:3" x14ac:dyDescent="0.3">
      <c r="A296" s="349">
        <v>15.66</v>
      </c>
      <c r="B296" s="420">
        <v>0.46645439001573796</v>
      </c>
      <c r="C296" t="str">
        <f t="shared" si="4"/>
        <v>salin et non alcalin</v>
      </c>
    </row>
    <row r="297" spans="1:3" x14ac:dyDescent="0.3">
      <c r="A297" s="349">
        <v>8</v>
      </c>
      <c r="B297" s="420">
        <v>0.56957579981471684</v>
      </c>
      <c r="C297" t="str">
        <f t="shared" si="4"/>
        <v>salin et non alcalin</v>
      </c>
    </row>
    <row r="298" spans="1:3" x14ac:dyDescent="0.3">
      <c r="A298" s="349">
        <v>19.690000000000001</v>
      </c>
      <c r="B298" s="420">
        <v>0.50466603436285618</v>
      </c>
      <c r="C298" t="str">
        <f t="shared" si="4"/>
        <v>salin et non alcalin</v>
      </c>
    </row>
    <row r="299" spans="1:3" x14ac:dyDescent="0.3">
      <c r="A299" s="349">
        <v>9.83</v>
      </c>
      <c r="B299" s="420">
        <v>0.52990793840245842</v>
      </c>
      <c r="C299" t="str">
        <f t="shared" si="4"/>
        <v>salin et non alcalin</v>
      </c>
    </row>
    <row r="300" spans="1:3" x14ac:dyDescent="0.3">
      <c r="A300" s="349">
        <v>10.89</v>
      </c>
      <c r="B300" s="420">
        <v>0.42674253231063547</v>
      </c>
      <c r="C300" t="str">
        <f t="shared" si="4"/>
        <v>salin et non alcalin</v>
      </c>
    </row>
    <row r="301" spans="1:3" x14ac:dyDescent="0.3">
      <c r="A301" s="349">
        <v>10.36</v>
      </c>
      <c r="B301" s="420">
        <v>0.60103206909956297</v>
      </c>
      <c r="C301" t="str">
        <f t="shared" si="4"/>
        <v>salin et non alcalin</v>
      </c>
    </row>
    <row r="302" spans="1:3" x14ac:dyDescent="0.3">
      <c r="A302" s="349">
        <v>14.22</v>
      </c>
      <c r="B302" s="420">
        <v>0.50492414092766069</v>
      </c>
      <c r="C302" t="str">
        <f t="shared" si="4"/>
        <v>salin et non alcalin</v>
      </c>
    </row>
    <row r="303" spans="1:3" x14ac:dyDescent="0.3">
      <c r="A303" s="349">
        <v>10.17</v>
      </c>
      <c r="B303" s="420">
        <v>0.58712664051182473</v>
      </c>
      <c r="C303" t="str">
        <f t="shared" si="4"/>
        <v>salin et non alcalin</v>
      </c>
    </row>
    <row r="304" spans="1:3" x14ac:dyDescent="0.3">
      <c r="A304" s="349">
        <v>12.07</v>
      </c>
      <c r="B304" s="420">
        <v>0.47185393824874511</v>
      </c>
      <c r="C304" t="str">
        <f t="shared" si="4"/>
        <v>salin et non alcalin</v>
      </c>
    </row>
    <row r="305" spans="1:3" x14ac:dyDescent="0.3">
      <c r="A305" s="349">
        <v>0.56000000000000005</v>
      </c>
      <c r="B305" s="420">
        <v>9.1399336902323255E-2</v>
      </c>
      <c r="C305" t="str">
        <f t="shared" si="4"/>
        <v>salin et non alcalin</v>
      </c>
    </row>
    <row r="306" spans="1:3" x14ac:dyDescent="0.3">
      <c r="A306" s="349">
        <v>3.28</v>
      </c>
      <c r="B306" s="420">
        <v>0.27789593499559634</v>
      </c>
      <c r="C306" t="str">
        <f t="shared" si="4"/>
        <v>salin et non alcalin</v>
      </c>
    </row>
    <row r="307" spans="1:3" x14ac:dyDescent="0.3">
      <c r="A307" s="349">
        <v>32.35</v>
      </c>
      <c r="B307" s="420">
        <v>0.73812785582118667</v>
      </c>
      <c r="C307" t="str">
        <f t="shared" si="4"/>
        <v>salin et non alcalin</v>
      </c>
    </row>
    <row r="308" spans="1:3" x14ac:dyDescent="0.3">
      <c r="A308" s="349">
        <v>9.1</v>
      </c>
      <c r="B308" s="420">
        <v>0.55940430315180567</v>
      </c>
      <c r="C308" t="str">
        <f t="shared" si="4"/>
        <v>salin et non alcalin</v>
      </c>
    </row>
    <row r="309" spans="1:3" x14ac:dyDescent="0.3">
      <c r="A309" s="349">
        <v>35</v>
      </c>
      <c r="B309" s="420">
        <v>0.78403597752219301</v>
      </c>
      <c r="C309" t="str">
        <f t="shared" si="4"/>
        <v>salin et non alcalin</v>
      </c>
    </row>
    <row r="310" spans="1:3" x14ac:dyDescent="0.3">
      <c r="A310" s="349">
        <v>10.59</v>
      </c>
      <c r="B310" s="420">
        <v>0.36499687524593566</v>
      </c>
      <c r="C310" t="str">
        <f t="shared" si="4"/>
        <v>salin et non alcalin</v>
      </c>
    </row>
    <row r="311" spans="1:3" x14ac:dyDescent="0.3">
      <c r="A311" s="349">
        <v>29.72</v>
      </c>
      <c r="B311" s="420">
        <v>0.76435264689974869</v>
      </c>
      <c r="C311" t="str">
        <f t="shared" si="4"/>
        <v>salin et non alcalin</v>
      </c>
    </row>
    <row r="312" spans="1:3" x14ac:dyDescent="0.3">
      <c r="A312" s="349">
        <v>10.77</v>
      </c>
      <c r="B312" s="420">
        <v>0.49819535208944549</v>
      </c>
      <c r="C312" t="str">
        <f t="shared" si="4"/>
        <v>salin et non alcalin</v>
      </c>
    </row>
    <row r="313" spans="1:3" x14ac:dyDescent="0.3">
      <c r="A313" s="349">
        <v>23.74</v>
      </c>
      <c r="B313" s="420">
        <v>0.67807218108542511</v>
      </c>
      <c r="C313" t="str">
        <f t="shared" si="4"/>
        <v>salin et non alcalin</v>
      </c>
    </row>
    <row r="314" spans="1:3" x14ac:dyDescent="0.3">
      <c r="A314" s="349">
        <v>8.4499999999999993</v>
      </c>
      <c r="B314" s="420">
        <v>0.47374876176427477</v>
      </c>
      <c r="C314" t="str">
        <f t="shared" si="4"/>
        <v>salin et non alcalin</v>
      </c>
    </row>
    <row r="315" spans="1:3" x14ac:dyDescent="0.3">
      <c r="A315" s="349">
        <v>35.1</v>
      </c>
      <c r="B315" s="420">
        <v>0.77857361767373956</v>
      </c>
      <c r="C315" t="str">
        <f t="shared" si="4"/>
        <v>salin et non alcalin</v>
      </c>
    </row>
    <row r="316" spans="1:3" x14ac:dyDescent="0.3">
      <c r="A316" s="349">
        <v>7.45</v>
      </c>
      <c r="B316" s="420">
        <v>0.54396567024790232</v>
      </c>
      <c r="C316" t="str">
        <f t="shared" si="4"/>
        <v>salin et non alcalin</v>
      </c>
    </row>
    <row r="317" spans="1:3" x14ac:dyDescent="0.3">
      <c r="A317" s="349">
        <v>40.28</v>
      </c>
      <c r="B317" s="420">
        <v>0.79046360544080507</v>
      </c>
      <c r="C317" t="str">
        <f t="shared" si="4"/>
        <v>salin et non alcalin</v>
      </c>
    </row>
    <row r="318" spans="1:3" x14ac:dyDescent="0.3">
      <c r="A318" s="349">
        <v>12.57</v>
      </c>
      <c r="B318" s="420">
        <v>0.53157796458764495</v>
      </c>
      <c r="C318" t="str">
        <f t="shared" si="4"/>
        <v>salin et non alcalin</v>
      </c>
    </row>
    <row r="319" spans="1:3" x14ac:dyDescent="0.3">
      <c r="A319" s="349">
        <v>33.49</v>
      </c>
      <c r="B319" s="420">
        <v>0.78481728559216446</v>
      </c>
      <c r="C319" t="str">
        <f t="shared" si="4"/>
        <v>salin et non alcalin</v>
      </c>
    </row>
    <row r="320" spans="1:3" x14ac:dyDescent="0.3">
      <c r="A320" s="349">
        <v>7.96</v>
      </c>
      <c r="B320" s="420">
        <v>0.55353719806979451</v>
      </c>
      <c r="C320" t="str">
        <f t="shared" si="4"/>
        <v>salin et non alcalin</v>
      </c>
    </row>
    <row r="321" spans="1:3" x14ac:dyDescent="0.3">
      <c r="A321" s="349">
        <v>43.66</v>
      </c>
      <c r="B321" s="420">
        <v>0.77775847811908172</v>
      </c>
      <c r="C321" t="str">
        <f t="shared" si="4"/>
        <v>salin et non alcalin</v>
      </c>
    </row>
    <row r="322" spans="1:3" x14ac:dyDescent="0.3">
      <c r="A322" s="349">
        <v>8.36</v>
      </c>
      <c r="B322" s="420">
        <v>0.4410835685782703</v>
      </c>
      <c r="C322" t="str">
        <f t="shared" si="4"/>
        <v>salin et non alcalin</v>
      </c>
    </row>
    <row r="323" spans="1:3" x14ac:dyDescent="0.3">
      <c r="A323" s="349">
        <v>43.17</v>
      </c>
      <c r="B323" s="420">
        <v>0.79761842184435072</v>
      </c>
      <c r="C323" t="str">
        <f t="shared" ref="C323:C338" si="5">IF(AND(B323&gt;15, A323&lt;0.5), "non salin, alcalin",
   IF(AND(B323&gt;15, A323&gt;=0.5), "salin et alcalin",
   IF(AND(B323&lt;=15, A323&lt;0.5), "non salin et non alcalin",
   IF(AND(B323&lt;=15, A323&gt;=0.5), "salin et non alcalin"))))</f>
        <v>salin et non alcalin</v>
      </c>
    </row>
    <row r="324" spans="1:3" x14ac:dyDescent="0.3">
      <c r="A324" s="349">
        <v>11.26</v>
      </c>
      <c r="B324" s="420">
        <v>0.53424974146284465</v>
      </c>
      <c r="C324" t="str">
        <f t="shared" si="5"/>
        <v>salin et non alcalin</v>
      </c>
    </row>
    <row r="325" spans="1:3" x14ac:dyDescent="0.3">
      <c r="A325" s="349">
        <v>33.229999999999997</v>
      </c>
      <c r="B325" s="420">
        <v>0.74601187736669627</v>
      </c>
      <c r="C325" t="str">
        <f t="shared" si="5"/>
        <v>salin et non alcalin</v>
      </c>
    </row>
    <row r="326" spans="1:3" x14ac:dyDescent="0.3">
      <c r="A326" s="349">
        <v>10.41</v>
      </c>
      <c r="B326" s="420">
        <v>0.46830655362907714</v>
      </c>
      <c r="C326" t="str">
        <f t="shared" si="5"/>
        <v>salin et non alcalin</v>
      </c>
    </row>
    <row r="327" spans="1:3" x14ac:dyDescent="0.3">
      <c r="A327" s="349">
        <v>45.15</v>
      </c>
      <c r="B327" s="420">
        <v>0.78273578165182811</v>
      </c>
      <c r="C327" t="str">
        <f t="shared" si="5"/>
        <v>salin et non alcalin</v>
      </c>
    </row>
    <row r="328" spans="1:3" x14ac:dyDescent="0.3">
      <c r="A328" s="349">
        <v>9.75</v>
      </c>
      <c r="B328" s="420">
        <v>0.53140667097030292</v>
      </c>
      <c r="C328" t="str">
        <f t="shared" si="5"/>
        <v>salin et non alcalin</v>
      </c>
    </row>
    <row r="329" spans="1:3" x14ac:dyDescent="0.3">
      <c r="A329" s="349">
        <v>33.96</v>
      </c>
      <c r="B329" s="420">
        <v>0.74427509345323684</v>
      </c>
      <c r="C329" t="str">
        <f t="shared" si="5"/>
        <v>salin et non alcalin</v>
      </c>
    </row>
    <row r="330" spans="1:3" x14ac:dyDescent="0.3">
      <c r="A330" s="349">
        <v>10.78</v>
      </c>
      <c r="B330" s="420">
        <v>0.5100119670844766</v>
      </c>
      <c r="C330" t="str">
        <f t="shared" si="5"/>
        <v>salin et non alcalin</v>
      </c>
    </row>
    <row r="331" spans="1:3" x14ac:dyDescent="0.3">
      <c r="A331" s="349">
        <v>34.33</v>
      </c>
      <c r="B331" s="420">
        <v>0.73725295741636421</v>
      </c>
      <c r="C331" t="str">
        <f t="shared" si="5"/>
        <v>salin et non alcalin</v>
      </c>
    </row>
    <row r="332" spans="1:3" x14ac:dyDescent="0.3">
      <c r="A332" s="349">
        <v>9.3699999999999992</v>
      </c>
      <c r="B332" s="420">
        <v>0.47608820475001107</v>
      </c>
      <c r="C332" t="str">
        <f t="shared" si="5"/>
        <v>salin et non alcalin</v>
      </c>
    </row>
    <row r="333" spans="1:3" x14ac:dyDescent="0.3">
      <c r="A333" s="349">
        <v>38.43</v>
      </c>
      <c r="B333" s="420">
        <v>0.81208178243886442</v>
      </c>
      <c r="C333" t="str">
        <f t="shared" si="5"/>
        <v>salin et non alcalin</v>
      </c>
    </row>
    <row r="334" spans="1:3" x14ac:dyDescent="0.3">
      <c r="A334" s="349">
        <v>13.72</v>
      </c>
      <c r="B334" s="420">
        <v>0.53297998022702464</v>
      </c>
      <c r="C334" t="str">
        <f t="shared" si="5"/>
        <v>salin et non alcalin</v>
      </c>
    </row>
    <row r="335" spans="1:3" x14ac:dyDescent="0.3">
      <c r="A335" s="349">
        <v>46.44</v>
      </c>
      <c r="B335" s="420">
        <v>0.77154716143230717</v>
      </c>
      <c r="C335" t="str">
        <f t="shared" si="5"/>
        <v>salin et non alcalin</v>
      </c>
    </row>
    <row r="336" spans="1:3" x14ac:dyDescent="0.3">
      <c r="A336" s="349">
        <v>13.55</v>
      </c>
      <c r="B336" s="420">
        <v>0.56555497946985211</v>
      </c>
      <c r="C336" t="str">
        <f t="shared" si="5"/>
        <v>salin et non alcalin</v>
      </c>
    </row>
    <row r="337" spans="1:3" x14ac:dyDescent="0.3">
      <c r="A337" s="349">
        <v>36.18</v>
      </c>
      <c r="B337" s="420">
        <v>0.79893709779505562</v>
      </c>
      <c r="C337" t="str">
        <f t="shared" si="5"/>
        <v>salin et non alcalin</v>
      </c>
    </row>
    <row r="338" spans="1:3" x14ac:dyDescent="0.3">
      <c r="A338" s="349">
        <v>12.28</v>
      </c>
      <c r="B338" s="420">
        <v>0.59215387505659944</v>
      </c>
      <c r="C338" t="str">
        <f t="shared" si="5"/>
        <v>salin et non alcalin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59052441D904A99E0D9397A09AA0E" ma:contentTypeVersion="0" ma:contentTypeDescription="Create a new document." ma:contentTypeScope="" ma:versionID="1118223c3c502b4a0d4fa39f8b9ff75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5a56e3fc5314e9f3d06f0d68c7b6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0F0D6D-AE96-44D5-AECF-6F3292110E4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A3CCE-57F1-4D3D-ACDB-6CB65A863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279CBC-57E3-4B44-9B5E-18740B350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SAR &amp; ESP</vt:lpstr>
      <vt:lpstr>Coorelation EC &amp;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0x010100B2A59052441D904A99E0D9397A09AA0E</vt:lpwstr>
  </property>
</Properties>
</file>