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https://appriver3651006727-my.sharepoint.com/personal/crudder_citiesthatwork_com/Documents/mobility_fee_summary/docs/"/>
    </mc:Choice>
  </mc:AlternateContent>
  <xr:revisionPtr revIDLastSave="1" documentId="13_ncr:1_{41D5AE4E-9939-4874-AEBF-7C5AEC19D23D}" xr6:coauthVersionLast="47" xr6:coauthVersionMax="47" xr10:uidLastSave="{0F76760F-DB12-4A02-B21D-A0273A42B4A2}"/>
  <bookViews>
    <workbookView minimized="1" xWindow="5235" yWindow="4245" windowWidth="21600" windowHeight="11505" tabRatio="783" firstSheet="2" activeTab="5" xr2:uid="{DBD53973-CE55-408A-BCF7-401C50106266}"/>
  </bookViews>
  <sheets>
    <sheet name="TOC" sheetId="38" r:id="rId1"/>
    <sheet name="ContextAreas_Map" sheetId="61" r:id="rId2"/>
    <sheet name="Calc_Worksheet" sheetId="62" r:id="rId3"/>
    <sheet name="FEE_ByContextArea" sheetId="49" r:id="rId4"/>
    <sheet name="FEE_ByContextArea_ByMode" sheetId="50" r:id="rId5"/>
    <sheet name="MF_ByContextArea" sheetId="64" r:id="rId6"/>
    <sheet name="FEE_1_In" sheetId="42" r:id="rId7"/>
    <sheet name="FEE_1_Out" sheetId="33" r:id="rId8"/>
    <sheet name="FEE_2_In" sheetId="44" r:id="rId9"/>
    <sheet name="FEE_2_Out" sheetId="43" r:id="rId10"/>
    <sheet name="FEE_3_In" sheetId="46" r:id="rId11"/>
    <sheet name="FEE_3_Out" sheetId="45" r:id="rId12"/>
    <sheet name="FEE_4_In" sheetId="48" r:id="rId13"/>
    <sheet name="FEE_4_Out" sheetId="47" r:id="rId14"/>
    <sheet name="ITE_LUC_Rates" sheetId="34" r:id="rId15"/>
    <sheet name="ITECountywide" sheetId="32" r:id="rId16"/>
    <sheet name="Passby_Length_Adj" sheetId="39" r:id="rId17"/>
    <sheet name="SurveyTripLengthsAndPassBy" sheetId="55" r:id="rId18"/>
    <sheet name="2045_24hr_all_productions" sheetId="40" r:id="rId19"/>
    <sheet name="2045_24hr_all_attractions" sheetId="41" r:id="rId20"/>
    <sheet name="RoadCapCost" sheetId="7" r:id="rId21"/>
    <sheet name="TransitCapCost" sheetId="9" r:id="rId22"/>
    <sheet name="WalkBikeCapCost" sheetId="10" r:id="rId23"/>
    <sheet name="Credits" sheetId="59" r:id="rId24"/>
    <sheet name="CurrentFee_RIF" sheetId="8" r:id="rId25"/>
    <sheet name="RoadFeeCalc" sheetId="57" r:id="rId26"/>
    <sheet name="RIFvMIF (Simple)" sheetId="56" r:id="rId27"/>
    <sheet name="RIFvMIF (Detailed)" sheetId="63" r:id="rId28"/>
    <sheet name="ImpTypePct" sheetId="58" r:id="rId2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3" i="45" l="1"/>
  <c r="A87" i="34"/>
  <c r="A86" i="34"/>
  <c r="A85" i="34"/>
  <c r="A84" i="34"/>
  <c r="A83" i="34"/>
  <c r="A82" i="34"/>
  <c r="A81" i="34"/>
  <c r="A80" i="34"/>
  <c r="A79" i="34"/>
  <c r="A78" i="34"/>
  <c r="A77" i="34"/>
  <c r="A60" i="34"/>
  <c r="A59" i="34"/>
  <c r="A58" i="34"/>
  <c r="A57" i="34"/>
  <c r="A56" i="34"/>
  <c r="A55" i="34"/>
  <c r="A54" i="34"/>
  <c r="A53" i="34"/>
  <c r="A52" i="34"/>
  <c r="A51" i="34"/>
  <c r="A3" i="34"/>
  <c r="A4" i="34"/>
  <c r="A5" i="34"/>
  <c r="A6" i="34"/>
  <c r="A7" i="34"/>
  <c r="A8" i="34"/>
  <c r="A9" i="34"/>
  <c r="A10" i="34"/>
  <c r="A11" i="34"/>
  <c r="A12" i="34"/>
  <c r="A13" i="34"/>
  <c r="A14" i="34"/>
  <c r="A15" i="34"/>
  <c r="A16" i="34"/>
  <c r="A17" i="34"/>
  <c r="A18" i="34"/>
  <c r="A19" i="34"/>
  <c r="A20" i="34"/>
  <c r="A21" i="34"/>
  <c r="A22" i="34"/>
  <c r="A23" i="34"/>
  <c r="A24" i="34"/>
  <c r="A25" i="34"/>
  <c r="A26" i="34"/>
  <c r="A27" i="34"/>
  <c r="A28" i="34"/>
  <c r="A29" i="34"/>
  <c r="A30" i="34"/>
  <c r="A31" i="34"/>
  <c r="A32" i="34"/>
  <c r="A33" i="34"/>
  <c r="A34" i="34"/>
  <c r="A35" i="34"/>
  <c r="A36" i="34"/>
  <c r="A37" i="34"/>
  <c r="A38" i="34"/>
  <c r="A39" i="34"/>
  <c r="A40" i="34"/>
  <c r="A41" i="34"/>
  <c r="A42" i="34"/>
  <c r="A43" i="34"/>
  <c r="A44" i="34"/>
  <c r="A45" i="34"/>
  <c r="A46" i="34"/>
  <c r="A47" i="34"/>
  <c r="A48" i="34"/>
  <c r="A49" i="34"/>
  <c r="A50" i="34"/>
  <c r="A61" i="34"/>
  <c r="A62" i="34"/>
  <c r="A63" i="34"/>
  <c r="A64" i="34"/>
  <c r="A65" i="34"/>
  <c r="A66" i="34"/>
  <c r="A67" i="34"/>
  <c r="A68" i="34"/>
  <c r="A69" i="34"/>
  <c r="A70" i="34"/>
  <c r="A71" i="34"/>
  <c r="A72" i="34"/>
  <c r="A73" i="34"/>
  <c r="A74" i="34"/>
  <c r="A75" i="34"/>
  <c r="A76" i="34"/>
  <c r="A88" i="34"/>
  <c r="A89" i="34"/>
  <c r="A90" i="34"/>
  <c r="A91" i="34"/>
  <c r="A92" i="34"/>
  <c r="A93" i="34"/>
  <c r="A94" i="34"/>
  <c r="A95" i="34"/>
  <c r="A96" i="34"/>
  <c r="A97" i="34"/>
  <c r="A98" i="34"/>
  <c r="A99" i="34"/>
  <c r="A100" i="34"/>
  <c r="A101" i="34"/>
  <c r="A102" i="34"/>
  <c r="A103" i="34"/>
  <c r="A104" i="34"/>
  <c r="A105" i="34"/>
  <c r="A106" i="34"/>
  <c r="A107" i="34"/>
  <c r="A108" i="34"/>
  <c r="A109" i="34"/>
  <c r="A110" i="34"/>
  <c r="A111" i="34"/>
  <c r="A112" i="34"/>
  <c r="A113" i="34"/>
  <c r="A114" i="34"/>
  <c r="A115" i="34"/>
  <c r="A116" i="34"/>
  <c r="A117" i="34"/>
  <c r="A118" i="34"/>
  <c r="A2" i="34"/>
  <c r="B78" i="64"/>
  <c r="C78" i="64"/>
  <c r="F78" i="64"/>
  <c r="B58" i="64"/>
  <c r="C58" i="64"/>
  <c r="F58" i="64"/>
  <c r="B52" i="64"/>
  <c r="C52" i="64"/>
  <c r="F52" i="64"/>
  <c r="B42" i="64"/>
  <c r="C42" i="64"/>
  <c r="D42" i="64"/>
  <c r="F42" i="64"/>
  <c r="B32" i="64"/>
  <c r="C32" i="64"/>
  <c r="D32" i="64"/>
  <c r="F32" i="64"/>
  <c r="B27" i="64"/>
  <c r="C27" i="64"/>
  <c r="D27" i="64"/>
  <c r="F27" i="64"/>
  <c r="B12" i="64"/>
  <c r="C12" i="64"/>
  <c r="D12" i="64"/>
  <c r="F12" i="64"/>
  <c r="B4" i="64"/>
  <c r="C4" i="64"/>
  <c r="D4" i="64"/>
  <c r="F4" i="64"/>
  <c r="B2" i="64"/>
  <c r="F2" i="64"/>
  <c r="F117" i="64"/>
  <c r="D117" i="64"/>
  <c r="C117" i="64"/>
  <c r="B117" i="64"/>
  <c r="F116" i="64"/>
  <c r="D116" i="64"/>
  <c r="C116" i="64"/>
  <c r="B116" i="64"/>
  <c r="F115" i="64"/>
  <c r="D115" i="64"/>
  <c r="C115" i="64"/>
  <c r="B115" i="64"/>
  <c r="F114" i="64"/>
  <c r="D114" i="64"/>
  <c r="C114" i="64"/>
  <c r="B114" i="64"/>
  <c r="F113" i="64"/>
  <c r="D113" i="64"/>
  <c r="C113" i="64"/>
  <c r="B113" i="64"/>
  <c r="F112" i="64"/>
  <c r="D112" i="64"/>
  <c r="C112" i="64"/>
  <c r="B112" i="64"/>
  <c r="F111" i="64"/>
  <c r="D111" i="64"/>
  <c r="C111" i="64"/>
  <c r="B111" i="64"/>
  <c r="F110" i="64"/>
  <c r="D110" i="64"/>
  <c r="C110" i="64"/>
  <c r="B110" i="64"/>
  <c r="F109" i="64"/>
  <c r="D109" i="64"/>
  <c r="C109" i="64"/>
  <c r="B109" i="64"/>
  <c r="F108" i="64"/>
  <c r="D108" i="64"/>
  <c r="C108" i="64"/>
  <c r="B108" i="64"/>
  <c r="F107" i="64"/>
  <c r="D107" i="64"/>
  <c r="C107" i="64"/>
  <c r="B107" i="64"/>
  <c r="F106" i="64"/>
  <c r="D106" i="64"/>
  <c r="C106" i="64"/>
  <c r="B106" i="64"/>
  <c r="F105" i="64"/>
  <c r="D105" i="64"/>
  <c r="C105" i="64"/>
  <c r="B105" i="64"/>
  <c r="F104" i="64"/>
  <c r="D104" i="64"/>
  <c r="C104" i="64"/>
  <c r="B104" i="64"/>
  <c r="F103" i="64"/>
  <c r="D103" i="64"/>
  <c r="C103" i="64"/>
  <c r="B103" i="64"/>
  <c r="F102" i="64"/>
  <c r="D102" i="64"/>
  <c r="C102" i="64"/>
  <c r="B102" i="64"/>
  <c r="F101" i="64"/>
  <c r="D101" i="64"/>
  <c r="C101" i="64"/>
  <c r="B101" i="64"/>
  <c r="F100" i="64"/>
  <c r="D100" i="64"/>
  <c r="C100" i="64"/>
  <c r="B100" i="64"/>
  <c r="F99" i="64"/>
  <c r="D99" i="64"/>
  <c r="C99" i="64"/>
  <c r="B99" i="64"/>
  <c r="F98" i="64"/>
  <c r="D98" i="64"/>
  <c r="C98" i="64"/>
  <c r="B98" i="64"/>
  <c r="F97" i="64"/>
  <c r="D97" i="64"/>
  <c r="C97" i="64"/>
  <c r="B97" i="64"/>
  <c r="F96" i="64"/>
  <c r="D96" i="64"/>
  <c r="C96" i="64"/>
  <c r="B96" i="64"/>
  <c r="F95" i="64"/>
  <c r="D95" i="64"/>
  <c r="C95" i="64"/>
  <c r="B95" i="64"/>
  <c r="F94" i="64"/>
  <c r="D94" i="64"/>
  <c r="C94" i="64"/>
  <c r="B94" i="64"/>
  <c r="F93" i="64"/>
  <c r="D93" i="64"/>
  <c r="C93" i="64"/>
  <c r="B93" i="64"/>
  <c r="F92" i="64"/>
  <c r="D92" i="64"/>
  <c r="C92" i="64"/>
  <c r="B92" i="64"/>
  <c r="F91" i="64"/>
  <c r="D91" i="64"/>
  <c r="C91" i="64"/>
  <c r="B91" i="64"/>
  <c r="F90" i="64"/>
  <c r="D90" i="64"/>
  <c r="C90" i="64"/>
  <c r="B90" i="64"/>
  <c r="F89" i="64"/>
  <c r="D89" i="64"/>
  <c r="C89" i="64"/>
  <c r="B89" i="64"/>
  <c r="F88" i="64"/>
  <c r="D88" i="64"/>
  <c r="C88" i="64"/>
  <c r="B88" i="64"/>
  <c r="F87" i="64"/>
  <c r="D87" i="64"/>
  <c r="C87" i="64"/>
  <c r="B87" i="64"/>
  <c r="F86" i="64"/>
  <c r="C86" i="64"/>
  <c r="B86" i="64"/>
  <c r="F85" i="64"/>
  <c r="C85" i="64"/>
  <c r="B85" i="64"/>
  <c r="F84" i="64"/>
  <c r="C84" i="64"/>
  <c r="B84" i="64"/>
  <c r="F83" i="64"/>
  <c r="C83" i="64"/>
  <c r="B83" i="64"/>
  <c r="F82" i="64"/>
  <c r="C82" i="64"/>
  <c r="B82" i="64"/>
  <c r="F81" i="64"/>
  <c r="C81" i="64"/>
  <c r="B81" i="64"/>
  <c r="F80" i="64"/>
  <c r="C80" i="64"/>
  <c r="B80" i="64"/>
  <c r="F79" i="64"/>
  <c r="C79" i="64"/>
  <c r="B79" i="64"/>
  <c r="F77" i="64"/>
  <c r="C77" i="64"/>
  <c r="B77" i="64"/>
  <c r="F76" i="64"/>
  <c r="C76" i="64"/>
  <c r="B76" i="64"/>
  <c r="F75" i="64"/>
  <c r="C75" i="64"/>
  <c r="B75" i="64"/>
  <c r="F74" i="64"/>
  <c r="D74" i="64"/>
  <c r="C74" i="64"/>
  <c r="B74" i="64"/>
  <c r="F73" i="64"/>
  <c r="D73" i="64"/>
  <c r="C73" i="64"/>
  <c r="B73" i="64"/>
  <c r="F72" i="64"/>
  <c r="D72" i="64"/>
  <c r="C72" i="64"/>
  <c r="B72" i="64"/>
  <c r="F71" i="64"/>
  <c r="D71" i="64"/>
  <c r="C71" i="64"/>
  <c r="B71" i="64"/>
  <c r="F70" i="64"/>
  <c r="D70" i="64"/>
  <c r="C70" i="64"/>
  <c r="B70" i="64"/>
  <c r="F69" i="64"/>
  <c r="D69" i="64"/>
  <c r="C69" i="64"/>
  <c r="B69" i="64"/>
  <c r="F68" i="64"/>
  <c r="D68" i="64"/>
  <c r="C68" i="64"/>
  <c r="B68" i="64"/>
  <c r="F67" i="64"/>
  <c r="D67" i="64"/>
  <c r="C67" i="64"/>
  <c r="B67" i="64"/>
  <c r="F66" i="64"/>
  <c r="D66" i="64"/>
  <c r="C66" i="64"/>
  <c r="B66" i="64"/>
  <c r="F65" i="64"/>
  <c r="D65" i="64"/>
  <c r="C65" i="64"/>
  <c r="B65" i="64"/>
  <c r="F64" i="64"/>
  <c r="D64" i="64"/>
  <c r="C64" i="64"/>
  <c r="B64" i="64"/>
  <c r="F63" i="64"/>
  <c r="D63" i="64"/>
  <c r="C63" i="64"/>
  <c r="B63" i="64"/>
  <c r="F62" i="64"/>
  <c r="D62" i="64"/>
  <c r="C62" i="64"/>
  <c r="B62" i="64"/>
  <c r="F61" i="64"/>
  <c r="D61" i="64"/>
  <c r="C61" i="64"/>
  <c r="B61" i="64"/>
  <c r="F60" i="64"/>
  <c r="C60" i="64"/>
  <c r="B60" i="64"/>
  <c r="F59" i="64"/>
  <c r="C59" i="64"/>
  <c r="B59" i="64"/>
  <c r="F57" i="64"/>
  <c r="C57" i="64"/>
  <c r="B57" i="64"/>
  <c r="F56" i="64"/>
  <c r="C56" i="64"/>
  <c r="B56" i="64"/>
  <c r="F55" i="64"/>
  <c r="C55" i="64"/>
  <c r="B55" i="64"/>
  <c r="F54" i="64"/>
  <c r="C54" i="64"/>
  <c r="B54" i="64"/>
  <c r="F53" i="64"/>
  <c r="C53" i="64"/>
  <c r="B53" i="64"/>
  <c r="F51" i="64"/>
  <c r="C51" i="64"/>
  <c r="B51" i="64"/>
  <c r="F50" i="64"/>
  <c r="D50" i="64"/>
  <c r="C50" i="64"/>
  <c r="B50" i="64"/>
  <c r="F49" i="64"/>
  <c r="D49" i="64"/>
  <c r="C49" i="64"/>
  <c r="B49" i="64"/>
  <c r="F48" i="64"/>
  <c r="D48" i="64"/>
  <c r="C48" i="64"/>
  <c r="B48" i="64"/>
  <c r="F47" i="64"/>
  <c r="D47" i="64"/>
  <c r="C47" i="64"/>
  <c r="B47" i="64"/>
  <c r="F46" i="64"/>
  <c r="D46" i="64"/>
  <c r="C46" i="64"/>
  <c r="B46" i="64"/>
  <c r="F45" i="64"/>
  <c r="D45" i="64"/>
  <c r="C45" i="64"/>
  <c r="B45" i="64"/>
  <c r="F44" i="64"/>
  <c r="D44" i="64"/>
  <c r="C44" i="64"/>
  <c r="B44" i="64"/>
  <c r="F43" i="64"/>
  <c r="D43" i="64"/>
  <c r="C43" i="64"/>
  <c r="B43" i="64"/>
  <c r="F41" i="64"/>
  <c r="D41" i="64"/>
  <c r="C41" i="64"/>
  <c r="B41" i="64"/>
  <c r="F40" i="64"/>
  <c r="D40" i="64"/>
  <c r="C40" i="64"/>
  <c r="B40" i="64"/>
  <c r="F39" i="64"/>
  <c r="D39" i="64"/>
  <c r="C39" i="64"/>
  <c r="B39" i="64"/>
  <c r="F38" i="64"/>
  <c r="D38" i="64"/>
  <c r="C38" i="64"/>
  <c r="B38" i="64"/>
  <c r="F37" i="64"/>
  <c r="D37" i="64"/>
  <c r="C37" i="64"/>
  <c r="B37" i="64"/>
  <c r="F36" i="64"/>
  <c r="D36" i="64"/>
  <c r="C36" i="64"/>
  <c r="B36" i="64"/>
  <c r="F35" i="64"/>
  <c r="C35" i="64"/>
  <c r="B35" i="64"/>
  <c r="F34" i="64"/>
  <c r="C34" i="64"/>
  <c r="B34" i="64"/>
  <c r="F33" i="64"/>
  <c r="D33" i="64"/>
  <c r="C33" i="64"/>
  <c r="B33" i="64"/>
  <c r="F31" i="64"/>
  <c r="D31" i="64"/>
  <c r="C31" i="64"/>
  <c r="B31" i="64"/>
  <c r="F30" i="64"/>
  <c r="D30" i="64"/>
  <c r="C30" i="64"/>
  <c r="B30" i="64"/>
  <c r="F29" i="64"/>
  <c r="D29" i="64"/>
  <c r="C29" i="64"/>
  <c r="B29" i="64"/>
  <c r="F28" i="64"/>
  <c r="D28" i="64"/>
  <c r="C28" i="64"/>
  <c r="B28" i="64"/>
  <c r="F26" i="64"/>
  <c r="D26" i="64"/>
  <c r="C26" i="64"/>
  <c r="B26" i="64"/>
  <c r="F25" i="64"/>
  <c r="D25" i="64"/>
  <c r="C25" i="64"/>
  <c r="B25" i="64"/>
  <c r="F24" i="64"/>
  <c r="D24" i="64"/>
  <c r="C24" i="64"/>
  <c r="B24" i="64"/>
  <c r="F23" i="64"/>
  <c r="D23" i="64"/>
  <c r="C23" i="64"/>
  <c r="B23" i="64"/>
  <c r="F22" i="64"/>
  <c r="D22" i="64"/>
  <c r="C22" i="64"/>
  <c r="B22" i="64"/>
  <c r="F21" i="64"/>
  <c r="D21" i="64"/>
  <c r="C21" i="64"/>
  <c r="B21" i="64"/>
  <c r="F20" i="64"/>
  <c r="D20" i="64"/>
  <c r="C20" i="64"/>
  <c r="B20" i="64"/>
  <c r="F19" i="64"/>
  <c r="D19" i="64"/>
  <c r="C19" i="64"/>
  <c r="B19" i="64"/>
  <c r="F18" i="64"/>
  <c r="D18" i="64"/>
  <c r="C18" i="64"/>
  <c r="B18" i="64"/>
  <c r="F17" i="64"/>
  <c r="D17" i="64"/>
  <c r="C17" i="64"/>
  <c r="B17" i="64"/>
  <c r="F16" i="64"/>
  <c r="D16" i="64"/>
  <c r="C16" i="64"/>
  <c r="B16" i="64"/>
  <c r="F15" i="64"/>
  <c r="D15" i="64"/>
  <c r="C15" i="64"/>
  <c r="B15" i="64"/>
  <c r="F14" i="64"/>
  <c r="D14" i="64"/>
  <c r="C14" i="64"/>
  <c r="B14" i="64"/>
  <c r="F13" i="64"/>
  <c r="D13" i="64"/>
  <c r="C13" i="64"/>
  <c r="B13" i="64"/>
  <c r="F11" i="64"/>
  <c r="D11" i="64"/>
  <c r="C11" i="64"/>
  <c r="B11" i="64"/>
  <c r="F10" i="64"/>
  <c r="D10" i="64"/>
  <c r="C10" i="64"/>
  <c r="B10" i="64"/>
  <c r="F9" i="64"/>
  <c r="D9" i="64"/>
  <c r="C9" i="64"/>
  <c r="B9" i="64"/>
  <c r="F8" i="64"/>
  <c r="D8" i="64"/>
  <c r="C8" i="64"/>
  <c r="B8" i="64"/>
  <c r="F7" i="64"/>
  <c r="D7" i="64"/>
  <c r="C7" i="64"/>
  <c r="B7" i="64"/>
  <c r="F6" i="64"/>
  <c r="D6" i="64"/>
  <c r="C6" i="64"/>
  <c r="B6" i="64"/>
  <c r="F5" i="64"/>
  <c r="D5" i="64"/>
  <c r="C5" i="64"/>
  <c r="B5" i="64"/>
  <c r="F3" i="64"/>
  <c r="D3" i="64"/>
  <c r="C3" i="64"/>
  <c r="B3" i="64"/>
  <c r="I7" i="9"/>
  <c r="K13" i="7"/>
  <c r="S11" i="9"/>
  <c r="F35" i="41"/>
  <c r="G35" i="41"/>
  <c r="H35" i="41"/>
  <c r="I35" i="41"/>
  <c r="J35" i="41"/>
  <c r="K35" i="41"/>
  <c r="L35" i="41"/>
  <c r="F36" i="41"/>
  <c r="G36" i="41"/>
  <c r="H36" i="41"/>
  <c r="I36" i="41"/>
  <c r="J36" i="41"/>
  <c r="K36" i="41"/>
  <c r="L36" i="41"/>
  <c r="F37" i="41"/>
  <c r="G37" i="41"/>
  <c r="H37" i="41"/>
  <c r="I37" i="41"/>
  <c r="J37" i="41"/>
  <c r="K37" i="41"/>
  <c r="L37" i="41"/>
  <c r="F38" i="41"/>
  <c r="G38" i="41"/>
  <c r="H38" i="41"/>
  <c r="I38" i="41"/>
  <c r="J38" i="41"/>
  <c r="K38" i="41"/>
  <c r="L38" i="41"/>
  <c r="F39" i="41"/>
  <c r="G39" i="41"/>
  <c r="H39" i="41"/>
  <c r="I39" i="41"/>
  <c r="J39" i="41"/>
  <c r="K39" i="41"/>
  <c r="L39" i="41"/>
  <c r="F40" i="41"/>
  <c r="G40" i="41"/>
  <c r="H40" i="41"/>
  <c r="I40" i="41"/>
  <c r="J40" i="41"/>
  <c r="K40" i="41"/>
  <c r="L40" i="41"/>
  <c r="F41" i="41"/>
  <c r="G41" i="41"/>
  <c r="H41" i="41"/>
  <c r="I41" i="41"/>
  <c r="J41" i="41"/>
  <c r="K41" i="41"/>
  <c r="L41" i="41"/>
  <c r="F42" i="41"/>
  <c r="G42" i="41"/>
  <c r="H42" i="41"/>
  <c r="I42" i="41"/>
  <c r="J42" i="41"/>
  <c r="K42" i="41"/>
  <c r="L42" i="41"/>
  <c r="E40" i="41"/>
  <c r="E36" i="41"/>
  <c r="F39" i="40"/>
  <c r="G39" i="40"/>
  <c r="H39" i="40"/>
  <c r="I39" i="40"/>
  <c r="J39" i="40"/>
  <c r="K39" i="40"/>
  <c r="L39" i="40"/>
  <c r="E39" i="40"/>
  <c r="F40" i="40"/>
  <c r="G40" i="40"/>
  <c r="H40" i="40"/>
  <c r="I40" i="40"/>
  <c r="J40" i="40"/>
  <c r="K40" i="40"/>
  <c r="L40" i="40"/>
  <c r="E40" i="40"/>
  <c r="F36" i="40"/>
  <c r="G36" i="40"/>
  <c r="H36" i="40"/>
  <c r="I36" i="40"/>
  <c r="J36" i="40"/>
  <c r="K36" i="40"/>
  <c r="L36" i="40"/>
  <c r="F35" i="40"/>
  <c r="G35" i="40"/>
  <c r="H35" i="40"/>
  <c r="I35" i="40"/>
  <c r="J35" i="40"/>
  <c r="K35" i="40"/>
  <c r="L35" i="40"/>
  <c r="E35" i="40"/>
  <c r="E36" i="40"/>
  <c r="K7" i="63"/>
  <c r="R7" i="63" s="1"/>
  <c r="Y7" i="63" s="1"/>
  <c r="K10" i="63"/>
  <c r="R10" i="63" s="1"/>
  <c r="Y10" i="63" s="1"/>
  <c r="K8" i="63"/>
  <c r="R8" i="63" s="1"/>
  <c r="Y8" i="63" s="1"/>
  <c r="K11" i="63"/>
  <c r="R11" i="63" s="1"/>
  <c r="Y11" i="63" s="1"/>
  <c r="Q4" i="9"/>
  <c r="Q5" i="9"/>
  <c r="Q6" i="9"/>
  <c r="Q7" i="9"/>
  <c r="Q3" i="9"/>
  <c r="O4" i="9"/>
  <c r="O5" i="9"/>
  <c r="O6" i="9"/>
  <c r="O7" i="9"/>
  <c r="O3" i="9"/>
  <c r="E87" i="45" l="1"/>
  <c r="E85" i="45"/>
  <c r="E106" i="45"/>
  <c r="Z4" i="63"/>
  <c r="S4" i="63"/>
  <c r="L4" i="63"/>
  <c r="K9" i="63"/>
  <c r="Y9" i="63" s="1"/>
  <c r="M78" i="34"/>
  <c r="M52" i="34"/>
  <c r="M11" i="34"/>
  <c r="K6" i="63"/>
  <c r="R6" i="63" s="1"/>
  <c r="Y6" i="63" s="1"/>
  <c r="K5" i="63"/>
  <c r="R5" i="63" s="1"/>
  <c r="Y5" i="63" s="1"/>
  <c r="M10" i="34"/>
  <c r="Z5" i="8"/>
  <c r="H71" i="63"/>
  <c r="G71" i="63"/>
  <c r="F71" i="63"/>
  <c r="E71" i="63"/>
  <c r="H70" i="63"/>
  <c r="G70" i="63"/>
  <c r="F70" i="63"/>
  <c r="E70" i="63"/>
  <c r="H69" i="63"/>
  <c r="G69" i="63"/>
  <c r="F69" i="63"/>
  <c r="E69" i="63"/>
  <c r="H68" i="63"/>
  <c r="G68" i="63"/>
  <c r="F68" i="63"/>
  <c r="E68" i="63"/>
  <c r="C67" i="63"/>
  <c r="H5" i="9"/>
  <c r="H3" i="9"/>
  <c r="K5" i="9"/>
  <c r="K3" i="9"/>
  <c r="J5" i="9"/>
  <c r="J3" i="9"/>
  <c r="R9" i="63" l="1"/>
  <c r="S4" i="33" l="1"/>
  <c r="S4" i="43"/>
  <c r="S4" i="45"/>
  <c r="S4" i="47"/>
  <c r="S4" i="48"/>
  <c r="S4" i="46"/>
  <c r="S4" i="44"/>
  <c r="U7" i="10"/>
  <c r="B2" i="46"/>
  <c r="B11" i="42" l="1"/>
  <c r="B11" i="47"/>
  <c r="B11" i="48"/>
  <c r="B11" i="45"/>
  <c r="B11" i="46"/>
  <c r="B11" i="43"/>
  <c r="B11" i="44"/>
  <c r="B11" i="33"/>
  <c r="I9" i="59" l="1"/>
  <c r="K9" i="59" s="1"/>
  <c r="M9" i="59" s="1"/>
  <c r="Q10" i="59"/>
  <c r="S10" i="59" s="1"/>
  <c r="S14" i="59"/>
  <c r="U16" i="59"/>
  <c r="F17" i="59"/>
  <c r="R17" i="59"/>
  <c r="R9" i="59" s="1"/>
  <c r="D18" i="59"/>
  <c r="D19" i="59"/>
  <c r="D20" i="59" s="1"/>
  <c r="D21" i="59" s="1"/>
  <c r="D22" i="59" s="1"/>
  <c r="D23" i="59" s="1"/>
  <c r="D24" i="59" s="1"/>
  <c r="D25" i="59" s="1"/>
  <c r="D26" i="59" s="1"/>
  <c r="D27" i="59" s="1"/>
  <c r="D28" i="59" s="1"/>
  <c r="D29" i="59" s="1"/>
  <c r="D30" i="59" s="1"/>
  <c r="D31" i="59" s="1"/>
  <c r="D32" i="59" s="1"/>
  <c r="D33" i="59" s="1"/>
  <c r="D34" i="59" s="1"/>
  <c r="D35" i="59" s="1"/>
  <c r="D36" i="59" s="1"/>
  <c r="D37" i="59" s="1"/>
  <c r="D38" i="59" s="1"/>
  <c r="D39" i="59" s="1"/>
  <c r="D40" i="59" s="1"/>
  <c r="D41" i="59" s="1"/>
  <c r="D42" i="59" s="1"/>
  <c r="R24" i="59"/>
  <c r="R26" i="59" s="1"/>
  <c r="R29" i="59" s="1"/>
  <c r="AB19" i="62"/>
  <c r="N19" i="62"/>
  <c r="M19" i="62"/>
  <c r="H19" i="62"/>
  <c r="F19" i="62"/>
  <c r="J19" i="62" s="1"/>
  <c r="D19" i="62"/>
  <c r="C19" i="62"/>
  <c r="B19" i="62"/>
  <c r="AB18" i="62"/>
  <c r="N18" i="62"/>
  <c r="M18" i="62"/>
  <c r="H18" i="62"/>
  <c r="F18" i="62"/>
  <c r="J18" i="62" s="1"/>
  <c r="D18" i="62"/>
  <c r="C18" i="62"/>
  <c r="B18" i="62"/>
  <c r="AB17" i="62"/>
  <c r="N17" i="62"/>
  <c r="M17" i="62"/>
  <c r="H17" i="62"/>
  <c r="F17" i="62"/>
  <c r="J17" i="62" s="1"/>
  <c r="D17" i="62"/>
  <c r="C17" i="62"/>
  <c r="B17" i="62"/>
  <c r="AB16" i="62"/>
  <c r="N16" i="62"/>
  <c r="M16" i="62"/>
  <c r="H16" i="62"/>
  <c r="F16" i="62"/>
  <c r="J16" i="62" s="1"/>
  <c r="D16" i="62"/>
  <c r="C16" i="62"/>
  <c r="B16" i="62"/>
  <c r="AB15" i="62"/>
  <c r="N15" i="62"/>
  <c r="M15" i="62"/>
  <c r="H15" i="62"/>
  <c r="F15" i="62"/>
  <c r="J15" i="62" s="1"/>
  <c r="D15" i="62"/>
  <c r="C15" i="62"/>
  <c r="B15" i="62"/>
  <c r="AB14" i="62"/>
  <c r="N14" i="62"/>
  <c r="M14" i="62"/>
  <c r="H14" i="62"/>
  <c r="F14" i="62"/>
  <c r="J14" i="62" s="1"/>
  <c r="D14" i="62"/>
  <c r="C14" i="62"/>
  <c r="B14" i="62"/>
  <c r="AB13" i="62"/>
  <c r="N13" i="62"/>
  <c r="M13" i="62"/>
  <c r="H13" i="62"/>
  <c r="F13" i="62"/>
  <c r="J13" i="62" s="1"/>
  <c r="D13" i="62"/>
  <c r="C13" i="62"/>
  <c r="B13" i="62"/>
  <c r="M7" i="62"/>
  <c r="K17" i="62" s="1"/>
  <c r="M6" i="62"/>
  <c r="D1" i="62"/>
  <c r="E25" i="42"/>
  <c r="R10" i="59" l="1"/>
  <c r="T9" i="59" s="1"/>
  <c r="O9" i="59"/>
  <c r="N10" i="59"/>
  <c r="P13" i="62"/>
  <c r="P14" i="62"/>
  <c r="P15" i="62"/>
  <c r="P17" i="62"/>
  <c r="K13" i="62"/>
  <c r="K14" i="62"/>
  <c r="P19" i="62"/>
  <c r="P16" i="62"/>
  <c r="P18" i="62"/>
  <c r="K15" i="62"/>
  <c r="K16" i="62"/>
  <c r="K18" i="62"/>
  <c r="K19" i="62"/>
  <c r="H10" i="58"/>
  <c r="G10" i="58"/>
  <c r="H9" i="58"/>
  <c r="G9" i="58"/>
  <c r="G14" i="58"/>
  <c r="H14" i="58"/>
  <c r="G15" i="58"/>
  <c r="H15" i="58"/>
  <c r="H13" i="58"/>
  <c r="G13" i="58"/>
  <c r="G19" i="58"/>
  <c r="F19" i="58" s="1"/>
  <c r="H19" i="58"/>
  <c r="G20" i="58"/>
  <c r="F20" i="58" s="1"/>
  <c r="H20" i="58"/>
  <c r="G21" i="58"/>
  <c r="F21" i="58" s="1"/>
  <c r="H21" i="58"/>
  <c r="H18" i="58"/>
  <c r="G18" i="58"/>
  <c r="F18" i="58" s="1"/>
  <c r="E49" i="47"/>
  <c r="E48" i="47"/>
  <c r="E26" i="47"/>
  <c r="E12" i="47"/>
  <c r="E49" i="48"/>
  <c r="E48" i="48"/>
  <c r="E26" i="48"/>
  <c r="E12" i="48"/>
  <c r="E49" i="45"/>
  <c r="E48" i="45"/>
  <c r="E26" i="45"/>
  <c r="E12" i="45"/>
  <c r="E49" i="46"/>
  <c r="E48" i="46"/>
  <c r="E26" i="46"/>
  <c r="E12" i="46"/>
  <c r="E49" i="43"/>
  <c r="E48" i="43"/>
  <c r="E26" i="43"/>
  <c r="E12" i="43"/>
  <c r="E49" i="44"/>
  <c r="E48" i="44"/>
  <c r="E26" i="44"/>
  <c r="E12" i="44"/>
  <c r="E48" i="42"/>
  <c r="E49" i="42"/>
  <c r="E49" i="33"/>
  <c r="E48" i="33"/>
  <c r="E26" i="33"/>
  <c r="E12" i="33"/>
  <c r="E12" i="42"/>
  <c r="H3" i="10"/>
  <c r="I3" i="10"/>
  <c r="H4" i="10"/>
  <c r="I4" i="10"/>
  <c r="H5" i="10"/>
  <c r="I5" i="10"/>
  <c r="G4" i="10"/>
  <c r="G5" i="10"/>
  <c r="G3" i="10"/>
  <c r="X3" i="10" s="1"/>
  <c r="T3" i="10"/>
  <c r="T5" i="10" l="1"/>
  <c r="X5" i="10"/>
  <c r="T4" i="10"/>
  <c r="X4" i="10"/>
  <c r="T10" i="59"/>
  <c r="U10" i="59"/>
  <c r="F7" i="9"/>
  <c r="G7" i="9" s="1"/>
  <c r="L7" i="9" l="1"/>
  <c r="M7" i="9"/>
  <c r="Q11" i="9" s="1"/>
  <c r="G11" i="9"/>
  <c r="T7" i="9" l="1"/>
  <c r="Z7" i="9" l="1"/>
  <c r="T11" i="9"/>
  <c r="Z11" i="9" s="1"/>
  <c r="AB11" i="9" l="1"/>
  <c r="AD11" i="9"/>
  <c r="B2" i="47"/>
  <c r="B2" i="45"/>
  <c r="B2" i="43"/>
  <c r="B2" i="33"/>
  <c r="B2" i="48"/>
  <c r="B2" i="44"/>
  <c r="B2" i="42"/>
  <c r="E26" i="42"/>
  <c r="B9" i="32" l="1"/>
  <c r="E15" i="45"/>
  <c r="E14" i="45" l="1"/>
  <c r="E59" i="45"/>
  <c r="E81" i="45"/>
  <c r="E66" i="45"/>
  <c r="S11" i="7"/>
  <c r="S13" i="7" s="1"/>
  <c r="E25" i="45" l="1"/>
  <c r="E25" i="44"/>
  <c r="M137" i="47"/>
  <c r="L137" i="47"/>
  <c r="M136" i="47"/>
  <c r="L136" i="47"/>
  <c r="M135" i="47"/>
  <c r="L135" i="47"/>
  <c r="M134" i="47"/>
  <c r="L134" i="47"/>
  <c r="M133" i="47"/>
  <c r="L133" i="47"/>
  <c r="M132" i="47"/>
  <c r="L132" i="47"/>
  <c r="M131" i="47"/>
  <c r="L131" i="47"/>
  <c r="M130" i="47"/>
  <c r="L130" i="47"/>
  <c r="M129" i="47"/>
  <c r="L129" i="47"/>
  <c r="M128" i="47"/>
  <c r="L128" i="47"/>
  <c r="M126" i="47"/>
  <c r="L126" i="47"/>
  <c r="M125" i="47"/>
  <c r="L125" i="47"/>
  <c r="M124" i="47"/>
  <c r="L124" i="47"/>
  <c r="M123" i="47"/>
  <c r="L123" i="47"/>
  <c r="M122" i="47"/>
  <c r="L122" i="47"/>
  <c r="M121" i="47"/>
  <c r="L121" i="47"/>
  <c r="M120" i="47"/>
  <c r="L120" i="47"/>
  <c r="M119" i="47"/>
  <c r="L119" i="47"/>
  <c r="M118" i="47"/>
  <c r="L118" i="47"/>
  <c r="M117" i="47"/>
  <c r="L117" i="47"/>
  <c r="M116" i="47"/>
  <c r="L116" i="47"/>
  <c r="M115" i="47"/>
  <c r="L115" i="47"/>
  <c r="M114" i="47"/>
  <c r="L114" i="47"/>
  <c r="M113" i="47"/>
  <c r="L113" i="47"/>
  <c r="M112" i="47"/>
  <c r="L112" i="47"/>
  <c r="M111" i="47"/>
  <c r="L111" i="47"/>
  <c r="M110" i="47"/>
  <c r="L110" i="47"/>
  <c r="M109" i="47"/>
  <c r="L109" i="47"/>
  <c r="M108" i="47"/>
  <c r="L108" i="47"/>
  <c r="M107" i="47"/>
  <c r="L107" i="47"/>
  <c r="M106" i="47"/>
  <c r="L106" i="47"/>
  <c r="M105" i="47"/>
  <c r="L105" i="47"/>
  <c r="M104" i="47"/>
  <c r="L104" i="47"/>
  <c r="M103" i="47"/>
  <c r="L103" i="47"/>
  <c r="M102" i="47"/>
  <c r="L102" i="47"/>
  <c r="M101" i="47"/>
  <c r="L101" i="47"/>
  <c r="M100" i="47"/>
  <c r="L100" i="47"/>
  <c r="M99" i="47"/>
  <c r="L99" i="47"/>
  <c r="M98" i="47"/>
  <c r="L98" i="47"/>
  <c r="M97" i="47"/>
  <c r="L97" i="47"/>
  <c r="M96" i="47"/>
  <c r="L96" i="47"/>
  <c r="M95" i="47"/>
  <c r="L95" i="47"/>
  <c r="M94" i="47"/>
  <c r="L94" i="47"/>
  <c r="M93" i="47"/>
  <c r="L93" i="47"/>
  <c r="M92" i="47"/>
  <c r="L92" i="47"/>
  <c r="M91" i="47"/>
  <c r="L91" i="47"/>
  <c r="M90" i="47"/>
  <c r="L90" i="47"/>
  <c r="M89" i="47"/>
  <c r="L89" i="47"/>
  <c r="M87" i="47"/>
  <c r="L87" i="47"/>
  <c r="M86" i="47"/>
  <c r="L86" i="47"/>
  <c r="M85" i="47"/>
  <c r="L85" i="47"/>
  <c r="M84" i="47"/>
  <c r="L84" i="47"/>
  <c r="M83" i="47"/>
  <c r="L83" i="47"/>
  <c r="M82" i="47"/>
  <c r="L82" i="47"/>
  <c r="M81" i="47"/>
  <c r="L81" i="47"/>
  <c r="M80" i="47"/>
  <c r="L80" i="47"/>
  <c r="M79" i="47"/>
  <c r="L79" i="47"/>
  <c r="M78" i="47"/>
  <c r="L78" i="47"/>
  <c r="M77" i="47"/>
  <c r="L77" i="47"/>
  <c r="M76" i="47"/>
  <c r="L76" i="47"/>
  <c r="M75" i="47"/>
  <c r="L75" i="47"/>
  <c r="M74" i="47"/>
  <c r="L74" i="47"/>
  <c r="M73" i="47"/>
  <c r="L73" i="47"/>
  <c r="M72" i="47"/>
  <c r="L72" i="47"/>
  <c r="M71" i="47"/>
  <c r="L71" i="47"/>
  <c r="M70" i="47"/>
  <c r="L70" i="47"/>
  <c r="M69" i="47"/>
  <c r="L69" i="47"/>
  <c r="M68" i="47"/>
  <c r="L68" i="47"/>
  <c r="M66" i="47"/>
  <c r="L66" i="47"/>
  <c r="M65" i="47"/>
  <c r="L65" i="47"/>
  <c r="M64" i="47"/>
  <c r="L64" i="47"/>
  <c r="M63" i="47"/>
  <c r="L63" i="47"/>
  <c r="M62" i="47"/>
  <c r="L62" i="47"/>
  <c r="M60" i="47"/>
  <c r="L60" i="47"/>
  <c r="M59" i="47"/>
  <c r="L59" i="47"/>
  <c r="M58" i="47"/>
  <c r="L58" i="47"/>
  <c r="M57" i="47"/>
  <c r="L57" i="47"/>
  <c r="M56" i="47"/>
  <c r="L56" i="47"/>
  <c r="M55" i="47"/>
  <c r="L55" i="47"/>
  <c r="M54" i="47"/>
  <c r="L54" i="47"/>
  <c r="M53" i="47"/>
  <c r="L53" i="47"/>
  <c r="M52" i="47"/>
  <c r="L52" i="47"/>
  <c r="M50" i="47"/>
  <c r="L50" i="47"/>
  <c r="M49" i="47"/>
  <c r="L49" i="47"/>
  <c r="M48" i="47"/>
  <c r="L48" i="47"/>
  <c r="M47" i="47"/>
  <c r="L47" i="47"/>
  <c r="M46" i="47"/>
  <c r="L46" i="47"/>
  <c r="M45" i="47"/>
  <c r="L45" i="47"/>
  <c r="M44" i="47"/>
  <c r="L44" i="47"/>
  <c r="M43" i="47"/>
  <c r="L43" i="47"/>
  <c r="M42" i="47"/>
  <c r="L42" i="47"/>
  <c r="M40" i="47"/>
  <c r="L40" i="47"/>
  <c r="M39" i="47"/>
  <c r="L39" i="47"/>
  <c r="M38" i="47"/>
  <c r="L38" i="47"/>
  <c r="M37" i="47"/>
  <c r="L37" i="47"/>
  <c r="M35" i="47"/>
  <c r="L35" i="47"/>
  <c r="M34" i="47"/>
  <c r="L34" i="47"/>
  <c r="M33" i="47"/>
  <c r="L33" i="47"/>
  <c r="M32" i="47"/>
  <c r="L32" i="47"/>
  <c r="M31" i="47"/>
  <c r="L31" i="47"/>
  <c r="M30" i="47"/>
  <c r="L30" i="47"/>
  <c r="M29" i="47"/>
  <c r="L29" i="47"/>
  <c r="M28" i="47"/>
  <c r="L28" i="47"/>
  <c r="M27" i="47"/>
  <c r="L27" i="47"/>
  <c r="M26" i="47"/>
  <c r="L26" i="47"/>
  <c r="M25" i="47"/>
  <c r="L25" i="47"/>
  <c r="M24" i="47"/>
  <c r="L24" i="47"/>
  <c r="M23" i="47"/>
  <c r="L23" i="47"/>
  <c r="M22" i="47"/>
  <c r="L22" i="47"/>
  <c r="M20" i="47"/>
  <c r="L20" i="47"/>
  <c r="M19" i="47"/>
  <c r="L19" i="47"/>
  <c r="M18" i="47"/>
  <c r="L18" i="47"/>
  <c r="M17" i="47"/>
  <c r="L17" i="47"/>
  <c r="M16" i="47"/>
  <c r="L16" i="47"/>
  <c r="M15" i="47"/>
  <c r="L15" i="47"/>
  <c r="M14" i="47"/>
  <c r="L14" i="47"/>
  <c r="M12" i="47"/>
  <c r="L12" i="47"/>
  <c r="M137" i="45"/>
  <c r="L137" i="45"/>
  <c r="M136" i="45"/>
  <c r="L136" i="45"/>
  <c r="M135" i="45"/>
  <c r="L135" i="45"/>
  <c r="M134" i="45"/>
  <c r="L134" i="45"/>
  <c r="M133" i="45"/>
  <c r="L133" i="45"/>
  <c r="M132" i="45"/>
  <c r="L132" i="45"/>
  <c r="M131" i="45"/>
  <c r="L131" i="45"/>
  <c r="M130" i="45"/>
  <c r="L130" i="45"/>
  <c r="M129" i="45"/>
  <c r="L129" i="45"/>
  <c r="M128" i="45"/>
  <c r="L128" i="45"/>
  <c r="M126" i="45"/>
  <c r="L126" i="45"/>
  <c r="M125" i="45"/>
  <c r="L125" i="45"/>
  <c r="M124" i="45"/>
  <c r="L124" i="45"/>
  <c r="M123" i="45"/>
  <c r="L123" i="45"/>
  <c r="M122" i="45"/>
  <c r="L122" i="45"/>
  <c r="M121" i="45"/>
  <c r="L121" i="45"/>
  <c r="M120" i="45"/>
  <c r="L120" i="45"/>
  <c r="M119" i="45"/>
  <c r="L119" i="45"/>
  <c r="M118" i="45"/>
  <c r="L118" i="45"/>
  <c r="M117" i="45"/>
  <c r="L117" i="45"/>
  <c r="M116" i="45"/>
  <c r="L116" i="45"/>
  <c r="M115" i="45"/>
  <c r="L115" i="45"/>
  <c r="M114" i="45"/>
  <c r="L114" i="45"/>
  <c r="M113" i="45"/>
  <c r="L113" i="45"/>
  <c r="M112" i="45"/>
  <c r="L112" i="45"/>
  <c r="M111" i="45"/>
  <c r="L111" i="45"/>
  <c r="M110" i="45"/>
  <c r="L110" i="45"/>
  <c r="M109" i="45"/>
  <c r="L109" i="45"/>
  <c r="M108" i="45"/>
  <c r="L108" i="45"/>
  <c r="M107" i="45"/>
  <c r="L107" i="45"/>
  <c r="M106" i="45"/>
  <c r="L106" i="45"/>
  <c r="M105" i="45"/>
  <c r="L105" i="45"/>
  <c r="M104" i="45"/>
  <c r="L104" i="45"/>
  <c r="M103" i="45"/>
  <c r="L103" i="45"/>
  <c r="M102" i="45"/>
  <c r="L102" i="45"/>
  <c r="M101" i="45"/>
  <c r="L101" i="45"/>
  <c r="M100" i="45"/>
  <c r="L100" i="45"/>
  <c r="M99" i="45"/>
  <c r="L99" i="45"/>
  <c r="M98" i="45"/>
  <c r="L98" i="45"/>
  <c r="M97" i="45"/>
  <c r="L97" i="45"/>
  <c r="M96" i="45"/>
  <c r="L96" i="45"/>
  <c r="M95" i="45"/>
  <c r="L95" i="45"/>
  <c r="M94" i="45"/>
  <c r="L94" i="45"/>
  <c r="M93" i="45"/>
  <c r="L93" i="45"/>
  <c r="M92" i="45"/>
  <c r="L92" i="45"/>
  <c r="M91" i="45"/>
  <c r="L91" i="45"/>
  <c r="M90" i="45"/>
  <c r="L90" i="45"/>
  <c r="M89" i="45"/>
  <c r="L89" i="45"/>
  <c r="M87" i="45"/>
  <c r="L87" i="45"/>
  <c r="M86" i="45"/>
  <c r="L86" i="45"/>
  <c r="M85" i="45"/>
  <c r="L85" i="45"/>
  <c r="M84" i="45"/>
  <c r="L84" i="45"/>
  <c r="M83" i="45"/>
  <c r="L83" i="45"/>
  <c r="M82" i="45"/>
  <c r="L82" i="45"/>
  <c r="M81" i="45"/>
  <c r="L81" i="45"/>
  <c r="M80" i="45"/>
  <c r="L80" i="45"/>
  <c r="M79" i="45"/>
  <c r="L79" i="45"/>
  <c r="M78" i="45"/>
  <c r="L78" i="45"/>
  <c r="M77" i="45"/>
  <c r="L77" i="45"/>
  <c r="M76" i="45"/>
  <c r="L76" i="45"/>
  <c r="M75" i="45"/>
  <c r="L75" i="45"/>
  <c r="M74" i="45"/>
  <c r="L74" i="45"/>
  <c r="M73" i="45"/>
  <c r="L73" i="45"/>
  <c r="M72" i="45"/>
  <c r="L72" i="45"/>
  <c r="M71" i="45"/>
  <c r="L71" i="45"/>
  <c r="M70" i="45"/>
  <c r="L70" i="45"/>
  <c r="M69" i="45"/>
  <c r="L69" i="45"/>
  <c r="M68" i="45"/>
  <c r="L68" i="45"/>
  <c r="M66" i="45"/>
  <c r="L66" i="45"/>
  <c r="M65" i="45"/>
  <c r="L65" i="45"/>
  <c r="M64" i="45"/>
  <c r="L64" i="45"/>
  <c r="M63" i="45"/>
  <c r="L63" i="45"/>
  <c r="M62" i="45"/>
  <c r="L62" i="45"/>
  <c r="M60" i="45"/>
  <c r="L60" i="45"/>
  <c r="M59" i="45"/>
  <c r="L59" i="45"/>
  <c r="M58" i="45"/>
  <c r="L58" i="45"/>
  <c r="M57" i="45"/>
  <c r="L57" i="45"/>
  <c r="M56" i="45"/>
  <c r="L56" i="45"/>
  <c r="M55" i="45"/>
  <c r="L55" i="45"/>
  <c r="M54" i="45"/>
  <c r="L54" i="45"/>
  <c r="M53" i="45"/>
  <c r="L53" i="45"/>
  <c r="M52" i="45"/>
  <c r="L52" i="45"/>
  <c r="M50" i="45"/>
  <c r="L50" i="45"/>
  <c r="M49" i="45"/>
  <c r="L49" i="45"/>
  <c r="M48" i="45"/>
  <c r="L48" i="45"/>
  <c r="M47" i="45"/>
  <c r="L47" i="45"/>
  <c r="M46" i="45"/>
  <c r="L46" i="45"/>
  <c r="M45" i="45"/>
  <c r="L45" i="45"/>
  <c r="M44" i="45"/>
  <c r="L44" i="45"/>
  <c r="M43" i="45"/>
  <c r="L43" i="45"/>
  <c r="M42" i="45"/>
  <c r="L42" i="45"/>
  <c r="M40" i="45"/>
  <c r="L40" i="45"/>
  <c r="M39" i="45"/>
  <c r="L39" i="45"/>
  <c r="M38" i="45"/>
  <c r="L38" i="45"/>
  <c r="M37" i="45"/>
  <c r="L37" i="45"/>
  <c r="M35" i="45"/>
  <c r="L35" i="45"/>
  <c r="M34" i="45"/>
  <c r="L34" i="45"/>
  <c r="M33" i="45"/>
  <c r="L33" i="45"/>
  <c r="M32" i="45"/>
  <c r="L32" i="45"/>
  <c r="M31" i="45"/>
  <c r="L31" i="45"/>
  <c r="M30" i="45"/>
  <c r="L30" i="45"/>
  <c r="M29" i="45"/>
  <c r="L29" i="45"/>
  <c r="M28" i="45"/>
  <c r="L28" i="45"/>
  <c r="M27" i="45"/>
  <c r="L27" i="45"/>
  <c r="M26" i="45"/>
  <c r="L26" i="45"/>
  <c r="M25" i="45"/>
  <c r="L25" i="45"/>
  <c r="M24" i="45"/>
  <c r="L24" i="45"/>
  <c r="M23" i="45"/>
  <c r="L23" i="45"/>
  <c r="M22" i="45"/>
  <c r="L22" i="45"/>
  <c r="M20" i="45"/>
  <c r="L20" i="45"/>
  <c r="M19" i="45"/>
  <c r="L19" i="45"/>
  <c r="M18" i="45"/>
  <c r="L18" i="45"/>
  <c r="M17" i="45"/>
  <c r="L17" i="45"/>
  <c r="M16" i="45"/>
  <c r="L16" i="45"/>
  <c r="M15" i="45"/>
  <c r="L15" i="45"/>
  <c r="M14" i="45"/>
  <c r="L14" i="45"/>
  <c r="M12" i="45"/>
  <c r="L12" i="45"/>
  <c r="M137" i="43"/>
  <c r="L137" i="43"/>
  <c r="M136" i="43"/>
  <c r="L136" i="43"/>
  <c r="M135" i="43"/>
  <c r="L135" i="43"/>
  <c r="M134" i="43"/>
  <c r="L134" i="43"/>
  <c r="M133" i="43"/>
  <c r="L133" i="43"/>
  <c r="M132" i="43"/>
  <c r="L132" i="43"/>
  <c r="M131" i="43"/>
  <c r="L131" i="43"/>
  <c r="M130" i="43"/>
  <c r="L130" i="43"/>
  <c r="M129" i="43"/>
  <c r="L129" i="43"/>
  <c r="M128" i="43"/>
  <c r="L128" i="43"/>
  <c r="M126" i="43"/>
  <c r="L126" i="43"/>
  <c r="M125" i="43"/>
  <c r="L125" i="43"/>
  <c r="M124" i="43"/>
  <c r="L124" i="43"/>
  <c r="M123" i="43"/>
  <c r="L123" i="43"/>
  <c r="M122" i="43"/>
  <c r="L122" i="43"/>
  <c r="M121" i="43"/>
  <c r="L121" i="43"/>
  <c r="M120" i="43"/>
  <c r="L120" i="43"/>
  <c r="M119" i="43"/>
  <c r="L119" i="43"/>
  <c r="M118" i="43"/>
  <c r="L118" i="43"/>
  <c r="M117" i="43"/>
  <c r="L117" i="43"/>
  <c r="M116" i="43"/>
  <c r="L116" i="43"/>
  <c r="M115" i="43"/>
  <c r="L115" i="43"/>
  <c r="M114" i="43"/>
  <c r="L114" i="43"/>
  <c r="M113" i="43"/>
  <c r="L113" i="43"/>
  <c r="M112" i="43"/>
  <c r="L112" i="43"/>
  <c r="M111" i="43"/>
  <c r="L111" i="43"/>
  <c r="M110" i="43"/>
  <c r="L110" i="43"/>
  <c r="M109" i="43"/>
  <c r="L109" i="43"/>
  <c r="M108" i="43"/>
  <c r="L108" i="43"/>
  <c r="M107" i="43"/>
  <c r="L107" i="43"/>
  <c r="M106" i="43"/>
  <c r="L106" i="43"/>
  <c r="M105" i="43"/>
  <c r="L105" i="43"/>
  <c r="M104" i="43"/>
  <c r="L104" i="43"/>
  <c r="M103" i="43"/>
  <c r="L103" i="43"/>
  <c r="M102" i="43"/>
  <c r="L102" i="43"/>
  <c r="M101" i="43"/>
  <c r="L101" i="43"/>
  <c r="M100" i="43"/>
  <c r="L100" i="43"/>
  <c r="M99" i="43"/>
  <c r="L99" i="43"/>
  <c r="M98" i="43"/>
  <c r="L98" i="43"/>
  <c r="M97" i="43"/>
  <c r="L97" i="43"/>
  <c r="M96" i="43"/>
  <c r="L96" i="43"/>
  <c r="M95" i="43"/>
  <c r="L95" i="43"/>
  <c r="M94" i="43"/>
  <c r="L94" i="43"/>
  <c r="M93" i="43"/>
  <c r="L93" i="43"/>
  <c r="M92" i="43"/>
  <c r="L92" i="43"/>
  <c r="M91" i="43"/>
  <c r="L91" i="43"/>
  <c r="M90" i="43"/>
  <c r="L90" i="43"/>
  <c r="M89" i="43"/>
  <c r="L89" i="43"/>
  <c r="M87" i="43"/>
  <c r="L87" i="43"/>
  <c r="M86" i="43"/>
  <c r="L86" i="43"/>
  <c r="M85" i="43"/>
  <c r="L85" i="43"/>
  <c r="M84" i="43"/>
  <c r="L84" i="43"/>
  <c r="M83" i="43"/>
  <c r="L83" i="43"/>
  <c r="M82" i="43"/>
  <c r="L82" i="43"/>
  <c r="M81" i="43"/>
  <c r="L81" i="43"/>
  <c r="M80" i="43"/>
  <c r="L80" i="43"/>
  <c r="M79" i="43"/>
  <c r="L79" i="43"/>
  <c r="M78" i="43"/>
  <c r="L78" i="43"/>
  <c r="M77" i="43"/>
  <c r="L77" i="43"/>
  <c r="M76" i="43"/>
  <c r="L76" i="43"/>
  <c r="M75" i="43"/>
  <c r="L75" i="43"/>
  <c r="M74" i="43"/>
  <c r="L74" i="43"/>
  <c r="M73" i="43"/>
  <c r="L73" i="43"/>
  <c r="M72" i="43"/>
  <c r="L72" i="43"/>
  <c r="M71" i="43"/>
  <c r="L71" i="43"/>
  <c r="M70" i="43"/>
  <c r="L70" i="43"/>
  <c r="M69" i="43"/>
  <c r="L69" i="43"/>
  <c r="M68" i="43"/>
  <c r="L68" i="43"/>
  <c r="M66" i="43"/>
  <c r="L66" i="43"/>
  <c r="M65" i="43"/>
  <c r="L65" i="43"/>
  <c r="M64" i="43"/>
  <c r="L64" i="43"/>
  <c r="M63" i="43"/>
  <c r="L63" i="43"/>
  <c r="M62" i="43"/>
  <c r="L62" i="43"/>
  <c r="M60" i="43"/>
  <c r="L60" i="43"/>
  <c r="M59" i="43"/>
  <c r="L59" i="43"/>
  <c r="M58" i="43"/>
  <c r="L58" i="43"/>
  <c r="M57" i="43"/>
  <c r="L57" i="43"/>
  <c r="M56" i="43"/>
  <c r="L56" i="43"/>
  <c r="M55" i="43"/>
  <c r="L55" i="43"/>
  <c r="M54" i="43"/>
  <c r="L54" i="43"/>
  <c r="M53" i="43"/>
  <c r="L53" i="43"/>
  <c r="M52" i="43"/>
  <c r="L52" i="43"/>
  <c r="M50" i="43"/>
  <c r="L50" i="43"/>
  <c r="M49" i="43"/>
  <c r="L49" i="43"/>
  <c r="M48" i="43"/>
  <c r="L48" i="43"/>
  <c r="M47" i="43"/>
  <c r="L47" i="43"/>
  <c r="M46" i="43"/>
  <c r="L46" i="43"/>
  <c r="M45" i="43"/>
  <c r="L45" i="43"/>
  <c r="M44" i="43"/>
  <c r="L44" i="43"/>
  <c r="M43" i="43"/>
  <c r="L43" i="43"/>
  <c r="M42" i="43"/>
  <c r="L42" i="43"/>
  <c r="M40" i="43"/>
  <c r="L40" i="43"/>
  <c r="M39" i="43"/>
  <c r="L39" i="43"/>
  <c r="M38" i="43"/>
  <c r="L38" i="43"/>
  <c r="M37" i="43"/>
  <c r="L37" i="43"/>
  <c r="M35" i="43"/>
  <c r="L35" i="43"/>
  <c r="M34" i="43"/>
  <c r="L34" i="43"/>
  <c r="M33" i="43"/>
  <c r="L33" i="43"/>
  <c r="M32" i="43"/>
  <c r="L32" i="43"/>
  <c r="M31" i="43"/>
  <c r="L31" i="43"/>
  <c r="M30" i="43"/>
  <c r="L30" i="43"/>
  <c r="M29" i="43"/>
  <c r="L29" i="43"/>
  <c r="M28" i="43"/>
  <c r="L28" i="43"/>
  <c r="M27" i="43"/>
  <c r="L27" i="43"/>
  <c r="M26" i="43"/>
  <c r="L26" i="43"/>
  <c r="M25" i="43"/>
  <c r="L25" i="43"/>
  <c r="M24" i="43"/>
  <c r="L24" i="43"/>
  <c r="M23" i="43"/>
  <c r="L23" i="43"/>
  <c r="M22" i="43"/>
  <c r="L22" i="43"/>
  <c r="M20" i="43"/>
  <c r="L20" i="43"/>
  <c r="M19" i="43"/>
  <c r="L19" i="43"/>
  <c r="M18" i="43"/>
  <c r="L18" i="43"/>
  <c r="M17" i="43"/>
  <c r="L17" i="43"/>
  <c r="M16" i="43"/>
  <c r="L16" i="43"/>
  <c r="M15" i="43"/>
  <c r="L15" i="43"/>
  <c r="M14" i="43"/>
  <c r="L14" i="43"/>
  <c r="M12" i="43"/>
  <c r="L12" i="43"/>
  <c r="M137" i="33"/>
  <c r="L137" i="33"/>
  <c r="M136" i="33"/>
  <c r="L136" i="33"/>
  <c r="M135" i="33"/>
  <c r="L135" i="33"/>
  <c r="M134" i="33"/>
  <c r="L134" i="33"/>
  <c r="M133" i="33"/>
  <c r="L133" i="33"/>
  <c r="M132" i="33"/>
  <c r="L132" i="33"/>
  <c r="M131" i="33"/>
  <c r="L131" i="33"/>
  <c r="M130" i="33"/>
  <c r="L130" i="33"/>
  <c r="M129" i="33"/>
  <c r="L129" i="33"/>
  <c r="M128" i="33"/>
  <c r="L128" i="33"/>
  <c r="M126" i="33"/>
  <c r="L126" i="33"/>
  <c r="M125" i="33"/>
  <c r="L125" i="33"/>
  <c r="M124" i="33"/>
  <c r="L124" i="33"/>
  <c r="M123" i="33"/>
  <c r="L123" i="33"/>
  <c r="M122" i="33"/>
  <c r="L122" i="33"/>
  <c r="M121" i="33"/>
  <c r="L121" i="33"/>
  <c r="M120" i="33"/>
  <c r="L120" i="33"/>
  <c r="M119" i="33"/>
  <c r="L119" i="33"/>
  <c r="M118" i="33"/>
  <c r="L118" i="33"/>
  <c r="M117" i="33"/>
  <c r="L117" i="33"/>
  <c r="M116" i="33"/>
  <c r="L116" i="33"/>
  <c r="M115" i="33"/>
  <c r="L115" i="33"/>
  <c r="M114" i="33"/>
  <c r="L114" i="33"/>
  <c r="M113" i="33"/>
  <c r="L113" i="33"/>
  <c r="M112" i="33"/>
  <c r="L112" i="33"/>
  <c r="M111" i="33"/>
  <c r="L111" i="33"/>
  <c r="M110" i="33"/>
  <c r="L110" i="33"/>
  <c r="M109" i="33"/>
  <c r="L109" i="33"/>
  <c r="M108" i="33"/>
  <c r="L108" i="33"/>
  <c r="M107" i="33"/>
  <c r="L107" i="33"/>
  <c r="M106" i="33"/>
  <c r="L106" i="33"/>
  <c r="M105" i="33"/>
  <c r="L105" i="33"/>
  <c r="M104" i="33"/>
  <c r="L104" i="33"/>
  <c r="M103" i="33"/>
  <c r="L103" i="33"/>
  <c r="M102" i="33"/>
  <c r="L102" i="33"/>
  <c r="M101" i="33"/>
  <c r="L101" i="33"/>
  <c r="M100" i="33"/>
  <c r="L100" i="33"/>
  <c r="M99" i="33"/>
  <c r="L99" i="33"/>
  <c r="M98" i="33"/>
  <c r="L98" i="33"/>
  <c r="M97" i="33"/>
  <c r="L97" i="33"/>
  <c r="M96" i="33"/>
  <c r="L96" i="33"/>
  <c r="M95" i="33"/>
  <c r="L95" i="33"/>
  <c r="M94" i="33"/>
  <c r="L94" i="33"/>
  <c r="M93" i="33"/>
  <c r="L93" i="33"/>
  <c r="M92" i="33"/>
  <c r="L92" i="33"/>
  <c r="M91" i="33"/>
  <c r="L91" i="33"/>
  <c r="M90" i="33"/>
  <c r="L90" i="33"/>
  <c r="M89" i="33"/>
  <c r="L89" i="33"/>
  <c r="M87" i="33"/>
  <c r="L87" i="33"/>
  <c r="M86" i="33"/>
  <c r="L86" i="33"/>
  <c r="M85" i="33"/>
  <c r="L85" i="33"/>
  <c r="M84" i="33"/>
  <c r="L84" i="33"/>
  <c r="M83" i="33"/>
  <c r="L83" i="33"/>
  <c r="M82" i="33"/>
  <c r="L82" i="33"/>
  <c r="M81" i="33"/>
  <c r="L81" i="33"/>
  <c r="M80" i="33"/>
  <c r="L80" i="33"/>
  <c r="M79" i="33"/>
  <c r="L79" i="33"/>
  <c r="M78" i="33"/>
  <c r="L78" i="33"/>
  <c r="M77" i="33"/>
  <c r="L77" i="33"/>
  <c r="M76" i="33"/>
  <c r="L76" i="33"/>
  <c r="M75" i="33"/>
  <c r="L75" i="33"/>
  <c r="M74" i="33"/>
  <c r="L74" i="33"/>
  <c r="M73" i="33"/>
  <c r="L73" i="33"/>
  <c r="M72" i="33"/>
  <c r="L72" i="33"/>
  <c r="M71" i="33"/>
  <c r="L71" i="33"/>
  <c r="M70" i="33"/>
  <c r="L70" i="33"/>
  <c r="M69" i="33"/>
  <c r="L69" i="33"/>
  <c r="M68" i="33"/>
  <c r="L68" i="33"/>
  <c r="M66" i="33"/>
  <c r="L66" i="33"/>
  <c r="M65" i="33"/>
  <c r="L65" i="33"/>
  <c r="M64" i="33"/>
  <c r="L64" i="33"/>
  <c r="M63" i="33"/>
  <c r="L63" i="33"/>
  <c r="M62" i="33"/>
  <c r="L62" i="33"/>
  <c r="M60" i="33"/>
  <c r="L60" i="33"/>
  <c r="M59" i="33"/>
  <c r="L59" i="33"/>
  <c r="M58" i="33"/>
  <c r="L58" i="33"/>
  <c r="M57" i="33"/>
  <c r="L57" i="33"/>
  <c r="M56" i="33"/>
  <c r="L56" i="33"/>
  <c r="M55" i="33"/>
  <c r="L55" i="33"/>
  <c r="M54" i="33"/>
  <c r="L54" i="33"/>
  <c r="M53" i="33"/>
  <c r="L53" i="33"/>
  <c r="M52" i="33"/>
  <c r="L52" i="33"/>
  <c r="M50" i="33"/>
  <c r="L50" i="33"/>
  <c r="M49" i="33"/>
  <c r="L49" i="33"/>
  <c r="M48" i="33"/>
  <c r="L48" i="33"/>
  <c r="M47" i="33"/>
  <c r="L47" i="33"/>
  <c r="M46" i="33"/>
  <c r="L46" i="33"/>
  <c r="M45" i="33"/>
  <c r="L45" i="33"/>
  <c r="M44" i="33"/>
  <c r="L44" i="33"/>
  <c r="M43" i="33"/>
  <c r="L43" i="33"/>
  <c r="M42" i="33"/>
  <c r="L42" i="33"/>
  <c r="M40" i="33"/>
  <c r="L40" i="33"/>
  <c r="M39" i="33"/>
  <c r="L39" i="33"/>
  <c r="M38" i="33"/>
  <c r="L38" i="33"/>
  <c r="M37" i="33"/>
  <c r="L37" i="33"/>
  <c r="M35" i="33"/>
  <c r="L35" i="33"/>
  <c r="M34" i="33"/>
  <c r="L34" i="33"/>
  <c r="M33" i="33"/>
  <c r="L33" i="33"/>
  <c r="M32" i="33"/>
  <c r="L32" i="33"/>
  <c r="M31" i="33"/>
  <c r="L31" i="33"/>
  <c r="M30" i="33"/>
  <c r="L30" i="33"/>
  <c r="M29" i="33"/>
  <c r="L29" i="33"/>
  <c r="M28" i="33"/>
  <c r="L28" i="33"/>
  <c r="M27" i="33"/>
  <c r="L27" i="33"/>
  <c r="M26" i="33"/>
  <c r="L26" i="33"/>
  <c r="M25" i="33"/>
  <c r="L25" i="33"/>
  <c r="M24" i="33"/>
  <c r="L24" i="33"/>
  <c r="M23" i="33"/>
  <c r="L23" i="33"/>
  <c r="M22" i="33"/>
  <c r="L22" i="33"/>
  <c r="M20" i="33"/>
  <c r="L20" i="33"/>
  <c r="M19" i="33"/>
  <c r="L19" i="33"/>
  <c r="M18" i="33"/>
  <c r="L18" i="33"/>
  <c r="M17" i="33"/>
  <c r="L17" i="33"/>
  <c r="M16" i="33"/>
  <c r="L16" i="33"/>
  <c r="M15" i="33"/>
  <c r="L15" i="33"/>
  <c r="M14" i="33"/>
  <c r="L14" i="33"/>
  <c r="M12" i="33"/>
  <c r="L12" i="33"/>
  <c r="M137" i="48"/>
  <c r="L137" i="48"/>
  <c r="M136" i="48"/>
  <c r="L136" i="48"/>
  <c r="M135" i="48"/>
  <c r="L135" i="48"/>
  <c r="M134" i="48"/>
  <c r="L134" i="48"/>
  <c r="M133" i="48"/>
  <c r="L133" i="48"/>
  <c r="M132" i="48"/>
  <c r="L132" i="48"/>
  <c r="M131" i="48"/>
  <c r="L131" i="48"/>
  <c r="M130" i="48"/>
  <c r="L130" i="48"/>
  <c r="M129" i="48"/>
  <c r="L129" i="48"/>
  <c r="M128" i="48"/>
  <c r="L128" i="48"/>
  <c r="M126" i="48"/>
  <c r="L126" i="48"/>
  <c r="M125" i="48"/>
  <c r="L125" i="48"/>
  <c r="M124" i="48"/>
  <c r="L124" i="48"/>
  <c r="M123" i="48"/>
  <c r="L123" i="48"/>
  <c r="M122" i="48"/>
  <c r="L122" i="48"/>
  <c r="M121" i="48"/>
  <c r="L121" i="48"/>
  <c r="M120" i="48"/>
  <c r="L120" i="48"/>
  <c r="M119" i="48"/>
  <c r="L119" i="48"/>
  <c r="M118" i="48"/>
  <c r="L118" i="48"/>
  <c r="M117" i="48"/>
  <c r="L117" i="48"/>
  <c r="M116" i="48"/>
  <c r="L116" i="48"/>
  <c r="M115" i="48"/>
  <c r="L115" i="48"/>
  <c r="M114" i="48"/>
  <c r="L114" i="48"/>
  <c r="M113" i="48"/>
  <c r="L113" i="48"/>
  <c r="M112" i="48"/>
  <c r="L112" i="48"/>
  <c r="M111" i="48"/>
  <c r="L111" i="48"/>
  <c r="M110" i="48"/>
  <c r="L110" i="48"/>
  <c r="M109" i="48"/>
  <c r="L109" i="48"/>
  <c r="M108" i="48"/>
  <c r="L108" i="48"/>
  <c r="M107" i="48"/>
  <c r="L107" i="48"/>
  <c r="M106" i="48"/>
  <c r="L106" i="48"/>
  <c r="M105" i="48"/>
  <c r="L105" i="48"/>
  <c r="M104" i="48"/>
  <c r="L104" i="48"/>
  <c r="M103" i="48"/>
  <c r="L103" i="48"/>
  <c r="M102" i="48"/>
  <c r="L102" i="48"/>
  <c r="M101" i="48"/>
  <c r="L101" i="48"/>
  <c r="M100" i="48"/>
  <c r="L100" i="48"/>
  <c r="M99" i="48"/>
  <c r="L99" i="48"/>
  <c r="M98" i="48"/>
  <c r="L98" i="48"/>
  <c r="M97" i="48"/>
  <c r="L97" i="48"/>
  <c r="M96" i="48"/>
  <c r="L96" i="48"/>
  <c r="M95" i="48"/>
  <c r="L95" i="48"/>
  <c r="M94" i="48"/>
  <c r="L94" i="48"/>
  <c r="M93" i="48"/>
  <c r="L93" i="48"/>
  <c r="M92" i="48"/>
  <c r="L92" i="48"/>
  <c r="M91" i="48"/>
  <c r="L91" i="48"/>
  <c r="M90" i="48"/>
  <c r="L90" i="48"/>
  <c r="M89" i="48"/>
  <c r="L89" i="48"/>
  <c r="M87" i="48"/>
  <c r="L87" i="48"/>
  <c r="M86" i="48"/>
  <c r="L86" i="48"/>
  <c r="M85" i="48"/>
  <c r="L85" i="48"/>
  <c r="M84" i="48"/>
  <c r="L84" i="48"/>
  <c r="M83" i="48"/>
  <c r="L83" i="48"/>
  <c r="M82" i="48"/>
  <c r="L82" i="48"/>
  <c r="M81" i="48"/>
  <c r="L81" i="48"/>
  <c r="M80" i="48"/>
  <c r="L80" i="48"/>
  <c r="M79" i="48"/>
  <c r="L79" i="48"/>
  <c r="M78" i="48"/>
  <c r="L78" i="48"/>
  <c r="M77" i="48"/>
  <c r="L77" i="48"/>
  <c r="M76" i="48"/>
  <c r="L76" i="48"/>
  <c r="M75" i="48"/>
  <c r="L75" i="48"/>
  <c r="M74" i="48"/>
  <c r="L74" i="48"/>
  <c r="M73" i="48"/>
  <c r="L73" i="48"/>
  <c r="M72" i="48"/>
  <c r="L72" i="48"/>
  <c r="M71" i="48"/>
  <c r="L71" i="48"/>
  <c r="M70" i="48"/>
  <c r="L70" i="48"/>
  <c r="M69" i="48"/>
  <c r="L69" i="48"/>
  <c r="M68" i="48"/>
  <c r="L68" i="48"/>
  <c r="M66" i="48"/>
  <c r="L66" i="48"/>
  <c r="M65" i="48"/>
  <c r="L65" i="48"/>
  <c r="M64" i="48"/>
  <c r="L64" i="48"/>
  <c r="M63" i="48"/>
  <c r="L63" i="48"/>
  <c r="M62" i="48"/>
  <c r="L62" i="48"/>
  <c r="M60" i="48"/>
  <c r="L60" i="48"/>
  <c r="M59" i="48"/>
  <c r="L59" i="48"/>
  <c r="M58" i="48"/>
  <c r="L58" i="48"/>
  <c r="M57" i="48"/>
  <c r="L57" i="48"/>
  <c r="M56" i="48"/>
  <c r="L56" i="48"/>
  <c r="M55" i="48"/>
  <c r="L55" i="48"/>
  <c r="M54" i="48"/>
  <c r="L54" i="48"/>
  <c r="M53" i="48"/>
  <c r="L53" i="48"/>
  <c r="M52" i="48"/>
  <c r="L52" i="48"/>
  <c r="M50" i="48"/>
  <c r="L50" i="48"/>
  <c r="M49" i="48"/>
  <c r="L49" i="48"/>
  <c r="M48" i="48"/>
  <c r="L48" i="48"/>
  <c r="M47" i="48"/>
  <c r="L47" i="48"/>
  <c r="M46" i="48"/>
  <c r="L46" i="48"/>
  <c r="M45" i="48"/>
  <c r="L45" i="48"/>
  <c r="M44" i="48"/>
  <c r="L44" i="48"/>
  <c r="M43" i="48"/>
  <c r="L43" i="48"/>
  <c r="M42" i="48"/>
  <c r="L42" i="48"/>
  <c r="M40" i="48"/>
  <c r="L40" i="48"/>
  <c r="M39" i="48"/>
  <c r="L39" i="48"/>
  <c r="M38" i="48"/>
  <c r="L38" i="48"/>
  <c r="M37" i="48"/>
  <c r="L37" i="48"/>
  <c r="M35" i="48"/>
  <c r="L35" i="48"/>
  <c r="M34" i="48"/>
  <c r="L34" i="48"/>
  <c r="M33" i="48"/>
  <c r="L33" i="48"/>
  <c r="M32" i="48"/>
  <c r="L32" i="48"/>
  <c r="M31" i="48"/>
  <c r="L31" i="48"/>
  <c r="M30" i="48"/>
  <c r="L30" i="48"/>
  <c r="M29" i="48"/>
  <c r="L29" i="48"/>
  <c r="M28" i="48"/>
  <c r="L28" i="48"/>
  <c r="M27" i="48"/>
  <c r="L27" i="48"/>
  <c r="M26" i="48"/>
  <c r="L26" i="48"/>
  <c r="M25" i="48"/>
  <c r="L25" i="48"/>
  <c r="M24" i="48"/>
  <c r="L24" i="48"/>
  <c r="M23" i="48"/>
  <c r="L23" i="48"/>
  <c r="M22" i="48"/>
  <c r="L22" i="48"/>
  <c r="M20" i="48"/>
  <c r="L20" i="48"/>
  <c r="M19" i="48"/>
  <c r="L19" i="48"/>
  <c r="M18" i="48"/>
  <c r="L18" i="48"/>
  <c r="M17" i="48"/>
  <c r="L17" i="48"/>
  <c r="M16" i="48"/>
  <c r="L16" i="48"/>
  <c r="M15" i="48"/>
  <c r="L15" i="48"/>
  <c r="M14" i="48"/>
  <c r="L14" i="48"/>
  <c r="M12" i="48"/>
  <c r="L12" i="48"/>
  <c r="M137" i="46"/>
  <c r="L137" i="46"/>
  <c r="M136" i="46"/>
  <c r="L136" i="46"/>
  <c r="M135" i="46"/>
  <c r="L135" i="46"/>
  <c r="M134" i="46"/>
  <c r="L134" i="46"/>
  <c r="M133" i="46"/>
  <c r="L133" i="46"/>
  <c r="M132" i="46"/>
  <c r="L132" i="46"/>
  <c r="M131" i="46"/>
  <c r="L131" i="46"/>
  <c r="M130" i="46"/>
  <c r="L130" i="46"/>
  <c r="M129" i="46"/>
  <c r="L129" i="46"/>
  <c r="M128" i="46"/>
  <c r="L128" i="46"/>
  <c r="M126" i="46"/>
  <c r="L126" i="46"/>
  <c r="M125" i="46"/>
  <c r="L125" i="46"/>
  <c r="M124" i="46"/>
  <c r="L124" i="46"/>
  <c r="M123" i="46"/>
  <c r="L123" i="46"/>
  <c r="M122" i="46"/>
  <c r="L122" i="46"/>
  <c r="M121" i="46"/>
  <c r="L121" i="46"/>
  <c r="M120" i="46"/>
  <c r="L120" i="46"/>
  <c r="M119" i="46"/>
  <c r="L119" i="46"/>
  <c r="M118" i="46"/>
  <c r="L118" i="46"/>
  <c r="M117" i="46"/>
  <c r="L117" i="46"/>
  <c r="M116" i="46"/>
  <c r="L116" i="46"/>
  <c r="M115" i="46"/>
  <c r="L115" i="46"/>
  <c r="M114" i="46"/>
  <c r="L114" i="46"/>
  <c r="M113" i="46"/>
  <c r="L113" i="46"/>
  <c r="M112" i="46"/>
  <c r="L112" i="46"/>
  <c r="M111" i="46"/>
  <c r="L111" i="46"/>
  <c r="M110" i="46"/>
  <c r="L110" i="46"/>
  <c r="M109" i="46"/>
  <c r="L109" i="46"/>
  <c r="M108" i="46"/>
  <c r="L108" i="46"/>
  <c r="M107" i="46"/>
  <c r="L107" i="46"/>
  <c r="M106" i="46"/>
  <c r="L106" i="46"/>
  <c r="M105" i="46"/>
  <c r="L105" i="46"/>
  <c r="M104" i="46"/>
  <c r="L104" i="46"/>
  <c r="M103" i="46"/>
  <c r="L103" i="46"/>
  <c r="M102" i="46"/>
  <c r="L102" i="46"/>
  <c r="M101" i="46"/>
  <c r="L101" i="46"/>
  <c r="M100" i="46"/>
  <c r="L100" i="46"/>
  <c r="M99" i="46"/>
  <c r="L99" i="46"/>
  <c r="M98" i="46"/>
  <c r="L98" i="46"/>
  <c r="M97" i="46"/>
  <c r="L97" i="46"/>
  <c r="M96" i="46"/>
  <c r="L96" i="46"/>
  <c r="M95" i="46"/>
  <c r="L95" i="46"/>
  <c r="M94" i="46"/>
  <c r="L94" i="46"/>
  <c r="M93" i="46"/>
  <c r="L93" i="46"/>
  <c r="M92" i="46"/>
  <c r="L92" i="46"/>
  <c r="M91" i="46"/>
  <c r="L91" i="46"/>
  <c r="M90" i="46"/>
  <c r="L90" i="46"/>
  <c r="M89" i="46"/>
  <c r="L89" i="46"/>
  <c r="M87" i="46"/>
  <c r="L87" i="46"/>
  <c r="M86" i="46"/>
  <c r="L86" i="46"/>
  <c r="M85" i="46"/>
  <c r="L85" i="46"/>
  <c r="M84" i="46"/>
  <c r="L84" i="46"/>
  <c r="M83" i="46"/>
  <c r="L83" i="46"/>
  <c r="M82" i="46"/>
  <c r="L82" i="46"/>
  <c r="M81" i="46"/>
  <c r="L81" i="46"/>
  <c r="M80" i="46"/>
  <c r="L80" i="46"/>
  <c r="M79" i="46"/>
  <c r="L79" i="46"/>
  <c r="M78" i="46"/>
  <c r="L78" i="46"/>
  <c r="M77" i="46"/>
  <c r="L77" i="46"/>
  <c r="M76" i="46"/>
  <c r="L76" i="46"/>
  <c r="M75" i="46"/>
  <c r="L75" i="46"/>
  <c r="M74" i="46"/>
  <c r="L74" i="46"/>
  <c r="M73" i="46"/>
  <c r="L73" i="46"/>
  <c r="M72" i="46"/>
  <c r="L72" i="46"/>
  <c r="M71" i="46"/>
  <c r="L71" i="46"/>
  <c r="M70" i="46"/>
  <c r="L70" i="46"/>
  <c r="M69" i="46"/>
  <c r="L69" i="46"/>
  <c r="M68" i="46"/>
  <c r="L68" i="46"/>
  <c r="M66" i="46"/>
  <c r="L66" i="46"/>
  <c r="M65" i="46"/>
  <c r="L65" i="46"/>
  <c r="M64" i="46"/>
  <c r="L64" i="46"/>
  <c r="M63" i="46"/>
  <c r="L63" i="46"/>
  <c r="M62" i="46"/>
  <c r="L62" i="46"/>
  <c r="M60" i="46"/>
  <c r="L60" i="46"/>
  <c r="M59" i="46"/>
  <c r="L59" i="46"/>
  <c r="M58" i="46"/>
  <c r="L58" i="46"/>
  <c r="M57" i="46"/>
  <c r="L57" i="46"/>
  <c r="M56" i="46"/>
  <c r="L56" i="46"/>
  <c r="M55" i="46"/>
  <c r="L55" i="46"/>
  <c r="M54" i="46"/>
  <c r="L54" i="46"/>
  <c r="M53" i="46"/>
  <c r="L53" i="46"/>
  <c r="M52" i="46"/>
  <c r="L52" i="46"/>
  <c r="M50" i="46"/>
  <c r="L50" i="46"/>
  <c r="M49" i="46"/>
  <c r="L49" i="46"/>
  <c r="M48" i="46"/>
  <c r="L48" i="46"/>
  <c r="M47" i="46"/>
  <c r="L47" i="46"/>
  <c r="M46" i="46"/>
  <c r="L46" i="46"/>
  <c r="M45" i="46"/>
  <c r="L45" i="46"/>
  <c r="M44" i="46"/>
  <c r="L44" i="46"/>
  <c r="M43" i="46"/>
  <c r="L43" i="46"/>
  <c r="M42" i="46"/>
  <c r="L42" i="46"/>
  <c r="M40" i="46"/>
  <c r="L40" i="46"/>
  <c r="M39" i="46"/>
  <c r="L39" i="46"/>
  <c r="M38" i="46"/>
  <c r="L38" i="46"/>
  <c r="M37" i="46"/>
  <c r="L37" i="46"/>
  <c r="M35" i="46"/>
  <c r="L35" i="46"/>
  <c r="M34" i="46"/>
  <c r="L34" i="46"/>
  <c r="M33" i="46"/>
  <c r="L33" i="46"/>
  <c r="M32" i="46"/>
  <c r="L32" i="46"/>
  <c r="M31" i="46"/>
  <c r="L31" i="46"/>
  <c r="M30" i="46"/>
  <c r="L30" i="46"/>
  <c r="M29" i="46"/>
  <c r="L29" i="46"/>
  <c r="M28" i="46"/>
  <c r="L28" i="46"/>
  <c r="M27" i="46"/>
  <c r="L27" i="46"/>
  <c r="M26" i="46"/>
  <c r="L26" i="46"/>
  <c r="M25" i="46"/>
  <c r="L25" i="46"/>
  <c r="M24" i="46"/>
  <c r="L24" i="46"/>
  <c r="M23" i="46"/>
  <c r="L23" i="46"/>
  <c r="M22" i="46"/>
  <c r="L22" i="46"/>
  <c r="M20" i="46"/>
  <c r="L20" i="46"/>
  <c r="M19" i="46"/>
  <c r="L19" i="46"/>
  <c r="M18" i="46"/>
  <c r="L18" i="46"/>
  <c r="M17" i="46"/>
  <c r="L17" i="46"/>
  <c r="M16" i="46"/>
  <c r="L16" i="46"/>
  <c r="M15" i="46"/>
  <c r="L15" i="46"/>
  <c r="M14" i="46"/>
  <c r="L14" i="46"/>
  <c r="M12" i="46"/>
  <c r="L12" i="46"/>
  <c r="M137" i="42"/>
  <c r="L137" i="42"/>
  <c r="M136" i="42"/>
  <c r="L136" i="42"/>
  <c r="M135" i="42"/>
  <c r="L135" i="42"/>
  <c r="M134" i="42"/>
  <c r="L134" i="42"/>
  <c r="M133" i="42"/>
  <c r="L133" i="42"/>
  <c r="M132" i="42"/>
  <c r="L132" i="42"/>
  <c r="M131" i="42"/>
  <c r="L131" i="42"/>
  <c r="M130" i="42"/>
  <c r="L130" i="42"/>
  <c r="M129" i="42"/>
  <c r="L129" i="42"/>
  <c r="M128" i="42"/>
  <c r="L128" i="42"/>
  <c r="M126" i="42"/>
  <c r="L126" i="42"/>
  <c r="M125" i="42"/>
  <c r="L125" i="42"/>
  <c r="M124" i="42"/>
  <c r="L124" i="42"/>
  <c r="M123" i="42"/>
  <c r="L123" i="42"/>
  <c r="M122" i="42"/>
  <c r="L122" i="42"/>
  <c r="M121" i="42"/>
  <c r="L121" i="42"/>
  <c r="M120" i="42"/>
  <c r="L120" i="42"/>
  <c r="M119" i="42"/>
  <c r="L119" i="42"/>
  <c r="M118" i="42"/>
  <c r="L118" i="42"/>
  <c r="M117" i="42"/>
  <c r="L117" i="42"/>
  <c r="M116" i="42"/>
  <c r="L116" i="42"/>
  <c r="M115" i="42"/>
  <c r="L115" i="42"/>
  <c r="M114" i="42"/>
  <c r="L114" i="42"/>
  <c r="M113" i="42"/>
  <c r="L113" i="42"/>
  <c r="M112" i="42"/>
  <c r="L112" i="42"/>
  <c r="M111" i="42"/>
  <c r="L111" i="42"/>
  <c r="M110" i="42"/>
  <c r="L110" i="42"/>
  <c r="M109" i="42"/>
  <c r="L109" i="42"/>
  <c r="M108" i="42"/>
  <c r="L108" i="42"/>
  <c r="M107" i="42"/>
  <c r="L107" i="42"/>
  <c r="M106" i="42"/>
  <c r="L106" i="42"/>
  <c r="M105" i="42"/>
  <c r="L105" i="42"/>
  <c r="M104" i="42"/>
  <c r="L104" i="42"/>
  <c r="M103" i="42"/>
  <c r="L103" i="42"/>
  <c r="M102" i="42"/>
  <c r="L102" i="42"/>
  <c r="M101" i="42"/>
  <c r="L101" i="42"/>
  <c r="M100" i="42"/>
  <c r="L100" i="42"/>
  <c r="M99" i="42"/>
  <c r="L99" i="42"/>
  <c r="M98" i="42"/>
  <c r="L98" i="42"/>
  <c r="M97" i="42"/>
  <c r="L97" i="42"/>
  <c r="M96" i="42"/>
  <c r="L96" i="42"/>
  <c r="M95" i="42"/>
  <c r="L95" i="42"/>
  <c r="M94" i="42"/>
  <c r="L94" i="42"/>
  <c r="M93" i="42"/>
  <c r="L93" i="42"/>
  <c r="M92" i="42"/>
  <c r="L92" i="42"/>
  <c r="M91" i="42"/>
  <c r="L91" i="42"/>
  <c r="M90" i="42"/>
  <c r="L90" i="42"/>
  <c r="M89" i="42"/>
  <c r="L89" i="42"/>
  <c r="M87" i="42"/>
  <c r="L87" i="42"/>
  <c r="M86" i="42"/>
  <c r="L86" i="42"/>
  <c r="M85" i="42"/>
  <c r="L85" i="42"/>
  <c r="M84" i="42"/>
  <c r="L84" i="42"/>
  <c r="M83" i="42"/>
  <c r="L83" i="42"/>
  <c r="M82" i="42"/>
  <c r="L82" i="42"/>
  <c r="M81" i="42"/>
  <c r="L81" i="42"/>
  <c r="M80" i="42"/>
  <c r="L80" i="42"/>
  <c r="M79" i="42"/>
  <c r="L79" i="42"/>
  <c r="M78" i="42"/>
  <c r="L78" i="42"/>
  <c r="M77" i="42"/>
  <c r="L77" i="42"/>
  <c r="M76" i="42"/>
  <c r="L76" i="42"/>
  <c r="M75" i="42"/>
  <c r="L75" i="42"/>
  <c r="M74" i="42"/>
  <c r="L74" i="42"/>
  <c r="M73" i="42"/>
  <c r="L73" i="42"/>
  <c r="M72" i="42"/>
  <c r="L72" i="42"/>
  <c r="M71" i="42"/>
  <c r="L71" i="42"/>
  <c r="M70" i="42"/>
  <c r="L70" i="42"/>
  <c r="M69" i="42"/>
  <c r="L69" i="42"/>
  <c r="M68" i="42"/>
  <c r="L68" i="42"/>
  <c r="M66" i="42"/>
  <c r="L66" i="42"/>
  <c r="M65" i="42"/>
  <c r="L65" i="42"/>
  <c r="M64" i="42"/>
  <c r="L64" i="42"/>
  <c r="M63" i="42"/>
  <c r="L63" i="42"/>
  <c r="M62" i="42"/>
  <c r="L62" i="42"/>
  <c r="M60" i="42"/>
  <c r="L60" i="42"/>
  <c r="M59" i="42"/>
  <c r="L59" i="42"/>
  <c r="M58" i="42"/>
  <c r="L58" i="42"/>
  <c r="M57" i="42"/>
  <c r="L57" i="42"/>
  <c r="M56" i="42"/>
  <c r="L56" i="42"/>
  <c r="M55" i="42"/>
  <c r="L55" i="42"/>
  <c r="M54" i="42"/>
  <c r="L54" i="42"/>
  <c r="M53" i="42"/>
  <c r="L53" i="42"/>
  <c r="M52" i="42"/>
  <c r="L52" i="42"/>
  <c r="M50" i="42"/>
  <c r="L50" i="42"/>
  <c r="M49" i="42"/>
  <c r="L49" i="42"/>
  <c r="M48" i="42"/>
  <c r="L48" i="42"/>
  <c r="M47" i="42"/>
  <c r="L47" i="42"/>
  <c r="M46" i="42"/>
  <c r="L46" i="42"/>
  <c r="M45" i="42"/>
  <c r="L45" i="42"/>
  <c r="M44" i="42"/>
  <c r="L44" i="42"/>
  <c r="M43" i="42"/>
  <c r="L43" i="42"/>
  <c r="M42" i="42"/>
  <c r="L42" i="42"/>
  <c r="M40" i="42"/>
  <c r="L40" i="42"/>
  <c r="M39" i="42"/>
  <c r="L39" i="42"/>
  <c r="M38" i="42"/>
  <c r="L38" i="42"/>
  <c r="M37" i="42"/>
  <c r="L37" i="42"/>
  <c r="M35" i="42"/>
  <c r="L35" i="42"/>
  <c r="M34" i="42"/>
  <c r="L34" i="42"/>
  <c r="M33" i="42"/>
  <c r="L33" i="42"/>
  <c r="M32" i="42"/>
  <c r="L32" i="42"/>
  <c r="M31" i="42"/>
  <c r="L31" i="42"/>
  <c r="M30" i="42"/>
  <c r="L30" i="42"/>
  <c r="M29" i="42"/>
  <c r="L29" i="42"/>
  <c r="M28" i="42"/>
  <c r="L28" i="42"/>
  <c r="M27" i="42"/>
  <c r="L27" i="42"/>
  <c r="M26" i="42"/>
  <c r="L26" i="42"/>
  <c r="M25" i="42"/>
  <c r="L25" i="42"/>
  <c r="M24" i="42"/>
  <c r="L24" i="42"/>
  <c r="M23" i="42"/>
  <c r="L23" i="42"/>
  <c r="M22" i="42"/>
  <c r="L22" i="42"/>
  <c r="M20" i="42"/>
  <c r="L20" i="42"/>
  <c r="M19" i="42"/>
  <c r="L19" i="42"/>
  <c r="M18" i="42"/>
  <c r="L18" i="42"/>
  <c r="M17" i="42"/>
  <c r="L17" i="42"/>
  <c r="M16" i="42"/>
  <c r="L16" i="42"/>
  <c r="M15" i="42"/>
  <c r="L15" i="42"/>
  <c r="M14" i="42"/>
  <c r="L14" i="42"/>
  <c r="M12" i="42"/>
  <c r="L12" i="42"/>
  <c r="E108" i="46" l="1"/>
  <c r="E107" i="46"/>
  <c r="E25" i="46"/>
  <c r="E37" i="46"/>
  <c r="Y7" i="10"/>
  <c r="G75" i="56" l="1"/>
  <c r="G74" i="56"/>
  <c r="G73" i="56"/>
  <c r="G72" i="56"/>
  <c r="E75" i="56"/>
  <c r="E74" i="56"/>
  <c r="E73" i="56"/>
  <c r="E72" i="56"/>
  <c r="C71" i="56"/>
  <c r="G22" i="50"/>
  <c r="G21" i="50"/>
  <c r="G20" i="50"/>
  <c r="G19" i="50"/>
  <c r="G18" i="50"/>
  <c r="G17" i="50"/>
  <c r="G16" i="50"/>
  <c r="G14" i="50"/>
  <c r="AA11" i="7" l="1"/>
  <c r="W11" i="7"/>
  <c r="H11" i="58"/>
  <c r="G16" i="58"/>
  <c r="H16" i="58"/>
  <c r="G22" i="58"/>
  <c r="H22" i="58"/>
  <c r="F22" i="58"/>
  <c r="F16" i="58"/>
  <c r="F11" i="58"/>
  <c r="O12" i="57"/>
  <c r="O11" i="57"/>
  <c r="O10" i="57"/>
  <c r="O9" i="57"/>
  <c r="Q10" i="57"/>
  <c r="L10" i="57"/>
  <c r="J10" i="57"/>
  <c r="J11" i="57"/>
  <c r="L11" i="57" s="1"/>
  <c r="Q11" i="57" s="1"/>
  <c r="J12" i="57"/>
  <c r="L12" i="57" s="1"/>
  <c r="Q12" i="57" s="1"/>
  <c r="J9" i="57"/>
  <c r="L9" i="57" s="1"/>
  <c r="Q9" i="57" s="1"/>
  <c r="L3" i="10"/>
  <c r="M3" i="10" s="1"/>
  <c r="E6" i="10"/>
  <c r="I6" i="10" s="1"/>
  <c r="D6" i="10"/>
  <c r="H6" i="10" s="1"/>
  <c r="L5" i="10"/>
  <c r="L6" i="10"/>
  <c r="L4" i="10"/>
  <c r="M4" i="10" s="1"/>
  <c r="Z4" i="10" s="1"/>
  <c r="C6" i="10"/>
  <c r="R3" i="10" l="1"/>
  <c r="V3" i="10" s="1"/>
  <c r="Z3" i="10"/>
  <c r="G6" i="10"/>
  <c r="N14" i="57"/>
  <c r="T6" i="10" l="1"/>
  <c r="X6" i="10"/>
  <c r="N18" i="57"/>
  <c r="J132" i="39" l="1"/>
  <c r="J131" i="39"/>
  <c r="J130" i="39"/>
  <c r="J129" i="39"/>
  <c r="J128" i="39"/>
  <c r="J127" i="39"/>
  <c r="J126" i="39"/>
  <c r="J125" i="39"/>
  <c r="J124" i="39"/>
  <c r="J123" i="39"/>
  <c r="J121" i="39"/>
  <c r="J120" i="39"/>
  <c r="J119" i="39"/>
  <c r="J118" i="39"/>
  <c r="J117" i="39"/>
  <c r="J116" i="39"/>
  <c r="J115" i="39"/>
  <c r="J114" i="39"/>
  <c r="J113" i="39"/>
  <c r="J112" i="39"/>
  <c r="J111" i="39"/>
  <c r="J110" i="39"/>
  <c r="J109" i="39"/>
  <c r="J108" i="39"/>
  <c r="J107" i="39"/>
  <c r="J106" i="39"/>
  <c r="J105" i="39"/>
  <c r="J104" i="39"/>
  <c r="J103" i="39"/>
  <c r="J102" i="39"/>
  <c r="J101" i="39"/>
  <c r="J100" i="39"/>
  <c r="J99" i="39"/>
  <c r="J98" i="39"/>
  <c r="J97" i="39"/>
  <c r="J96" i="39"/>
  <c r="J95" i="39"/>
  <c r="J94" i="39"/>
  <c r="J93" i="39"/>
  <c r="J92" i="39"/>
  <c r="J91" i="39"/>
  <c r="J90" i="39"/>
  <c r="J89" i="39"/>
  <c r="J88" i="39"/>
  <c r="J87" i="39"/>
  <c r="J86" i="39"/>
  <c r="J85" i="39"/>
  <c r="J84" i="39"/>
  <c r="J82" i="39"/>
  <c r="J81" i="39"/>
  <c r="J80" i="39"/>
  <c r="J69" i="39"/>
  <c r="J68" i="39"/>
  <c r="J67" i="39"/>
  <c r="J66" i="39"/>
  <c r="J65" i="39"/>
  <c r="J64" i="39"/>
  <c r="J63" i="39"/>
  <c r="J61" i="39"/>
  <c r="J60" i="39"/>
  <c r="J59" i="39"/>
  <c r="J58" i="39"/>
  <c r="J57" i="39"/>
  <c r="J55" i="39"/>
  <c r="J54" i="39"/>
  <c r="J53" i="39"/>
  <c r="J52" i="39"/>
  <c r="J51" i="39"/>
  <c r="J50" i="39"/>
  <c r="J49" i="39"/>
  <c r="J48" i="39"/>
  <c r="J47" i="39"/>
  <c r="J45" i="39"/>
  <c r="J44" i="39"/>
  <c r="J43" i="39"/>
  <c r="J42" i="39"/>
  <c r="J41" i="39"/>
  <c r="J40" i="39"/>
  <c r="J39" i="39"/>
  <c r="J38" i="39"/>
  <c r="J37" i="39"/>
  <c r="J35" i="39"/>
  <c r="J34" i="39"/>
  <c r="J33" i="39"/>
  <c r="J32" i="39"/>
  <c r="J30" i="39"/>
  <c r="J29" i="39"/>
  <c r="J28" i="39"/>
  <c r="J27" i="39"/>
  <c r="J26" i="39"/>
  <c r="J25" i="39"/>
  <c r="J24" i="39"/>
  <c r="J23" i="39"/>
  <c r="J22" i="39"/>
  <c r="J21" i="39"/>
  <c r="J20" i="39"/>
  <c r="J19" i="39"/>
  <c r="J18" i="39"/>
  <c r="J17" i="39"/>
  <c r="J15" i="39"/>
  <c r="J14" i="39"/>
  <c r="J13" i="39"/>
  <c r="J12" i="39"/>
  <c r="J11" i="39"/>
  <c r="J10" i="39"/>
  <c r="J9" i="39"/>
  <c r="J79" i="39"/>
  <c r="J78" i="39"/>
  <c r="J77" i="39"/>
  <c r="J76" i="39"/>
  <c r="J75" i="39"/>
  <c r="J74" i="39"/>
  <c r="J73" i="39"/>
  <c r="J72" i="39"/>
  <c r="J71" i="39"/>
  <c r="J70" i="39"/>
  <c r="J7" i="39"/>
  <c r="AW11" i="7"/>
  <c r="AS11" i="7"/>
  <c r="AO11" i="7"/>
  <c r="AK11" i="7"/>
  <c r="AE11" i="7"/>
  <c r="AA13" i="9"/>
  <c r="AC13" i="9"/>
  <c r="F4" i="9"/>
  <c r="G4" i="9" s="1"/>
  <c r="I4" i="9" s="1"/>
  <c r="F5" i="9"/>
  <c r="F6" i="9"/>
  <c r="F3" i="9"/>
  <c r="H60" i="34"/>
  <c r="D60" i="64" s="1"/>
  <c r="H59" i="34"/>
  <c r="H58" i="34"/>
  <c r="D58" i="64" s="1"/>
  <c r="H57" i="34"/>
  <c r="D57" i="64" s="1"/>
  <c r="H56" i="34"/>
  <c r="D56" i="64" s="1"/>
  <c r="H55" i="34"/>
  <c r="H54" i="34"/>
  <c r="H53" i="34"/>
  <c r="D53" i="64" s="1"/>
  <c r="H52" i="34"/>
  <c r="H51" i="34"/>
  <c r="D51" i="64" s="1"/>
  <c r="H87" i="34"/>
  <c r="H86" i="34"/>
  <c r="D85" i="64" s="1"/>
  <c r="H85" i="34"/>
  <c r="D84" i="64" s="1"/>
  <c r="H84" i="34"/>
  <c r="H83" i="34"/>
  <c r="D82" i="64" s="1"/>
  <c r="H82" i="34"/>
  <c r="D81" i="64" s="1"/>
  <c r="H81" i="34"/>
  <c r="D80" i="64" s="1"/>
  <c r="H80" i="34"/>
  <c r="H79" i="34"/>
  <c r="H78" i="34"/>
  <c r="D77" i="64" s="1"/>
  <c r="H77" i="34"/>
  <c r="H76" i="34"/>
  <c r="D75" i="64" s="1"/>
  <c r="E132" i="39"/>
  <c r="E131" i="39"/>
  <c r="E130" i="39"/>
  <c r="E129" i="39"/>
  <c r="E128" i="39"/>
  <c r="E127" i="39"/>
  <c r="E126" i="39"/>
  <c r="G126" i="39" s="1"/>
  <c r="H126" i="39" s="1"/>
  <c r="E125" i="39"/>
  <c r="G125" i="39" s="1"/>
  <c r="H125" i="39" s="1"/>
  <c r="L130" i="44" s="1"/>
  <c r="E124" i="39"/>
  <c r="E123" i="39"/>
  <c r="E61" i="39"/>
  <c r="E60" i="39"/>
  <c r="G60" i="39" s="1"/>
  <c r="H60" i="39" s="1"/>
  <c r="E59" i="39"/>
  <c r="E58" i="39"/>
  <c r="G58" i="39" s="1"/>
  <c r="H58" i="39" s="1"/>
  <c r="E57" i="39"/>
  <c r="E53" i="39"/>
  <c r="G53" i="39" s="1"/>
  <c r="H53" i="39" s="1"/>
  <c r="G127" i="39"/>
  <c r="H127" i="39" s="1"/>
  <c r="E121" i="39"/>
  <c r="G121" i="39" s="1"/>
  <c r="H121" i="39" s="1"/>
  <c r="E120" i="39"/>
  <c r="E119" i="39"/>
  <c r="E118" i="39"/>
  <c r="G118" i="39" s="1"/>
  <c r="H118" i="39" s="1"/>
  <c r="E117" i="39"/>
  <c r="G117" i="39" s="1"/>
  <c r="H117" i="39" s="1"/>
  <c r="E116" i="39"/>
  <c r="G116" i="39" s="1"/>
  <c r="H116" i="39" s="1"/>
  <c r="L121" i="44" s="1"/>
  <c r="E115" i="39"/>
  <c r="G115" i="39" s="1"/>
  <c r="H115" i="39" s="1"/>
  <c r="E114" i="39"/>
  <c r="G114" i="39" s="1"/>
  <c r="H114" i="39" s="1"/>
  <c r="E113" i="39"/>
  <c r="G113" i="39" s="1"/>
  <c r="H113" i="39" s="1"/>
  <c r="E112" i="39"/>
  <c r="E111" i="39"/>
  <c r="E110" i="39"/>
  <c r="E109" i="39"/>
  <c r="E108" i="39"/>
  <c r="G108" i="39" s="1"/>
  <c r="H108" i="39" s="1"/>
  <c r="L113" i="44" s="1"/>
  <c r="E107" i="39"/>
  <c r="G107" i="39" s="1"/>
  <c r="H107" i="39" s="1"/>
  <c r="L112" i="44" s="1"/>
  <c r="E106" i="39"/>
  <c r="G106" i="39" s="1"/>
  <c r="H106" i="39" s="1"/>
  <c r="E105" i="39"/>
  <c r="G105" i="39" s="1"/>
  <c r="H105" i="39" s="1"/>
  <c r="E104" i="39"/>
  <c r="G104" i="39" s="1"/>
  <c r="H104" i="39" s="1"/>
  <c r="E103" i="39"/>
  <c r="E102" i="39"/>
  <c r="E101" i="39"/>
  <c r="E100" i="39"/>
  <c r="G100" i="39" s="1"/>
  <c r="H100" i="39" s="1"/>
  <c r="E99" i="39"/>
  <c r="G99" i="39" s="1"/>
  <c r="H99" i="39" s="1"/>
  <c r="E98" i="39"/>
  <c r="G98" i="39" s="1"/>
  <c r="H98" i="39" s="1"/>
  <c r="E97" i="39"/>
  <c r="E96" i="39"/>
  <c r="E95" i="39"/>
  <c r="E94" i="39"/>
  <c r="E93" i="39"/>
  <c r="E92" i="39"/>
  <c r="G92" i="39" s="1"/>
  <c r="H92" i="39" s="1"/>
  <c r="E91" i="39"/>
  <c r="G91" i="39" s="1"/>
  <c r="H91" i="39" s="1"/>
  <c r="E90" i="39"/>
  <c r="G90" i="39" s="1"/>
  <c r="H90" i="39" s="1"/>
  <c r="E89" i="39"/>
  <c r="G89" i="39" s="1"/>
  <c r="H89" i="39" s="1"/>
  <c r="E88" i="39"/>
  <c r="E87" i="39"/>
  <c r="E86" i="39"/>
  <c r="G86" i="39" s="1"/>
  <c r="H86" i="39" s="1"/>
  <c r="E85" i="39"/>
  <c r="E84" i="39"/>
  <c r="G84" i="39" s="1"/>
  <c r="H84" i="39" s="1"/>
  <c r="E82" i="39"/>
  <c r="E81" i="39"/>
  <c r="E80" i="39"/>
  <c r="G80" i="39" s="1"/>
  <c r="H80" i="39" s="1"/>
  <c r="E79" i="39"/>
  <c r="G79" i="39" s="1"/>
  <c r="H79" i="39" s="1"/>
  <c r="E78" i="39"/>
  <c r="G78" i="39" s="1"/>
  <c r="H78" i="39" s="1"/>
  <c r="E77" i="39"/>
  <c r="G77" i="39" s="1"/>
  <c r="H77" i="39" s="1"/>
  <c r="L82" i="44" s="1"/>
  <c r="E76" i="39"/>
  <c r="G76" i="39" s="1"/>
  <c r="H76" i="39" s="1"/>
  <c r="E75" i="39"/>
  <c r="G75" i="39" s="1"/>
  <c r="H75" i="39" s="1"/>
  <c r="E74" i="39"/>
  <c r="G74" i="39" s="1"/>
  <c r="H74" i="39" s="1"/>
  <c r="L79" i="44" s="1"/>
  <c r="E73" i="39"/>
  <c r="E72" i="39"/>
  <c r="G72" i="39" s="1"/>
  <c r="H72" i="39" s="1"/>
  <c r="E71" i="39"/>
  <c r="E70" i="39"/>
  <c r="G70" i="39" s="1"/>
  <c r="H70" i="39" s="1"/>
  <c r="E69" i="39"/>
  <c r="G69" i="39" s="1"/>
  <c r="H69" i="39" s="1"/>
  <c r="L74" i="44" s="1"/>
  <c r="E68" i="39"/>
  <c r="G68" i="39" s="1"/>
  <c r="H68" i="39" s="1"/>
  <c r="E67" i="39"/>
  <c r="G67" i="39" s="1"/>
  <c r="H67" i="39" s="1"/>
  <c r="E66" i="39"/>
  <c r="E65" i="39"/>
  <c r="E64" i="39"/>
  <c r="G64" i="39" s="1"/>
  <c r="H64" i="39" s="1"/>
  <c r="E63" i="39"/>
  <c r="G63" i="39" s="1"/>
  <c r="H63" i="39" s="1"/>
  <c r="E55" i="39"/>
  <c r="G55" i="39" s="1"/>
  <c r="H55" i="39" s="1"/>
  <c r="E54" i="39"/>
  <c r="G54" i="39" s="1"/>
  <c r="H54" i="39" s="1"/>
  <c r="E52" i="39"/>
  <c r="E51" i="39"/>
  <c r="E50" i="39"/>
  <c r="G50" i="39" s="1"/>
  <c r="H50" i="39" s="1"/>
  <c r="E49" i="39"/>
  <c r="G49" i="39" s="1"/>
  <c r="H49" i="39" s="1"/>
  <c r="E48" i="39"/>
  <c r="G48" i="39" s="1"/>
  <c r="H48" i="39" s="1"/>
  <c r="E47" i="39"/>
  <c r="G47" i="39" s="1"/>
  <c r="H47" i="39" s="1"/>
  <c r="E45" i="39"/>
  <c r="G45" i="39" s="1"/>
  <c r="H45" i="39" s="1"/>
  <c r="E44" i="39"/>
  <c r="G44" i="39" s="1"/>
  <c r="H44" i="39" s="1"/>
  <c r="E43" i="39"/>
  <c r="E42" i="39"/>
  <c r="E41" i="39"/>
  <c r="E40" i="39"/>
  <c r="G40" i="39" s="1"/>
  <c r="H40" i="39" s="1"/>
  <c r="E39" i="39"/>
  <c r="E38" i="39"/>
  <c r="G38" i="39" s="1"/>
  <c r="H38" i="39" s="1"/>
  <c r="E37" i="39"/>
  <c r="G37" i="39" s="1"/>
  <c r="H37" i="39" s="1"/>
  <c r="E35" i="39"/>
  <c r="E34" i="39"/>
  <c r="E33" i="39"/>
  <c r="G33" i="39" s="1"/>
  <c r="H33" i="39" s="1"/>
  <c r="E32" i="39"/>
  <c r="G32" i="39" s="1"/>
  <c r="H32" i="39" s="1"/>
  <c r="E30" i="39"/>
  <c r="E29" i="39"/>
  <c r="E28" i="39"/>
  <c r="E27" i="39"/>
  <c r="G27" i="39" s="1"/>
  <c r="H27" i="39" s="1"/>
  <c r="E26" i="39"/>
  <c r="G26" i="39" s="1"/>
  <c r="H26" i="39" s="1"/>
  <c r="E25" i="39"/>
  <c r="G25" i="39" s="1"/>
  <c r="H25" i="39" s="1"/>
  <c r="E24" i="39"/>
  <c r="G24" i="39" s="1"/>
  <c r="H24" i="39" s="1"/>
  <c r="L29" i="44" s="1"/>
  <c r="E23" i="39"/>
  <c r="G23" i="39" s="1"/>
  <c r="H23" i="39" s="1"/>
  <c r="E22" i="39"/>
  <c r="E21" i="39"/>
  <c r="E20" i="39"/>
  <c r="G20" i="39" s="1"/>
  <c r="H20" i="39" s="1"/>
  <c r="L25" i="44" s="1"/>
  <c r="E19" i="39"/>
  <c r="E18" i="39"/>
  <c r="E17" i="39"/>
  <c r="G17" i="39" s="1"/>
  <c r="H17" i="39" s="1"/>
  <c r="E15" i="39"/>
  <c r="G15" i="39" s="1"/>
  <c r="H15" i="39" s="1"/>
  <c r="E14" i="39"/>
  <c r="G14" i="39" s="1"/>
  <c r="H14" i="39" s="1"/>
  <c r="E13" i="39"/>
  <c r="G13" i="39" s="1"/>
  <c r="H13" i="39" s="1"/>
  <c r="E12" i="39"/>
  <c r="E11" i="39"/>
  <c r="E10" i="39"/>
  <c r="G10" i="39" s="1"/>
  <c r="H10" i="39" s="1"/>
  <c r="E9" i="39"/>
  <c r="E7" i="39"/>
  <c r="G132" i="39"/>
  <c r="H132" i="39" s="1"/>
  <c r="G131" i="39"/>
  <c r="H131" i="39" s="1"/>
  <c r="G130" i="39"/>
  <c r="H130" i="39" s="1"/>
  <c r="G129" i="39"/>
  <c r="H129" i="39" s="1"/>
  <c r="G128" i="39"/>
  <c r="H128" i="39" s="1"/>
  <c r="G124" i="39"/>
  <c r="H124" i="39" s="1"/>
  <c r="G123" i="39"/>
  <c r="H123" i="39" s="1"/>
  <c r="G120" i="39"/>
  <c r="H120" i="39" s="1"/>
  <c r="G119" i="39"/>
  <c r="H119" i="39" s="1"/>
  <c r="G112" i="39"/>
  <c r="H112" i="39" s="1"/>
  <c r="G111" i="39"/>
  <c r="H111" i="39" s="1"/>
  <c r="L116" i="44" s="1"/>
  <c r="G110" i="39"/>
  <c r="H110" i="39" s="1"/>
  <c r="G109" i="39"/>
  <c r="H109" i="39" s="1"/>
  <c r="G103" i="39"/>
  <c r="H103" i="39" s="1"/>
  <c r="L108" i="44" s="1"/>
  <c r="G102" i="39"/>
  <c r="H102" i="39" s="1"/>
  <c r="G101" i="39"/>
  <c r="H101" i="39" s="1"/>
  <c r="G97" i="39"/>
  <c r="H97" i="39" s="1"/>
  <c r="G96" i="39"/>
  <c r="H96" i="39" s="1"/>
  <c r="G95" i="39"/>
  <c r="H95" i="39" s="1"/>
  <c r="G94" i="39"/>
  <c r="H94" i="39" s="1"/>
  <c r="G93" i="39"/>
  <c r="H93" i="39" s="1"/>
  <c r="G88" i="39"/>
  <c r="H88" i="39" s="1"/>
  <c r="G87" i="39"/>
  <c r="H87" i="39" s="1"/>
  <c r="G85" i="39"/>
  <c r="H85" i="39" s="1"/>
  <c r="G82" i="39"/>
  <c r="H82" i="39" s="1"/>
  <c r="G81" i="39"/>
  <c r="H81" i="39" s="1"/>
  <c r="G73" i="39"/>
  <c r="H73" i="39" s="1"/>
  <c r="L78" i="44" s="1"/>
  <c r="G71" i="39"/>
  <c r="H71" i="39" s="1"/>
  <c r="G66" i="39"/>
  <c r="H66" i="39" s="1"/>
  <c r="L71" i="44" s="1"/>
  <c r="G65" i="39"/>
  <c r="H65" i="39" s="1"/>
  <c r="L70" i="44" s="1"/>
  <c r="G61" i="39"/>
  <c r="H61" i="39" s="1"/>
  <c r="L66" i="44" s="1"/>
  <c r="G59" i="39"/>
  <c r="H59" i="39" s="1"/>
  <c r="G57" i="39"/>
  <c r="H57" i="39" s="1"/>
  <c r="G52" i="39"/>
  <c r="H52" i="39" s="1"/>
  <c r="L57" i="44" s="1"/>
  <c r="G51" i="39"/>
  <c r="H51" i="39" s="1"/>
  <c r="G43" i="39"/>
  <c r="H43" i="39" s="1"/>
  <c r="G42" i="39"/>
  <c r="H42" i="39" s="1"/>
  <c r="G41" i="39"/>
  <c r="H41" i="39" s="1"/>
  <c r="G39" i="39"/>
  <c r="H39" i="39" s="1"/>
  <c r="L44" i="44" s="1"/>
  <c r="G35" i="39"/>
  <c r="H35" i="39" s="1"/>
  <c r="G34" i="39"/>
  <c r="H34" i="39" s="1"/>
  <c r="G30" i="39"/>
  <c r="H30" i="39" s="1"/>
  <c r="L35" i="44" s="1"/>
  <c r="G29" i="39"/>
  <c r="H29" i="39" s="1"/>
  <c r="G28" i="39"/>
  <c r="H28" i="39" s="1"/>
  <c r="L33" i="44" s="1"/>
  <c r="G22" i="39"/>
  <c r="H22" i="39" s="1"/>
  <c r="G21" i="39"/>
  <c r="H21" i="39" s="1"/>
  <c r="G19" i="39"/>
  <c r="H19" i="39" s="1"/>
  <c r="G18" i="39"/>
  <c r="H18" i="39" s="1"/>
  <c r="G12" i="39"/>
  <c r="H12" i="39" s="1"/>
  <c r="L17" i="44" s="1"/>
  <c r="G11" i="39"/>
  <c r="H11" i="39" s="1"/>
  <c r="G9" i="39"/>
  <c r="H9" i="39" s="1"/>
  <c r="F18" i="55"/>
  <c r="F17" i="55"/>
  <c r="F16" i="55"/>
  <c r="F15" i="55"/>
  <c r="F14" i="55"/>
  <c r="F13" i="55"/>
  <c r="F12" i="55"/>
  <c r="F11" i="55"/>
  <c r="F10" i="55"/>
  <c r="F9" i="55"/>
  <c r="F8" i="55"/>
  <c r="F7" i="55"/>
  <c r="F6" i="55"/>
  <c r="F5" i="55"/>
  <c r="F4" i="55"/>
  <c r="F3" i="55"/>
  <c r="E18" i="55"/>
  <c r="E17" i="55"/>
  <c r="E16" i="55"/>
  <c r="E15" i="55"/>
  <c r="E14" i="55"/>
  <c r="E13" i="55"/>
  <c r="E12" i="55"/>
  <c r="E11" i="55"/>
  <c r="E10" i="55"/>
  <c r="E9" i="55"/>
  <c r="E8" i="55"/>
  <c r="E7" i="55"/>
  <c r="E6" i="55"/>
  <c r="E5" i="55"/>
  <c r="E4" i="55"/>
  <c r="E3" i="55"/>
  <c r="G24" i="50"/>
  <c r="G25" i="50"/>
  <c r="G26" i="50"/>
  <c r="G27" i="50"/>
  <c r="G28" i="50"/>
  <c r="G29" i="50"/>
  <c r="G30" i="50"/>
  <c r="G31" i="50"/>
  <c r="G32" i="50"/>
  <c r="G33" i="50"/>
  <c r="G34" i="50"/>
  <c r="G35" i="50"/>
  <c r="G36" i="50"/>
  <c r="G37" i="50"/>
  <c r="G39" i="50"/>
  <c r="G40" i="50"/>
  <c r="G41" i="50"/>
  <c r="G42" i="50"/>
  <c r="G44" i="50"/>
  <c r="G45" i="50"/>
  <c r="G46" i="50"/>
  <c r="G47" i="50"/>
  <c r="G48" i="50"/>
  <c r="G49" i="50"/>
  <c r="G50" i="50"/>
  <c r="G51" i="50"/>
  <c r="G52" i="50"/>
  <c r="G54" i="50"/>
  <c r="G55" i="50"/>
  <c r="G56" i="50"/>
  <c r="G57" i="50"/>
  <c r="G58" i="50"/>
  <c r="G59" i="50"/>
  <c r="G60" i="50"/>
  <c r="G61" i="50"/>
  <c r="G62" i="50"/>
  <c r="G64" i="50"/>
  <c r="G65" i="50"/>
  <c r="G66" i="50"/>
  <c r="G67" i="50"/>
  <c r="G68" i="50"/>
  <c r="G70" i="50"/>
  <c r="G71" i="50"/>
  <c r="G72" i="50"/>
  <c r="G73" i="50"/>
  <c r="G74" i="50"/>
  <c r="G75" i="50"/>
  <c r="G76" i="50"/>
  <c r="G77" i="50"/>
  <c r="G78" i="50"/>
  <c r="G79" i="50"/>
  <c r="G80" i="50"/>
  <c r="G81" i="50"/>
  <c r="G82" i="50"/>
  <c r="G83" i="50"/>
  <c r="G84" i="50"/>
  <c r="G85" i="50"/>
  <c r="G86" i="50"/>
  <c r="G87" i="50"/>
  <c r="G88" i="50"/>
  <c r="G89" i="50"/>
  <c r="G91" i="50"/>
  <c r="G92" i="50"/>
  <c r="G93" i="50"/>
  <c r="G94" i="50"/>
  <c r="G95" i="50"/>
  <c r="G96" i="50"/>
  <c r="G97" i="50"/>
  <c r="G98" i="50"/>
  <c r="G99" i="50"/>
  <c r="G100" i="50"/>
  <c r="G101" i="50"/>
  <c r="G102" i="50"/>
  <c r="G103" i="50"/>
  <c r="G104" i="50"/>
  <c r="G105" i="50"/>
  <c r="G106" i="50"/>
  <c r="G107" i="50"/>
  <c r="G108" i="50"/>
  <c r="G109" i="50"/>
  <c r="G110" i="50"/>
  <c r="G111" i="50"/>
  <c r="G112" i="50"/>
  <c r="G113" i="50"/>
  <c r="G114" i="50"/>
  <c r="G115" i="50"/>
  <c r="G116" i="50"/>
  <c r="G117" i="50"/>
  <c r="G118" i="50"/>
  <c r="G119" i="50"/>
  <c r="G120" i="50"/>
  <c r="G121" i="50"/>
  <c r="G122" i="50"/>
  <c r="G123" i="50"/>
  <c r="G124" i="50"/>
  <c r="G125" i="50"/>
  <c r="G126" i="50"/>
  <c r="G127" i="50"/>
  <c r="G128" i="50"/>
  <c r="G130" i="50"/>
  <c r="G131" i="50"/>
  <c r="G132" i="50"/>
  <c r="G133" i="50"/>
  <c r="G134" i="50"/>
  <c r="G141" i="50" s="1"/>
  <c r="G143" i="50" s="1"/>
  <c r="G135" i="50"/>
  <c r="G136" i="50"/>
  <c r="G137" i="50"/>
  <c r="G138" i="50"/>
  <c r="G139" i="50"/>
  <c r="G14" i="42"/>
  <c r="G15" i="42"/>
  <c r="G16" i="42"/>
  <c r="G17" i="42"/>
  <c r="G18" i="42"/>
  <c r="G19" i="42"/>
  <c r="G20" i="42"/>
  <c r="G22" i="42"/>
  <c r="E5" i="63" s="1"/>
  <c r="E6" i="63" s="1"/>
  <c r="E7" i="63" s="1"/>
  <c r="E8" i="63" s="1"/>
  <c r="E9" i="63" s="1"/>
  <c r="E10" i="63" s="1"/>
  <c r="E11" i="63" s="1"/>
  <c r="G23" i="42"/>
  <c r="L5" i="63" s="1"/>
  <c r="L6" i="63" s="1"/>
  <c r="L7" i="63" s="1"/>
  <c r="L8" i="63" s="1"/>
  <c r="L9" i="63" s="1"/>
  <c r="L10" i="63" s="1"/>
  <c r="L11" i="63" s="1"/>
  <c r="G24" i="42"/>
  <c r="G25" i="42"/>
  <c r="G26" i="42"/>
  <c r="G27" i="42"/>
  <c r="G28" i="42"/>
  <c r="G29" i="42"/>
  <c r="G30" i="42"/>
  <c r="G31" i="42"/>
  <c r="G32" i="42"/>
  <c r="G33" i="42"/>
  <c r="G34" i="42"/>
  <c r="G35" i="42"/>
  <c r="G37" i="42"/>
  <c r="G38" i="42"/>
  <c r="G39" i="42"/>
  <c r="G40" i="42"/>
  <c r="G42" i="42"/>
  <c r="G43" i="42"/>
  <c r="G44" i="42"/>
  <c r="G45" i="42"/>
  <c r="G46" i="42"/>
  <c r="G47" i="42"/>
  <c r="G48" i="42"/>
  <c r="G49" i="42"/>
  <c r="G50" i="42"/>
  <c r="G52" i="42"/>
  <c r="G53" i="42"/>
  <c r="G54" i="42"/>
  <c r="G55" i="42"/>
  <c r="G56" i="42"/>
  <c r="G57" i="42"/>
  <c r="G58" i="42"/>
  <c r="G59" i="42"/>
  <c r="G60" i="42"/>
  <c r="G62" i="42"/>
  <c r="G63" i="42"/>
  <c r="G64" i="42"/>
  <c r="G65" i="42"/>
  <c r="G66" i="42"/>
  <c r="G68" i="42"/>
  <c r="G69" i="42"/>
  <c r="T11" i="57" s="1"/>
  <c r="P11" i="57" s="1"/>
  <c r="G70" i="42"/>
  <c r="G71" i="42"/>
  <c r="G72" i="42"/>
  <c r="G73" i="42"/>
  <c r="G74" i="42"/>
  <c r="G75" i="42"/>
  <c r="G76" i="42"/>
  <c r="G77" i="42"/>
  <c r="G78" i="42"/>
  <c r="G79" i="42"/>
  <c r="G80" i="42"/>
  <c r="G81" i="42"/>
  <c r="G82" i="42"/>
  <c r="G83" i="42"/>
  <c r="G84" i="42"/>
  <c r="G85" i="42"/>
  <c r="G86" i="42"/>
  <c r="G87" i="42"/>
  <c r="G89" i="42"/>
  <c r="G90" i="42"/>
  <c r="G91" i="42"/>
  <c r="G92" i="42"/>
  <c r="G93" i="42"/>
  <c r="G94" i="42"/>
  <c r="G95" i="42"/>
  <c r="T12" i="57" s="1"/>
  <c r="P12" i="57" s="1"/>
  <c r="G96" i="42"/>
  <c r="G97" i="42"/>
  <c r="G98" i="42"/>
  <c r="G99" i="42"/>
  <c r="G100" i="42"/>
  <c r="G101" i="42"/>
  <c r="G102" i="42"/>
  <c r="G103" i="42"/>
  <c r="G104" i="42"/>
  <c r="G105" i="42"/>
  <c r="G106" i="42"/>
  <c r="G107" i="42"/>
  <c r="G108" i="42"/>
  <c r="G109" i="42"/>
  <c r="G110" i="42"/>
  <c r="G111" i="42"/>
  <c r="G112" i="42"/>
  <c r="G113" i="42"/>
  <c r="G114" i="42"/>
  <c r="G115" i="42"/>
  <c r="G116" i="42"/>
  <c r="G117" i="42"/>
  <c r="G118" i="42"/>
  <c r="G119" i="42"/>
  <c r="G120" i="42"/>
  <c r="G121" i="42"/>
  <c r="G122" i="42"/>
  <c r="G123" i="42"/>
  <c r="G124" i="42"/>
  <c r="G125" i="42"/>
  <c r="G126" i="42"/>
  <c r="G128" i="42"/>
  <c r="G129" i="42"/>
  <c r="G130" i="42"/>
  <c r="G131" i="42"/>
  <c r="G132" i="42"/>
  <c r="G133" i="42"/>
  <c r="G134" i="42"/>
  <c r="G135" i="42"/>
  <c r="G136" i="42"/>
  <c r="G137" i="42"/>
  <c r="G14" i="44"/>
  <c r="G15" i="44"/>
  <c r="G16" i="44"/>
  <c r="G17" i="44"/>
  <c r="G18" i="44"/>
  <c r="G19" i="44"/>
  <c r="G20" i="44"/>
  <c r="G22" i="44"/>
  <c r="G23" i="44"/>
  <c r="G24" i="44"/>
  <c r="G25" i="44"/>
  <c r="G26" i="44"/>
  <c r="G27" i="44"/>
  <c r="G28" i="44"/>
  <c r="G29" i="44"/>
  <c r="G30" i="44"/>
  <c r="G31" i="44"/>
  <c r="G32" i="44"/>
  <c r="G33" i="44"/>
  <c r="G34" i="44"/>
  <c r="G35" i="44"/>
  <c r="G37" i="44"/>
  <c r="G38" i="44"/>
  <c r="G39" i="44"/>
  <c r="G40" i="44"/>
  <c r="G42" i="44"/>
  <c r="G43" i="44"/>
  <c r="G44" i="44"/>
  <c r="G45" i="44"/>
  <c r="G46" i="44"/>
  <c r="G47" i="44"/>
  <c r="G48" i="44"/>
  <c r="G49" i="44"/>
  <c r="G50" i="44"/>
  <c r="G52" i="44"/>
  <c r="G53" i="44"/>
  <c r="G54" i="44"/>
  <c r="G55" i="44"/>
  <c r="G56" i="44"/>
  <c r="G57" i="44"/>
  <c r="G58" i="44"/>
  <c r="G59" i="44"/>
  <c r="G60" i="44"/>
  <c r="G62" i="44"/>
  <c r="G63" i="44"/>
  <c r="G64" i="44"/>
  <c r="G65" i="44"/>
  <c r="G66" i="44"/>
  <c r="G68" i="44"/>
  <c r="G69" i="44"/>
  <c r="G70" i="44"/>
  <c r="G71" i="44"/>
  <c r="G72" i="44"/>
  <c r="G73" i="44"/>
  <c r="G74" i="44"/>
  <c r="G75" i="44"/>
  <c r="G76" i="44"/>
  <c r="G77" i="44"/>
  <c r="G78" i="44"/>
  <c r="G79" i="44"/>
  <c r="G80" i="44"/>
  <c r="G81" i="44"/>
  <c r="G82" i="44"/>
  <c r="G83" i="44"/>
  <c r="G84" i="44"/>
  <c r="G85" i="44"/>
  <c r="G86" i="44"/>
  <c r="G87" i="44"/>
  <c r="G89" i="44"/>
  <c r="G90" i="44"/>
  <c r="G91" i="44"/>
  <c r="G92" i="44"/>
  <c r="G93" i="44"/>
  <c r="G94" i="44"/>
  <c r="G95" i="44"/>
  <c r="G96" i="44"/>
  <c r="G97" i="44"/>
  <c r="G98" i="44"/>
  <c r="G99" i="44"/>
  <c r="G100" i="44"/>
  <c r="G101" i="44"/>
  <c r="G102" i="44"/>
  <c r="G103" i="44"/>
  <c r="G104" i="44"/>
  <c r="G105" i="44"/>
  <c r="G106" i="44"/>
  <c r="G107" i="44"/>
  <c r="G108" i="44"/>
  <c r="G109" i="44"/>
  <c r="G110" i="44"/>
  <c r="G111" i="44"/>
  <c r="G112" i="44"/>
  <c r="G113" i="44"/>
  <c r="G114" i="44"/>
  <c r="G115" i="44"/>
  <c r="G116" i="44"/>
  <c r="G117" i="44"/>
  <c r="G118" i="44"/>
  <c r="G119" i="44"/>
  <c r="G120" i="44"/>
  <c r="G121" i="44"/>
  <c r="G122" i="44"/>
  <c r="G123" i="44"/>
  <c r="G124" i="44"/>
  <c r="G125" i="44"/>
  <c r="G126" i="44"/>
  <c r="G128" i="44"/>
  <c r="G129" i="44"/>
  <c r="G130" i="44"/>
  <c r="G131" i="44"/>
  <c r="G132" i="44"/>
  <c r="G133" i="44"/>
  <c r="G134" i="44"/>
  <c r="G135" i="44"/>
  <c r="G136" i="44"/>
  <c r="G137" i="44"/>
  <c r="G14" i="46"/>
  <c r="G15" i="46"/>
  <c r="G16" i="46"/>
  <c r="G17" i="46"/>
  <c r="G18" i="46"/>
  <c r="G19" i="46"/>
  <c r="G20" i="46"/>
  <c r="G22" i="46"/>
  <c r="G23" i="46"/>
  <c r="G24" i="46"/>
  <c r="G25" i="46"/>
  <c r="G26" i="46"/>
  <c r="G27" i="46"/>
  <c r="G28" i="46"/>
  <c r="G29" i="46"/>
  <c r="G30" i="46"/>
  <c r="G31" i="46"/>
  <c r="G32" i="46"/>
  <c r="G33" i="46"/>
  <c r="G34" i="46"/>
  <c r="G35" i="46"/>
  <c r="G37" i="46"/>
  <c r="G38" i="46"/>
  <c r="G39" i="46"/>
  <c r="G40" i="46"/>
  <c r="G42" i="46"/>
  <c r="G43" i="46"/>
  <c r="G44" i="46"/>
  <c r="G45" i="46"/>
  <c r="G46" i="46"/>
  <c r="G47" i="46"/>
  <c r="G48" i="46"/>
  <c r="G49" i="46"/>
  <c r="G50" i="46"/>
  <c r="G52" i="46"/>
  <c r="G53" i="46"/>
  <c r="G54" i="46"/>
  <c r="G55" i="46"/>
  <c r="G56" i="46"/>
  <c r="G57" i="46"/>
  <c r="G58" i="46"/>
  <c r="G59" i="46"/>
  <c r="G60" i="46"/>
  <c r="G62" i="46"/>
  <c r="G63" i="46"/>
  <c r="G64" i="46"/>
  <c r="G65" i="46"/>
  <c r="G66" i="46"/>
  <c r="G68" i="46"/>
  <c r="G69" i="46"/>
  <c r="G70" i="46"/>
  <c r="G71" i="46"/>
  <c r="G72" i="46"/>
  <c r="G73" i="46"/>
  <c r="G74" i="46"/>
  <c r="G75" i="46"/>
  <c r="G76" i="46"/>
  <c r="G77" i="46"/>
  <c r="G78" i="46"/>
  <c r="G79" i="46"/>
  <c r="G80" i="46"/>
  <c r="G81" i="46"/>
  <c r="G82" i="46"/>
  <c r="G83" i="46"/>
  <c r="G84" i="46"/>
  <c r="G85" i="46"/>
  <c r="G86" i="46"/>
  <c r="G87" i="46"/>
  <c r="G89" i="46"/>
  <c r="G90" i="46"/>
  <c r="G91" i="46"/>
  <c r="G92" i="46"/>
  <c r="G93" i="46"/>
  <c r="G94" i="46"/>
  <c r="G95" i="46"/>
  <c r="G96" i="46"/>
  <c r="G97" i="46"/>
  <c r="G98" i="46"/>
  <c r="G99" i="46"/>
  <c r="G100" i="46"/>
  <c r="G101" i="46"/>
  <c r="G102" i="46"/>
  <c r="G103" i="46"/>
  <c r="G104" i="46"/>
  <c r="G105" i="46"/>
  <c r="G106" i="46"/>
  <c r="G107" i="46"/>
  <c r="G108" i="46"/>
  <c r="G109" i="46"/>
  <c r="G110" i="46"/>
  <c r="G111" i="46"/>
  <c r="G112" i="46"/>
  <c r="G113" i="46"/>
  <c r="G114" i="46"/>
  <c r="G115" i="46"/>
  <c r="G116" i="46"/>
  <c r="G117" i="46"/>
  <c r="G118" i="46"/>
  <c r="G119" i="46"/>
  <c r="G120" i="46"/>
  <c r="G121" i="46"/>
  <c r="G122" i="46"/>
  <c r="G123" i="46"/>
  <c r="G124" i="46"/>
  <c r="G125" i="46"/>
  <c r="G126" i="46"/>
  <c r="G128" i="46"/>
  <c r="G129" i="46"/>
  <c r="G130" i="46"/>
  <c r="G131" i="46"/>
  <c r="G132" i="46"/>
  <c r="G133" i="46"/>
  <c r="G134" i="46"/>
  <c r="G135" i="46"/>
  <c r="G136" i="46"/>
  <c r="G137" i="46"/>
  <c r="G14" i="48"/>
  <c r="G15" i="48"/>
  <c r="G16" i="48"/>
  <c r="G17" i="48"/>
  <c r="G18" i="48"/>
  <c r="G19" i="48"/>
  <c r="G20" i="48"/>
  <c r="G22" i="48"/>
  <c r="G23" i="48"/>
  <c r="G24" i="48"/>
  <c r="G25" i="48"/>
  <c r="G26" i="48"/>
  <c r="G27" i="48"/>
  <c r="G28" i="48"/>
  <c r="G29" i="48"/>
  <c r="G30" i="48"/>
  <c r="G31" i="48"/>
  <c r="G32" i="48"/>
  <c r="G33" i="48"/>
  <c r="G34" i="48"/>
  <c r="G35" i="48"/>
  <c r="G37" i="48"/>
  <c r="G38" i="48"/>
  <c r="G39" i="48"/>
  <c r="G40" i="48"/>
  <c r="G42" i="48"/>
  <c r="G43" i="48"/>
  <c r="G44" i="48"/>
  <c r="G45" i="48"/>
  <c r="G46" i="48"/>
  <c r="G47" i="48"/>
  <c r="G48" i="48"/>
  <c r="G49" i="48"/>
  <c r="G50" i="48"/>
  <c r="G52" i="48"/>
  <c r="G53" i="48"/>
  <c r="G54" i="48"/>
  <c r="G55" i="48"/>
  <c r="G56" i="48"/>
  <c r="G57" i="48"/>
  <c r="G58" i="48"/>
  <c r="G59" i="48"/>
  <c r="G60" i="48"/>
  <c r="G62" i="48"/>
  <c r="G63" i="48"/>
  <c r="G64" i="48"/>
  <c r="G65" i="48"/>
  <c r="G66" i="48"/>
  <c r="G68" i="48"/>
  <c r="G69" i="48"/>
  <c r="G70" i="48"/>
  <c r="G71" i="48"/>
  <c r="G72" i="48"/>
  <c r="G73" i="48"/>
  <c r="G74" i="48"/>
  <c r="G75" i="48"/>
  <c r="G76" i="48"/>
  <c r="G77" i="48"/>
  <c r="G78" i="48"/>
  <c r="G79" i="48"/>
  <c r="G80" i="48"/>
  <c r="G81" i="48"/>
  <c r="G82" i="48"/>
  <c r="G83" i="48"/>
  <c r="G84" i="48"/>
  <c r="G85" i="48"/>
  <c r="G86" i="48"/>
  <c r="G87" i="48"/>
  <c r="G89" i="48"/>
  <c r="G90" i="48"/>
  <c r="G91" i="48"/>
  <c r="G92" i="48"/>
  <c r="G93" i="48"/>
  <c r="G94" i="48"/>
  <c r="G95" i="48"/>
  <c r="G96" i="48"/>
  <c r="G97" i="48"/>
  <c r="G98" i="48"/>
  <c r="G99" i="48"/>
  <c r="G100" i="48"/>
  <c r="G101" i="48"/>
  <c r="G102" i="48"/>
  <c r="G103" i="48"/>
  <c r="G104" i="48"/>
  <c r="G105" i="48"/>
  <c r="G106" i="48"/>
  <c r="G107" i="48"/>
  <c r="G108" i="48"/>
  <c r="G109" i="48"/>
  <c r="G110" i="48"/>
  <c r="G111" i="48"/>
  <c r="G112" i="48"/>
  <c r="G113" i="48"/>
  <c r="G114" i="48"/>
  <c r="G115" i="48"/>
  <c r="G116" i="48"/>
  <c r="G117" i="48"/>
  <c r="G118" i="48"/>
  <c r="G119" i="48"/>
  <c r="G120" i="48"/>
  <c r="G121" i="48"/>
  <c r="G122" i="48"/>
  <c r="G123" i="48"/>
  <c r="G124" i="48"/>
  <c r="G125" i="48"/>
  <c r="G126" i="48"/>
  <c r="G128" i="48"/>
  <c r="G129" i="48"/>
  <c r="G130" i="48"/>
  <c r="G131" i="48"/>
  <c r="G132" i="48"/>
  <c r="G133" i="48"/>
  <c r="G134" i="48"/>
  <c r="G135" i="48"/>
  <c r="G136" i="48"/>
  <c r="G137" i="48"/>
  <c r="G14" i="33"/>
  <c r="G15" i="33"/>
  <c r="G16" i="33"/>
  <c r="G17" i="33"/>
  <c r="G18" i="33"/>
  <c r="G19" i="33"/>
  <c r="G20" i="33"/>
  <c r="G22" i="33"/>
  <c r="G23" i="33"/>
  <c r="G24" i="33"/>
  <c r="G25" i="33"/>
  <c r="G26" i="33"/>
  <c r="G27" i="33"/>
  <c r="G28" i="33"/>
  <c r="G29" i="33"/>
  <c r="G30" i="33"/>
  <c r="G31" i="33"/>
  <c r="G32" i="33"/>
  <c r="G33" i="33"/>
  <c r="G34" i="33"/>
  <c r="G35" i="33"/>
  <c r="G37" i="33"/>
  <c r="G38" i="33"/>
  <c r="G39" i="33"/>
  <c r="G40" i="33"/>
  <c r="G42" i="33"/>
  <c r="G43" i="33"/>
  <c r="G44" i="33"/>
  <c r="G45" i="33"/>
  <c r="G46" i="33"/>
  <c r="G47" i="33"/>
  <c r="G48" i="33"/>
  <c r="G49" i="33"/>
  <c r="G50" i="33"/>
  <c r="G52" i="33"/>
  <c r="G53" i="33"/>
  <c r="G54" i="33"/>
  <c r="G55" i="33"/>
  <c r="G56" i="33"/>
  <c r="G57" i="33"/>
  <c r="G58" i="33"/>
  <c r="G59" i="33"/>
  <c r="G60" i="33"/>
  <c r="G62" i="33"/>
  <c r="G63" i="33"/>
  <c r="G64" i="33"/>
  <c r="G65" i="33"/>
  <c r="G66" i="33"/>
  <c r="G68" i="33"/>
  <c r="G69" i="33"/>
  <c r="G70" i="33"/>
  <c r="G71" i="33"/>
  <c r="G72" i="33"/>
  <c r="G73" i="33"/>
  <c r="G74" i="33"/>
  <c r="G75" i="33"/>
  <c r="G76" i="33"/>
  <c r="G77" i="33"/>
  <c r="G78" i="33"/>
  <c r="G79" i="33"/>
  <c r="G80" i="33"/>
  <c r="G81" i="33"/>
  <c r="G82" i="33"/>
  <c r="G83" i="33"/>
  <c r="G84" i="33"/>
  <c r="G85" i="33"/>
  <c r="G86" i="33"/>
  <c r="G87" i="33"/>
  <c r="G89" i="33"/>
  <c r="G90" i="33"/>
  <c r="G91" i="33"/>
  <c r="G92" i="33"/>
  <c r="G93" i="33"/>
  <c r="G94" i="33"/>
  <c r="G95" i="33"/>
  <c r="G96" i="33"/>
  <c r="G97" i="33"/>
  <c r="G98" i="33"/>
  <c r="G99" i="33"/>
  <c r="G100" i="33"/>
  <c r="G101" i="33"/>
  <c r="G102" i="33"/>
  <c r="G103" i="33"/>
  <c r="G104" i="33"/>
  <c r="G105" i="33"/>
  <c r="G106" i="33"/>
  <c r="G107" i="33"/>
  <c r="G108" i="33"/>
  <c r="G109" i="33"/>
  <c r="G110" i="33"/>
  <c r="G111" i="33"/>
  <c r="G112" i="33"/>
  <c r="G113" i="33"/>
  <c r="G114" i="33"/>
  <c r="G115" i="33"/>
  <c r="G116" i="33"/>
  <c r="G117" i="33"/>
  <c r="G118" i="33"/>
  <c r="G119" i="33"/>
  <c r="G120" i="33"/>
  <c r="G121" i="33"/>
  <c r="G122" i="33"/>
  <c r="G123" i="33"/>
  <c r="G124" i="33"/>
  <c r="G125" i="33"/>
  <c r="G126" i="33"/>
  <c r="G128" i="33"/>
  <c r="G129" i="33"/>
  <c r="G130" i="33"/>
  <c r="G131" i="33"/>
  <c r="G132" i="33"/>
  <c r="G133" i="33"/>
  <c r="G134" i="33"/>
  <c r="G135" i="33"/>
  <c r="G136" i="33"/>
  <c r="G137" i="33"/>
  <c r="G14" i="43"/>
  <c r="G15" i="43"/>
  <c r="G16" i="43"/>
  <c r="G17" i="43"/>
  <c r="G18" i="43"/>
  <c r="G19" i="43"/>
  <c r="G20" i="43"/>
  <c r="G22" i="43"/>
  <c r="G23" i="43"/>
  <c r="G24" i="43"/>
  <c r="G25" i="43"/>
  <c r="G26" i="43"/>
  <c r="G27" i="43"/>
  <c r="G28" i="43"/>
  <c r="G29" i="43"/>
  <c r="G30" i="43"/>
  <c r="G31" i="43"/>
  <c r="G32" i="43"/>
  <c r="G33" i="43"/>
  <c r="G34" i="43"/>
  <c r="G35" i="43"/>
  <c r="G37" i="43"/>
  <c r="G38" i="43"/>
  <c r="G39" i="43"/>
  <c r="G40" i="43"/>
  <c r="G42" i="43"/>
  <c r="G43" i="43"/>
  <c r="G44" i="43"/>
  <c r="G45" i="43"/>
  <c r="G46" i="43"/>
  <c r="G47" i="43"/>
  <c r="G48" i="43"/>
  <c r="G49" i="43"/>
  <c r="G50" i="43"/>
  <c r="G52" i="43"/>
  <c r="G53" i="43"/>
  <c r="G54" i="43"/>
  <c r="G55" i="43"/>
  <c r="G56" i="43"/>
  <c r="G57" i="43"/>
  <c r="G58" i="43"/>
  <c r="G59" i="43"/>
  <c r="G60" i="43"/>
  <c r="G62" i="43"/>
  <c r="G63" i="43"/>
  <c r="G64" i="43"/>
  <c r="G65" i="43"/>
  <c r="G66" i="43"/>
  <c r="G68" i="43"/>
  <c r="G69" i="43"/>
  <c r="G70" i="43"/>
  <c r="G71" i="43"/>
  <c r="G72" i="43"/>
  <c r="G73" i="43"/>
  <c r="G74" i="43"/>
  <c r="G75" i="43"/>
  <c r="G76" i="43"/>
  <c r="G77" i="43"/>
  <c r="G78" i="43"/>
  <c r="G79" i="43"/>
  <c r="G80" i="43"/>
  <c r="G81" i="43"/>
  <c r="G82" i="43"/>
  <c r="G83" i="43"/>
  <c r="G84" i="43"/>
  <c r="G85" i="43"/>
  <c r="G86" i="43"/>
  <c r="G87" i="43"/>
  <c r="G89" i="43"/>
  <c r="G90" i="43"/>
  <c r="G91" i="43"/>
  <c r="G92" i="43"/>
  <c r="G93" i="43"/>
  <c r="G94" i="43"/>
  <c r="G95" i="43"/>
  <c r="G96" i="43"/>
  <c r="G97" i="43"/>
  <c r="G98" i="43"/>
  <c r="G99" i="43"/>
  <c r="G100" i="43"/>
  <c r="G101" i="43"/>
  <c r="G102" i="43"/>
  <c r="G103" i="43"/>
  <c r="G104" i="43"/>
  <c r="G105" i="43"/>
  <c r="G106" i="43"/>
  <c r="G107" i="43"/>
  <c r="G108" i="43"/>
  <c r="G109" i="43"/>
  <c r="G110" i="43"/>
  <c r="G111" i="43"/>
  <c r="G112" i="43"/>
  <c r="G113" i="43"/>
  <c r="G114" i="43"/>
  <c r="G115" i="43"/>
  <c r="G116" i="43"/>
  <c r="G117" i="43"/>
  <c r="G118" i="43"/>
  <c r="G119" i="43"/>
  <c r="G120" i="43"/>
  <c r="G121" i="43"/>
  <c r="G122" i="43"/>
  <c r="G123" i="43"/>
  <c r="G124" i="43"/>
  <c r="G125" i="43"/>
  <c r="G126" i="43"/>
  <c r="G128" i="43"/>
  <c r="G129" i="43"/>
  <c r="G130" i="43"/>
  <c r="G131" i="43"/>
  <c r="G132" i="43"/>
  <c r="G133" i="43"/>
  <c r="G134" i="43"/>
  <c r="G135" i="43"/>
  <c r="G136" i="43"/>
  <c r="G137" i="43"/>
  <c r="G14" i="45"/>
  <c r="G15" i="45"/>
  <c r="G16" i="45"/>
  <c r="G17" i="45"/>
  <c r="G18" i="45"/>
  <c r="G19" i="45"/>
  <c r="G20" i="45"/>
  <c r="G22" i="45"/>
  <c r="G23" i="45"/>
  <c r="G24" i="45"/>
  <c r="G25" i="45"/>
  <c r="G26" i="45"/>
  <c r="G27" i="45"/>
  <c r="G28" i="45"/>
  <c r="G29" i="45"/>
  <c r="G30" i="45"/>
  <c r="G31" i="45"/>
  <c r="G32" i="45"/>
  <c r="G33" i="45"/>
  <c r="G34" i="45"/>
  <c r="G35" i="45"/>
  <c r="G37" i="45"/>
  <c r="G38" i="45"/>
  <c r="G39" i="45"/>
  <c r="G40" i="45"/>
  <c r="G42" i="45"/>
  <c r="G43" i="45"/>
  <c r="G44" i="45"/>
  <c r="G45" i="45"/>
  <c r="G46" i="45"/>
  <c r="G47" i="45"/>
  <c r="G48" i="45"/>
  <c r="G49" i="45"/>
  <c r="G50" i="45"/>
  <c r="G52" i="45"/>
  <c r="G53" i="45"/>
  <c r="G54" i="45"/>
  <c r="G55" i="45"/>
  <c r="G56" i="45"/>
  <c r="G57" i="45"/>
  <c r="G58" i="45"/>
  <c r="G59" i="45"/>
  <c r="G60" i="45"/>
  <c r="G62" i="45"/>
  <c r="G63" i="45"/>
  <c r="G64" i="45"/>
  <c r="G65" i="45"/>
  <c r="G66" i="45"/>
  <c r="G68" i="45"/>
  <c r="G69" i="45"/>
  <c r="G70" i="45"/>
  <c r="G71" i="45"/>
  <c r="G72" i="45"/>
  <c r="G73" i="45"/>
  <c r="G74" i="45"/>
  <c r="G75" i="45"/>
  <c r="G76" i="45"/>
  <c r="G77" i="45"/>
  <c r="G78" i="45"/>
  <c r="G79" i="45"/>
  <c r="G80" i="45"/>
  <c r="G81" i="45"/>
  <c r="G82" i="45"/>
  <c r="G83" i="45"/>
  <c r="G84" i="45"/>
  <c r="G85" i="45"/>
  <c r="G86" i="45"/>
  <c r="G87" i="45"/>
  <c r="G89" i="45"/>
  <c r="G90" i="45"/>
  <c r="G91" i="45"/>
  <c r="G92" i="45"/>
  <c r="G93" i="45"/>
  <c r="G94" i="45"/>
  <c r="G95" i="45"/>
  <c r="G96" i="45"/>
  <c r="G97" i="45"/>
  <c r="G98" i="45"/>
  <c r="G99" i="45"/>
  <c r="G100" i="45"/>
  <c r="G101" i="45"/>
  <c r="G102" i="45"/>
  <c r="G103" i="45"/>
  <c r="G104" i="45"/>
  <c r="G105" i="45"/>
  <c r="G106" i="45"/>
  <c r="G107" i="45"/>
  <c r="G108" i="45"/>
  <c r="G109" i="45"/>
  <c r="G110" i="45"/>
  <c r="G111" i="45"/>
  <c r="G112" i="45"/>
  <c r="G113" i="45"/>
  <c r="G114" i="45"/>
  <c r="G115" i="45"/>
  <c r="G116" i="45"/>
  <c r="G117" i="45"/>
  <c r="G118" i="45"/>
  <c r="G119" i="45"/>
  <c r="G120" i="45"/>
  <c r="G121" i="45"/>
  <c r="G122" i="45"/>
  <c r="G123" i="45"/>
  <c r="G124" i="45"/>
  <c r="G125" i="45"/>
  <c r="G126" i="45"/>
  <c r="G128" i="45"/>
  <c r="G129" i="45"/>
  <c r="G130" i="45"/>
  <c r="G131" i="45"/>
  <c r="G132" i="45"/>
  <c r="G133" i="45"/>
  <c r="G134" i="45"/>
  <c r="G135" i="45"/>
  <c r="G136" i="45"/>
  <c r="G137" i="45"/>
  <c r="G14" i="47"/>
  <c r="G15" i="47"/>
  <c r="G16" i="47"/>
  <c r="G17" i="47"/>
  <c r="G18" i="47"/>
  <c r="G19" i="47"/>
  <c r="G20" i="47"/>
  <c r="G22" i="47"/>
  <c r="G23" i="47"/>
  <c r="G24" i="47"/>
  <c r="G25" i="47"/>
  <c r="G26" i="47"/>
  <c r="G27" i="47"/>
  <c r="G28" i="47"/>
  <c r="G29" i="47"/>
  <c r="G30" i="47"/>
  <c r="G31" i="47"/>
  <c r="G32" i="47"/>
  <c r="G33" i="47"/>
  <c r="G34" i="47"/>
  <c r="G35" i="47"/>
  <c r="G37" i="47"/>
  <c r="G38" i="47"/>
  <c r="G39" i="47"/>
  <c r="G40" i="47"/>
  <c r="G42" i="47"/>
  <c r="G43" i="47"/>
  <c r="G44" i="47"/>
  <c r="G45" i="47"/>
  <c r="G46" i="47"/>
  <c r="G47" i="47"/>
  <c r="G48" i="47"/>
  <c r="G49" i="47"/>
  <c r="G50" i="47"/>
  <c r="G52" i="47"/>
  <c r="G53" i="47"/>
  <c r="G54" i="47"/>
  <c r="G55" i="47"/>
  <c r="G56" i="47"/>
  <c r="G57" i="47"/>
  <c r="G58" i="47"/>
  <c r="G59" i="47"/>
  <c r="G60" i="47"/>
  <c r="G62" i="47"/>
  <c r="G63" i="47"/>
  <c r="G64" i="47"/>
  <c r="G65" i="47"/>
  <c r="G66" i="47"/>
  <c r="G68" i="47"/>
  <c r="G69" i="47"/>
  <c r="G70" i="47"/>
  <c r="G71" i="47"/>
  <c r="G72" i="47"/>
  <c r="G73" i="47"/>
  <c r="G74" i="47"/>
  <c r="G75" i="47"/>
  <c r="G76" i="47"/>
  <c r="G77" i="47"/>
  <c r="G78" i="47"/>
  <c r="G79" i="47"/>
  <c r="G80" i="47"/>
  <c r="G81" i="47"/>
  <c r="G82" i="47"/>
  <c r="G83" i="47"/>
  <c r="G84" i="47"/>
  <c r="G85" i="47"/>
  <c r="G86" i="47"/>
  <c r="G87" i="47"/>
  <c r="G89" i="47"/>
  <c r="G90" i="47"/>
  <c r="G91" i="47"/>
  <c r="G92" i="47"/>
  <c r="G93" i="47"/>
  <c r="G94" i="47"/>
  <c r="G95" i="47"/>
  <c r="G96" i="47"/>
  <c r="G97" i="47"/>
  <c r="G98" i="47"/>
  <c r="G99" i="47"/>
  <c r="G100" i="47"/>
  <c r="G101" i="47"/>
  <c r="G102" i="47"/>
  <c r="G103" i="47"/>
  <c r="G104" i="47"/>
  <c r="G105" i="47"/>
  <c r="G106" i="47"/>
  <c r="G107" i="47"/>
  <c r="G108" i="47"/>
  <c r="G109" i="47"/>
  <c r="G110" i="47"/>
  <c r="G111" i="47"/>
  <c r="G112" i="47"/>
  <c r="G113" i="47"/>
  <c r="G114" i="47"/>
  <c r="G115" i="47"/>
  <c r="G116" i="47"/>
  <c r="G117" i="47"/>
  <c r="G118" i="47"/>
  <c r="G119" i="47"/>
  <c r="G120" i="47"/>
  <c r="G121" i="47"/>
  <c r="G122" i="47"/>
  <c r="G123" i="47"/>
  <c r="G124" i="47"/>
  <c r="G125" i="47"/>
  <c r="G126" i="47"/>
  <c r="G128" i="47"/>
  <c r="G129" i="47"/>
  <c r="G130" i="47"/>
  <c r="G131" i="47"/>
  <c r="G132" i="47"/>
  <c r="G133" i="47"/>
  <c r="G134" i="47"/>
  <c r="G135" i="47"/>
  <c r="G136" i="47"/>
  <c r="G137" i="47"/>
  <c r="G16" i="49"/>
  <c r="G17" i="49"/>
  <c r="G18" i="49"/>
  <c r="G19" i="49"/>
  <c r="G20" i="49"/>
  <c r="G21" i="49"/>
  <c r="G22" i="49"/>
  <c r="G24" i="49"/>
  <c r="G25" i="49"/>
  <c r="G26" i="49"/>
  <c r="G27" i="49"/>
  <c r="G28" i="49"/>
  <c r="G29" i="49"/>
  <c r="G30" i="49"/>
  <c r="G31" i="49"/>
  <c r="G32" i="49"/>
  <c r="G33" i="49"/>
  <c r="G34" i="49"/>
  <c r="G35" i="49"/>
  <c r="G36" i="49"/>
  <c r="G37" i="49"/>
  <c r="G39" i="49"/>
  <c r="G40" i="49"/>
  <c r="G41" i="49"/>
  <c r="G42" i="49"/>
  <c r="G44" i="49"/>
  <c r="G45" i="49"/>
  <c r="G46" i="49"/>
  <c r="G47" i="49"/>
  <c r="G48" i="49"/>
  <c r="G49" i="49"/>
  <c r="G50" i="49"/>
  <c r="G51" i="49"/>
  <c r="G52" i="49"/>
  <c r="G54" i="49"/>
  <c r="G55" i="49"/>
  <c r="G56" i="49"/>
  <c r="G57" i="49"/>
  <c r="G58" i="49"/>
  <c r="G59" i="49"/>
  <c r="G60" i="49"/>
  <c r="G61" i="49"/>
  <c r="G62" i="49"/>
  <c r="G64" i="49"/>
  <c r="G65" i="49"/>
  <c r="G66" i="49"/>
  <c r="G67" i="49"/>
  <c r="G68" i="49"/>
  <c r="G70" i="49"/>
  <c r="G71" i="49"/>
  <c r="G72" i="49"/>
  <c r="G73" i="49"/>
  <c r="G74" i="49"/>
  <c r="G75" i="49"/>
  <c r="G76" i="49"/>
  <c r="G77" i="49"/>
  <c r="G78" i="49"/>
  <c r="G79" i="49"/>
  <c r="G80" i="49"/>
  <c r="G81" i="49"/>
  <c r="G82" i="49"/>
  <c r="G83" i="49"/>
  <c r="G84" i="49"/>
  <c r="G85" i="49"/>
  <c r="G86" i="49"/>
  <c r="G87" i="49"/>
  <c r="G88" i="49"/>
  <c r="G89" i="49"/>
  <c r="G91" i="49"/>
  <c r="G92" i="49"/>
  <c r="G93" i="49"/>
  <c r="G94" i="49"/>
  <c r="G95" i="49"/>
  <c r="G96" i="49"/>
  <c r="G97" i="49"/>
  <c r="G98" i="49"/>
  <c r="G99" i="49"/>
  <c r="G100" i="49"/>
  <c r="G101" i="49"/>
  <c r="G102" i="49"/>
  <c r="G103" i="49"/>
  <c r="G104" i="49"/>
  <c r="G105" i="49"/>
  <c r="G106" i="49"/>
  <c r="G107" i="49"/>
  <c r="G108" i="49"/>
  <c r="G109" i="49"/>
  <c r="G110" i="49"/>
  <c r="G111" i="49"/>
  <c r="G112" i="49"/>
  <c r="G113" i="49"/>
  <c r="G114" i="49"/>
  <c r="G115" i="49"/>
  <c r="G116" i="49"/>
  <c r="G117" i="49"/>
  <c r="G118" i="49"/>
  <c r="G119" i="49"/>
  <c r="G120" i="49"/>
  <c r="G121" i="49"/>
  <c r="G122" i="49"/>
  <c r="G123" i="49"/>
  <c r="G124" i="49"/>
  <c r="G125" i="49"/>
  <c r="G126" i="49"/>
  <c r="G127" i="49"/>
  <c r="G128" i="49"/>
  <c r="G130" i="49"/>
  <c r="G131" i="49"/>
  <c r="G132" i="49"/>
  <c r="G133" i="49"/>
  <c r="G134" i="49"/>
  <c r="G135" i="49"/>
  <c r="G136" i="49"/>
  <c r="G137" i="49"/>
  <c r="G138" i="49"/>
  <c r="G139" i="49"/>
  <c r="G12" i="42"/>
  <c r="G12" i="44"/>
  <c r="G12" i="46"/>
  <c r="G12" i="48"/>
  <c r="G12" i="33"/>
  <c r="G12" i="43"/>
  <c r="G12" i="45"/>
  <c r="G12" i="47"/>
  <c r="G14" i="49"/>
  <c r="M128" i="44"/>
  <c r="M129" i="44"/>
  <c r="M130" i="44"/>
  <c r="M131" i="44"/>
  <c r="M132" i="44"/>
  <c r="M133" i="44"/>
  <c r="M134" i="44"/>
  <c r="M135" i="44"/>
  <c r="M136" i="44"/>
  <c r="M137" i="44"/>
  <c r="M89" i="44"/>
  <c r="M90" i="44"/>
  <c r="M91" i="44"/>
  <c r="M92" i="44"/>
  <c r="M93" i="44"/>
  <c r="M94" i="44"/>
  <c r="M95" i="44"/>
  <c r="M96" i="44"/>
  <c r="M97" i="44"/>
  <c r="M98" i="44"/>
  <c r="M99" i="44"/>
  <c r="M100" i="44"/>
  <c r="M101" i="44"/>
  <c r="M102" i="44"/>
  <c r="M103" i="44"/>
  <c r="M104" i="44"/>
  <c r="M105" i="44"/>
  <c r="M106" i="44"/>
  <c r="M107" i="44"/>
  <c r="M108" i="44"/>
  <c r="M109" i="44"/>
  <c r="M110" i="44"/>
  <c r="M111" i="44"/>
  <c r="M112" i="44"/>
  <c r="M113" i="44"/>
  <c r="M114" i="44"/>
  <c r="M115" i="44"/>
  <c r="M116" i="44"/>
  <c r="M117" i="44"/>
  <c r="M118" i="44"/>
  <c r="M119" i="44"/>
  <c r="M120" i="44"/>
  <c r="M121" i="44"/>
  <c r="M122" i="44"/>
  <c r="M123" i="44"/>
  <c r="M124" i="44"/>
  <c r="M125" i="44"/>
  <c r="M126" i="44"/>
  <c r="M68" i="44"/>
  <c r="M69" i="44"/>
  <c r="M70" i="44"/>
  <c r="M71" i="44"/>
  <c r="M72" i="44"/>
  <c r="M73" i="44"/>
  <c r="M74" i="44"/>
  <c r="M75" i="44"/>
  <c r="M76" i="44"/>
  <c r="M77" i="44"/>
  <c r="M78" i="44"/>
  <c r="M79" i="44"/>
  <c r="M80" i="44"/>
  <c r="M81" i="44"/>
  <c r="M82" i="44"/>
  <c r="M83" i="44"/>
  <c r="M84" i="44"/>
  <c r="M85" i="44"/>
  <c r="M86" i="44"/>
  <c r="M87" i="44"/>
  <c r="M62" i="44"/>
  <c r="M63" i="44"/>
  <c r="M64" i="44"/>
  <c r="M65" i="44"/>
  <c r="M66" i="44"/>
  <c r="M52" i="44"/>
  <c r="M53" i="44"/>
  <c r="M54" i="44"/>
  <c r="M55" i="44"/>
  <c r="M56" i="44"/>
  <c r="M57" i="44"/>
  <c r="M58" i="44"/>
  <c r="M59" i="44"/>
  <c r="M60" i="44"/>
  <c r="M42" i="44"/>
  <c r="M43" i="44"/>
  <c r="M44" i="44"/>
  <c r="M45" i="44"/>
  <c r="M46" i="44"/>
  <c r="M47" i="44"/>
  <c r="M48" i="44"/>
  <c r="M49" i="44"/>
  <c r="M50" i="44"/>
  <c r="M37" i="44"/>
  <c r="M38" i="44"/>
  <c r="M39" i="44"/>
  <c r="M40" i="44"/>
  <c r="M22" i="44"/>
  <c r="M23" i="44"/>
  <c r="M24" i="44"/>
  <c r="M25" i="44"/>
  <c r="M26" i="44"/>
  <c r="M27" i="44"/>
  <c r="M28" i="44"/>
  <c r="M29" i="44"/>
  <c r="M30" i="44"/>
  <c r="M31" i="44"/>
  <c r="M32" i="44"/>
  <c r="M33" i="44"/>
  <c r="M34" i="44"/>
  <c r="M35" i="44"/>
  <c r="M14" i="44"/>
  <c r="M15" i="44"/>
  <c r="M16" i="44"/>
  <c r="M17" i="44"/>
  <c r="M18" i="44"/>
  <c r="M19" i="44"/>
  <c r="M20" i="44"/>
  <c r="M12" i="44"/>
  <c r="Z5" i="56" l="1"/>
  <c r="Z6" i="56" s="1"/>
  <c r="Z7" i="56" s="1"/>
  <c r="Z8" i="56" s="1"/>
  <c r="Z9" i="56" s="1"/>
  <c r="Z10" i="56" s="1"/>
  <c r="Z11" i="56" s="1"/>
  <c r="Z12" i="56" s="1"/>
  <c r="Z5" i="63"/>
  <c r="Z6" i="63" s="1"/>
  <c r="Z9" i="63" s="1"/>
  <c r="S5" i="56"/>
  <c r="S6" i="56" s="1"/>
  <c r="S7" i="56" s="1"/>
  <c r="S8" i="56" s="1"/>
  <c r="S9" i="56" s="1"/>
  <c r="S10" i="56" s="1"/>
  <c r="S11" i="56" s="1"/>
  <c r="S12" i="56" s="1"/>
  <c r="S5" i="63"/>
  <c r="S6" i="63" s="1"/>
  <c r="S7" i="63" s="1"/>
  <c r="S8" i="63" s="1"/>
  <c r="S9" i="63" s="1"/>
  <c r="S10" i="63" s="1"/>
  <c r="S11" i="63" s="1"/>
  <c r="E102" i="46"/>
  <c r="D83" i="64"/>
  <c r="E76" i="46"/>
  <c r="D59" i="64"/>
  <c r="D86" i="64"/>
  <c r="E105" i="45"/>
  <c r="E95" i="44"/>
  <c r="D76" i="64"/>
  <c r="E69" i="44"/>
  <c r="D52" i="64"/>
  <c r="D78" i="64"/>
  <c r="E97" i="45"/>
  <c r="E71" i="44"/>
  <c r="D54" i="64"/>
  <c r="D79" i="64"/>
  <c r="E98" i="45"/>
  <c r="E72" i="45"/>
  <c r="D55" i="64"/>
  <c r="L4" i="9"/>
  <c r="T4" i="9" s="1"/>
  <c r="M4" i="9"/>
  <c r="E68" i="45"/>
  <c r="E68" i="44"/>
  <c r="L5" i="56"/>
  <c r="L6" i="56" s="1"/>
  <c r="L7" i="56" s="1"/>
  <c r="L8" i="56" s="1"/>
  <c r="L9" i="56" s="1"/>
  <c r="L10" i="56" s="1"/>
  <c r="L11" i="56" s="1"/>
  <c r="L12" i="56" s="1"/>
  <c r="T10" i="57"/>
  <c r="P10" i="57" s="1"/>
  <c r="T9" i="57"/>
  <c r="E5" i="56"/>
  <c r="E6" i="56" s="1"/>
  <c r="E7" i="56" s="1"/>
  <c r="E8" i="56" s="1"/>
  <c r="E9" i="56" s="1"/>
  <c r="E10" i="56" s="1"/>
  <c r="E11" i="56" s="1"/>
  <c r="E12" i="56" s="1"/>
  <c r="L120" i="44"/>
  <c r="O120" i="44" s="1"/>
  <c r="L135" i="44"/>
  <c r="O135" i="44" s="1"/>
  <c r="O135" i="46"/>
  <c r="O135" i="48"/>
  <c r="O102" i="45"/>
  <c r="O102" i="33"/>
  <c r="O102" i="48"/>
  <c r="L102" i="44"/>
  <c r="O102" i="44" s="1"/>
  <c r="L107" i="44"/>
  <c r="O107" i="44" s="1"/>
  <c r="O122" i="46"/>
  <c r="O122" i="43"/>
  <c r="O122" i="45"/>
  <c r="L123" i="44"/>
  <c r="O118" i="48"/>
  <c r="L118" i="44"/>
  <c r="O118" i="44" s="1"/>
  <c r="O118" i="43"/>
  <c r="L90" i="44"/>
  <c r="O90" i="44" s="1"/>
  <c r="L105" i="44"/>
  <c r="O105" i="44" s="1"/>
  <c r="O105" i="33"/>
  <c r="L115" i="44"/>
  <c r="O115" i="44" s="1"/>
  <c r="O106" i="45"/>
  <c r="L106" i="44"/>
  <c r="O106" i="43"/>
  <c r="O73" i="45"/>
  <c r="L85" i="44"/>
  <c r="O85" i="44" s="1"/>
  <c r="O85" i="45"/>
  <c r="O85" i="43"/>
  <c r="O86" i="45"/>
  <c r="L86" i="44"/>
  <c r="O69" i="46"/>
  <c r="O69" i="33"/>
  <c r="L69" i="44"/>
  <c r="O69" i="44" s="1"/>
  <c r="O69" i="47"/>
  <c r="L87" i="44"/>
  <c r="O87" i="44" s="1"/>
  <c r="O79" i="44"/>
  <c r="O71" i="44"/>
  <c r="O82" i="45"/>
  <c r="O82" i="47"/>
  <c r="L63" i="44"/>
  <c r="O63" i="44" s="1"/>
  <c r="O63" i="48"/>
  <c r="O65" i="43"/>
  <c r="L65" i="44"/>
  <c r="O65" i="44" s="1"/>
  <c r="O55" i="45"/>
  <c r="O52" i="48"/>
  <c r="L52" i="44"/>
  <c r="L56" i="44"/>
  <c r="O56" i="44" s="1"/>
  <c r="O54" i="33"/>
  <c r="L54" i="44"/>
  <c r="O54" i="44" s="1"/>
  <c r="L60" i="44"/>
  <c r="O60" i="44" s="1"/>
  <c r="O52" i="44"/>
  <c r="L47" i="44"/>
  <c r="O47" i="44" s="1"/>
  <c r="O47" i="45"/>
  <c r="O43" i="33"/>
  <c r="L43" i="44"/>
  <c r="O43" i="44" s="1"/>
  <c r="O43" i="47"/>
  <c r="O50" i="45"/>
  <c r="O50" i="33"/>
  <c r="O50" i="43"/>
  <c r="O50" i="48"/>
  <c r="L50" i="44"/>
  <c r="O50" i="44" s="1"/>
  <c r="L38" i="44"/>
  <c r="O38" i="43"/>
  <c r="L27" i="44"/>
  <c r="O27" i="44" s="1"/>
  <c r="L26" i="44"/>
  <c r="O26" i="44" s="1"/>
  <c r="L32" i="44"/>
  <c r="O32" i="44" s="1"/>
  <c r="O32" i="45"/>
  <c r="O32" i="43"/>
  <c r="L34" i="44"/>
  <c r="O34" i="44" s="1"/>
  <c r="L16" i="44"/>
  <c r="L20" i="44"/>
  <c r="O20" i="44" s="1"/>
  <c r="O15" i="46"/>
  <c r="O15" i="43"/>
  <c r="L15" i="44"/>
  <c r="O15" i="44" s="1"/>
  <c r="O15" i="47"/>
  <c r="O18" i="33"/>
  <c r="O18" i="48"/>
  <c r="L18" i="44"/>
  <c r="O18" i="44" s="1"/>
  <c r="O32" i="48"/>
  <c r="O102" i="47"/>
  <c r="O57" i="44"/>
  <c r="O69" i="48"/>
  <c r="G7" i="39"/>
  <c r="H7" i="39" s="1"/>
  <c r="O12" i="33" s="1"/>
  <c r="O46" i="47"/>
  <c r="O46" i="48"/>
  <c r="O46" i="45"/>
  <c r="O46" i="46"/>
  <c r="L46" i="44"/>
  <c r="O46" i="44" s="1"/>
  <c r="O64" i="45"/>
  <c r="L64" i="44"/>
  <c r="O64" i="44" s="1"/>
  <c r="O64" i="43"/>
  <c r="O64" i="48"/>
  <c r="O64" i="47"/>
  <c r="O81" i="45"/>
  <c r="O81" i="43"/>
  <c r="L81" i="44"/>
  <c r="O81" i="44" s="1"/>
  <c r="O81" i="33"/>
  <c r="O81" i="48"/>
  <c r="O98" i="33"/>
  <c r="O98" i="46"/>
  <c r="O98" i="47"/>
  <c r="L98" i="44"/>
  <c r="O98" i="44" s="1"/>
  <c r="O98" i="43"/>
  <c r="O114" i="48"/>
  <c r="O114" i="43"/>
  <c r="O114" i="33"/>
  <c r="O114" i="46"/>
  <c r="L114" i="44"/>
  <c r="O114" i="44" s="1"/>
  <c r="O114" i="47"/>
  <c r="O131" i="33"/>
  <c r="L12" i="44"/>
  <c r="O12" i="44" s="1"/>
  <c r="O30" i="45"/>
  <c r="L30" i="44"/>
  <c r="O30" i="44" s="1"/>
  <c r="L39" i="44"/>
  <c r="O39" i="44" s="1"/>
  <c r="O39" i="48"/>
  <c r="L48" i="44"/>
  <c r="O48" i="44" s="1"/>
  <c r="O75" i="33"/>
  <c r="L75" i="44"/>
  <c r="O75" i="44" s="1"/>
  <c r="L83" i="44"/>
  <c r="O83" i="44" s="1"/>
  <c r="O83" i="43"/>
  <c r="O23" i="43"/>
  <c r="O23" i="47"/>
  <c r="L23" i="44"/>
  <c r="O23" i="44" s="1"/>
  <c r="O23" i="48"/>
  <c r="O23" i="33"/>
  <c r="O23" i="46"/>
  <c r="O23" i="45"/>
  <c r="L31" i="44"/>
  <c r="O31" i="44" s="1"/>
  <c r="O31" i="45"/>
  <c r="O31" i="43"/>
  <c r="O31" i="46"/>
  <c r="O31" i="47"/>
  <c r="O31" i="48"/>
  <c r="O40" i="48"/>
  <c r="O40" i="45"/>
  <c r="O40" i="46"/>
  <c r="O40" i="33"/>
  <c r="O40" i="47"/>
  <c r="L40" i="44"/>
  <c r="O40" i="44" s="1"/>
  <c r="O49" i="45"/>
  <c r="O49" i="46"/>
  <c r="O49" i="43"/>
  <c r="O49" i="33"/>
  <c r="L49" i="44"/>
  <c r="O49" i="44" s="1"/>
  <c r="O49" i="48"/>
  <c r="O58" i="47"/>
  <c r="O58" i="48"/>
  <c r="L58" i="44"/>
  <c r="O58" i="44" s="1"/>
  <c r="O58" i="45"/>
  <c r="O58" i="46"/>
  <c r="O58" i="43"/>
  <c r="O58" i="33"/>
  <c r="O68" i="45"/>
  <c r="O68" i="43"/>
  <c r="O68" i="46"/>
  <c r="O68" i="33"/>
  <c r="L68" i="44"/>
  <c r="O68" i="44" s="1"/>
  <c r="O68" i="47"/>
  <c r="O68" i="48"/>
  <c r="O76" i="45"/>
  <c r="O76" i="46"/>
  <c r="O76" i="47"/>
  <c r="O76" i="33"/>
  <c r="L76" i="44"/>
  <c r="O76" i="44" s="1"/>
  <c r="O84" i="43"/>
  <c r="O84" i="33"/>
  <c r="O84" i="48"/>
  <c r="O84" i="45"/>
  <c r="O84" i="47"/>
  <c r="L84" i="44"/>
  <c r="O84" i="44" s="1"/>
  <c r="O84" i="46"/>
  <c r="O93" i="46"/>
  <c r="O93" i="33"/>
  <c r="O93" i="48"/>
  <c r="L93" i="44"/>
  <c r="O93" i="44" s="1"/>
  <c r="O93" i="43"/>
  <c r="O93" i="45"/>
  <c r="O101" i="43"/>
  <c r="O101" i="45"/>
  <c r="O101" i="48"/>
  <c r="O101" i="46"/>
  <c r="O101" i="47"/>
  <c r="L101" i="44"/>
  <c r="O101" i="44" s="1"/>
  <c r="O109" i="47"/>
  <c r="O109" i="46"/>
  <c r="O109" i="48"/>
  <c r="O109" i="43"/>
  <c r="L109" i="44"/>
  <c r="O109" i="44" s="1"/>
  <c r="O117" i="46"/>
  <c r="O117" i="33"/>
  <c r="O117" i="47"/>
  <c r="L117" i="44"/>
  <c r="O117" i="44" s="1"/>
  <c r="O117" i="48"/>
  <c r="O125" i="47"/>
  <c r="L125" i="44"/>
  <c r="O125" i="44" s="1"/>
  <c r="O125" i="43"/>
  <c r="O125" i="46"/>
  <c r="O134" i="48"/>
  <c r="L134" i="44"/>
  <c r="O134" i="44" s="1"/>
  <c r="O134" i="43"/>
  <c r="O134" i="45"/>
  <c r="O134" i="47"/>
  <c r="O134" i="33"/>
  <c r="O134" i="46"/>
  <c r="L124" i="44"/>
  <c r="O124" i="44" s="1"/>
  <c r="O124" i="45"/>
  <c r="O124" i="47"/>
  <c r="O24" i="45"/>
  <c r="L24" i="44"/>
  <c r="O24" i="44" s="1"/>
  <c r="O24" i="48"/>
  <c r="O24" i="46"/>
  <c r="O42" i="45"/>
  <c r="O42" i="46"/>
  <c r="O42" i="43"/>
  <c r="O42" i="33"/>
  <c r="L42" i="44"/>
  <c r="O42" i="44" s="1"/>
  <c r="O42" i="47"/>
  <c r="O42" i="48"/>
  <c r="O59" i="47"/>
  <c r="O59" i="48"/>
  <c r="O59" i="43"/>
  <c r="L59" i="44"/>
  <c r="O59" i="44" s="1"/>
  <c r="O59" i="45"/>
  <c r="O59" i="46"/>
  <c r="O59" i="33"/>
  <c r="O77" i="33"/>
  <c r="L77" i="44"/>
  <c r="O77" i="44" s="1"/>
  <c r="O77" i="47"/>
  <c r="O77" i="48"/>
  <c r="O77" i="45"/>
  <c r="O77" i="43"/>
  <c r="O77" i="46"/>
  <c r="O94" i="45"/>
  <c r="O94" i="43"/>
  <c r="O94" i="46"/>
  <c r="O94" i="33"/>
  <c r="O94" i="47"/>
  <c r="O94" i="48"/>
  <c r="L94" i="44"/>
  <c r="O94" i="44" s="1"/>
  <c r="L110" i="44"/>
  <c r="O110" i="44" s="1"/>
  <c r="O110" i="46"/>
  <c r="O110" i="33"/>
  <c r="O110" i="48"/>
  <c r="O110" i="45"/>
  <c r="O110" i="43"/>
  <c r="O126" i="33"/>
  <c r="O126" i="47"/>
  <c r="O126" i="48"/>
  <c r="L126" i="44"/>
  <c r="O126" i="44" s="1"/>
  <c r="O126" i="45"/>
  <c r="O126" i="43"/>
  <c r="L22" i="44"/>
  <c r="O22" i="44" s="1"/>
  <c r="O37" i="46"/>
  <c r="O102" i="46"/>
  <c r="O106" i="48"/>
  <c r="O135" i="33"/>
  <c r="O27" i="43"/>
  <c r="O90" i="47"/>
  <c r="L122" i="44"/>
  <c r="O122" i="44" s="1"/>
  <c r="O90" i="46"/>
  <c r="O122" i="48"/>
  <c r="O106" i="33"/>
  <c r="O90" i="33"/>
  <c r="O55" i="47"/>
  <c r="O106" i="47"/>
  <c r="L55" i="44"/>
  <c r="O55" i="44" s="1"/>
  <c r="O55" i="48"/>
  <c r="O37" i="47"/>
  <c r="O73" i="47"/>
  <c r="O122" i="47"/>
  <c r="O90" i="45"/>
  <c r="O72" i="45"/>
  <c r="O46" i="33"/>
  <c r="O73" i="33"/>
  <c r="O55" i="43"/>
  <c r="O90" i="43"/>
  <c r="L37" i="44"/>
  <c r="O37" i="44" s="1"/>
  <c r="L73" i="44"/>
  <c r="O73" i="44" s="1"/>
  <c r="O73" i="46"/>
  <c r="O37" i="33"/>
  <c r="O22" i="48"/>
  <c r="O22" i="43"/>
  <c r="O22" i="33"/>
  <c r="O22" i="46"/>
  <c r="O39" i="45"/>
  <c r="O39" i="46"/>
  <c r="O39" i="43"/>
  <c r="O39" i="47"/>
  <c r="O39" i="33"/>
  <c r="O57" i="43"/>
  <c r="O57" i="33"/>
  <c r="O57" i="45"/>
  <c r="O57" i="48"/>
  <c r="O75" i="43"/>
  <c r="O75" i="48"/>
  <c r="O75" i="46"/>
  <c r="O75" i="47"/>
  <c r="O75" i="45"/>
  <c r="L92" i="44"/>
  <c r="O92" i="44" s="1"/>
  <c r="O92" i="45"/>
  <c r="O92" i="48"/>
  <c r="O92" i="43"/>
  <c r="O108" i="48"/>
  <c r="O108" i="46"/>
  <c r="O108" i="33"/>
  <c r="O108" i="47"/>
  <c r="O108" i="45"/>
  <c r="O124" i="33"/>
  <c r="O124" i="43"/>
  <c r="O124" i="48"/>
  <c r="O124" i="46"/>
  <c r="O16" i="47"/>
  <c r="O16" i="43"/>
  <c r="O16" i="33"/>
  <c r="O16" i="48"/>
  <c r="O16" i="45"/>
  <c r="O25" i="33"/>
  <c r="O25" i="45"/>
  <c r="O25" i="46"/>
  <c r="O25" i="48"/>
  <c r="O33" i="45"/>
  <c r="O33" i="46"/>
  <c r="O33" i="43"/>
  <c r="O33" i="33"/>
  <c r="O33" i="48"/>
  <c r="O43" i="48"/>
  <c r="O43" i="43"/>
  <c r="O43" i="45"/>
  <c r="O43" i="46"/>
  <c r="O52" i="43"/>
  <c r="O52" i="47"/>
  <c r="O52" i="33"/>
  <c r="O52" i="45"/>
  <c r="O60" i="47"/>
  <c r="O60" i="33"/>
  <c r="O60" i="45"/>
  <c r="O60" i="46"/>
  <c r="O60" i="43"/>
  <c r="O70" i="43"/>
  <c r="O70" i="48"/>
  <c r="O70" i="46"/>
  <c r="O70" i="33"/>
  <c r="O70" i="45"/>
  <c r="O78" i="43"/>
  <c r="O78" i="48"/>
  <c r="O78" i="46"/>
  <c r="O78" i="33"/>
  <c r="O78" i="47"/>
  <c r="O78" i="45"/>
  <c r="O86" i="43"/>
  <c r="O86" i="48"/>
  <c r="O86" i="46"/>
  <c r="L128" i="44"/>
  <c r="O128" i="44" s="1"/>
  <c r="O128" i="47"/>
  <c r="O128" i="45"/>
  <c r="O128" i="33"/>
  <c r="O128" i="48"/>
  <c r="O128" i="46"/>
  <c r="O128" i="43"/>
  <c r="O136" i="47"/>
  <c r="O136" i="45"/>
  <c r="O136" i="48"/>
  <c r="O136" i="46"/>
  <c r="O136" i="33"/>
  <c r="O136" i="43"/>
  <c r="L136" i="44"/>
  <c r="O136" i="44" s="1"/>
  <c r="O17" i="47"/>
  <c r="O17" i="33"/>
  <c r="O17" i="48"/>
  <c r="O17" i="45"/>
  <c r="O17" i="46"/>
  <c r="O34" i="47"/>
  <c r="O34" i="43"/>
  <c r="O34" i="33"/>
  <c r="O34" i="46"/>
  <c r="O44" i="46"/>
  <c r="O44" i="48"/>
  <c r="O44" i="43"/>
  <c r="O44" i="47"/>
  <c r="O44" i="33"/>
  <c r="O53" i="45"/>
  <c r="O53" i="48"/>
  <c r="O62" i="47"/>
  <c r="O62" i="45"/>
  <c r="O62" i="43"/>
  <c r="O71" i="47"/>
  <c r="O71" i="45"/>
  <c r="O71" i="43"/>
  <c r="O71" i="48"/>
  <c r="O71" i="46"/>
  <c r="O71" i="33"/>
  <c r="O79" i="48"/>
  <c r="O79" i="46"/>
  <c r="O79" i="43"/>
  <c r="O79" i="33"/>
  <c r="O79" i="47"/>
  <c r="O79" i="45"/>
  <c r="O87" i="48"/>
  <c r="O87" i="33"/>
  <c r="O87" i="47"/>
  <c r="O87" i="45"/>
  <c r="O96" i="47"/>
  <c r="L96" i="44"/>
  <c r="O96" i="44" s="1"/>
  <c r="O96" i="45"/>
  <c r="O96" i="48"/>
  <c r="O96" i="46"/>
  <c r="O96" i="33"/>
  <c r="O96" i="43"/>
  <c r="O104" i="45"/>
  <c r="L104" i="44"/>
  <c r="O104" i="44" s="1"/>
  <c r="O104" i="48"/>
  <c r="O104" i="46"/>
  <c r="O104" i="33"/>
  <c r="O104" i="43"/>
  <c r="O104" i="47"/>
  <c r="O112" i="48"/>
  <c r="O112" i="46"/>
  <c r="O112" i="43"/>
  <c r="O112" i="47"/>
  <c r="O112" i="45"/>
  <c r="O120" i="33"/>
  <c r="O120" i="47"/>
  <c r="O120" i="48"/>
  <c r="O120" i="46"/>
  <c r="O129" i="43"/>
  <c r="L129" i="44"/>
  <c r="O129" i="44" s="1"/>
  <c r="O129" i="45"/>
  <c r="O129" i="33"/>
  <c r="O129" i="48"/>
  <c r="O129" i="46"/>
  <c r="L137" i="44"/>
  <c r="O137" i="44" s="1"/>
  <c r="O137" i="47"/>
  <c r="O137" i="45"/>
  <c r="O137" i="48"/>
  <c r="O137" i="46"/>
  <c r="O137" i="43"/>
  <c r="O18" i="46"/>
  <c r="O18" i="45"/>
  <c r="O26" i="48"/>
  <c r="O27" i="46"/>
  <c r="O26" i="43"/>
  <c r="O26" i="33"/>
  <c r="O27" i="48"/>
  <c r="O27" i="47"/>
  <c r="O27" i="33"/>
  <c r="O27" i="45"/>
  <c r="O26" i="46"/>
  <c r="O35" i="47"/>
  <c r="O35" i="33"/>
  <c r="O35" i="48"/>
  <c r="O35" i="45"/>
  <c r="O35" i="46"/>
  <c r="O45" i="33"/>
  <c r="O45" i="46"/>
  <c r="O54" i="48"/>
  <c r="O54" i="43"/>
  <c r="O54" i="45"/>
  <c r="O54" i="46"/>
  <c r="O63" i="43"/>
  <c r="O63" i="47"/>
  <c r="O63" i="33"/>
  <c r="O63" i="45"/>
  <c r="O80" i="45"/>
  <c r="O80" i="43"/>
  <c r="O80" i="33"/>
  <c r="O89" i="45"/>
  <c r="O89" i="43"/>
  <c r="L89" i="44"/>
  <c r="O89" i="44" s="1"/>
  <c r="O89" i="48"/>
  <c r="O89" i="33"/>
  <c r="O97" i="45"/>
  <c r="O97" i="43"/>
  <c r="L97" i="44"/>
  <c r="O97" i="44" s="1"/>
  <c r="O97" i="33"/>
  <c r="O105" i="45"/>
  <c r="O105" i="43"/>
  <c r="O105" i="47"/>
  <c r="O105" i="48"/>
  <c r="O105" i="46"/>
  <c r="O113" i="45"/>
  <c r="O113" i="48"/>
  <c r="O113" i="46"/>
  <c r="O113" i="33"/>
  <c r="O113" i="43"/>
  <c r="O121" i="47"/>
  <c r="O121" i="48"/>
  <c r="O121" i="46"/>
  <c r="O121" i="33"/>
  <c r="O121" i="45"/>
  <c r="O121" i="43"/>
  <c r="O130" i="46"/>
  <c r="O130" i="43"/>
  <c r="O12" i="47"/>
  <c r="O12" i="43"/>
  <c r="O12" i="46"/>
  <c r="O30" i="48"/>
  <c r="O30" i="47"/>
  <c r="O30" i="43"/>
  <c r="O30" i="33"/>
  <c r="O48" i="46"/>
  <c r="O48" i="48"/>
  <c r="O48" i="47"/>
  <c r="O48" i="33"/>
  <c r="O48" i="45"/>
  <c r="O66" i="45"/>
  <c r="O66" i="48"/>
  <c r="O66" i="46"/>
  <c r="O66" i="43"/>
  <c r="O66" i="47"/>
  <c r="O66" i="33"/>
  <c r="O83" i="48"/>
  <c r="O83" i="46"/>
  <c r="O83" i="33"/>
  <c r="O83" i="47"/>
  <c r="O83" i="45"/>
  <c r="O100" i="47"/>
  <c r="O100" i="45"/>
  <c r="L100" i="44"/>
  <c r="O100" i="44" s="1"/>
  <c r="O100" i="48"/>
  <c r="O100" i="46"/>
  <c r="O100" i="33"/>
  <c r="O100" i="43"/>
  <c r="O116" i="48"/>
  <c r="O116" i="46"/>
  <c r="O116" i="33"/>
  <c r="O116" i="45"/>
  <c r="O116" i="43"/>
  <c r="O116" i="47"/>
  <c r="L133" i="44"/>
  <c r="O133" i="44" s="1"/>
  <c r="O133" i="47"/>
  <c r="O133" i="45"/>
  <c r="O133" i="48"/>
  <c r="O133" i="46"/>
  <c r="O133" i="43"/>
  <c r="O123" i="44"/>
  <c r="O20" i="45"/>
  <c r="O20" i="47"/>
  <c r="O20" i="33"/>
  <c r="O20" i="48"/>
  <c r="O29" i="45"/>
  <c r="O29" i="48"/>
  <c r="O29" i="43"/>
  <c r="O38" i="46"/>
  <c r="O38" i="48"/>
  <c r="O38" i="47"/>
  <c r="O38" i="33"/>
  <c r="O38" i="45"/>
  <c r="O47" i="48"/>
  <c r="O47" i="43"/>
  <c r="O47" i="47"/>
  <c r="O47" i="33"/>
  <c r="O47" i="46"/>
  <c r="O56" i="47"/>
  <c r="O56" i="33"/>
  <c r="O56" i="45"/>
  <c r="O56" i="43"/>
  <c r="O65" i="48"/>
  <c r="O65" i="46"/>
  <c r="O65" i="47"/>
  <c r="O65" i="45"/>
  <c r="O74" i="43"/>
  <c r="O74" i="48"/>
  <c r="O74" i="46"/>
  <c r="O74" i="33"/>
  <c r="O74" i="47"/>
  <c r="O82" i="43"/>
  <c r="O82" i="33"/>
  <c r="O82" i="48"/>
  <c r="O82" i="46"/>
  <c r="O91" i="47"/>
  <c r="O91" i="45"/>
  <c r="O91" i="48"/>
  <c r="O91" i="46"/>
  <c r="O91" i="33"/>
  <c r="O91" i="43"/>
  <c r="L91" i="44"/>
  <c r="O91" i="44" s="1"/>
  <c r="O99" i="48"/>
  <c r="O99" i="46"/>
  <c r="O99" i="33"/>
  <c r="O99" i="43"/>
  <c r="O99" i="45"/>
  <c r="L99" i="44"/>
  <c r="O99" i="44" s="1"/>
  <c r="O107" i="33"/>
  <c r="O107" i="47"/>
  <c r="O107" i="45"/>
  <c r="O107" i="48"/>
  <c r="O107" i="46"/>
  <c r="O115" i="45"/>
  <c r="O115" i="43"/>
  <c r="O115" i="48"/>
  <c r="O115" i="46"/>
  <c r="O123" i="47"/>
  <c r="O123" i="45"/>
  <c r="O123" i="48"/>
  <c r="O123" i="46"/>
  <c r="O123" i="33"/>
  <c r="O132" i="47"/>
  <c r="O132" i="48"/>
  <c r="O132" i="46"/>
  <c r="O132" i="33"/>
  <c r="O132" i="43"/>
  <c r="L132" i="44"/>
  <c r="O132" i="44" s="1"/>
  <c r="O74" i="45"/>
  <c r="O28" i="46"/>
  <c r="O50" i="46"/>
  <c r="O106" i="46"/>
  <c r="O56" i="48"/>
  <c r="O101" i="33"/>
  <c r="O98" i="45"/>
  <c r="O64" i="33"/>
  <c r="O130" i="47"/>
  <c r="O130" i="33"/>
  <c r="O129" i="47"/>
  <c r="O131" i="45"/>
  <c r="O131" i="46"/>
  <c r="O130" i="45"/>
  <c r="O130" i="48"/>
  <c r="L131" i="44"/>
  <c r="O131" i="44" s="1"/>
  <c r="O131" i="43"/>
  <c r="L119" i="44"/>
  <c r="O119" i="44" s="1"/>
  <c r="L111" i="44"/>
  <c r="O111" i="44" s="1"/>
  <c r="L103" i="44"/>
  <c r="O103" i="44" s="1"/>
  <c r="L95" i="44"/>
  <c r="O95" i="44" s="1"/>
  <c r="O119" i="45"/>
  <c r="O111" i="45"/>
  <c r="O103" i="45"/>
  <c r="O95" i="45"/>
  <c r="O97" i="47"/>
  <c r="O89" i="47"/>
  <c r="O111" i="33"/>
  <c r="O103" i="33"/>
  <c r="O95" i="33"/>
  <c r="O119" i="43"/>
  <c r="O111" i="43"/>
  <c r="O119" i="48"/>
  <c r="O103" i="43"/>
  <c r="O125" i="45"/>
  <c r="O119" i="47"/>
  <c r="O111" i="47"/>
  <c r="O111" i="46"/>
  <c r="O103" i="46"/>
  <c r="O95" i="46"/>
  <c r="O111" i="48"/>
  <c r="O103" i="48"/>
  <c r="O95" i="48"/>
  <c r="O103" i="47"/>
  <c r="O95" i="47"/>
  <c r="O120" i="45"/>
  <c r="O80" i="46"/>
  <c r="O80" i="47"/>
  <c r="O72" i="47"/>
  <c r="O72" i="46"/>
  <c r="O76" i="48"/>
  <c r="O72" i="33"/>
  <c r="O72" i="43"/>
  <c r="L80" i="44"/>
  <c r="O80" i="44" s="1"/>
  <c r="L72" i="44"/>
  <c r="O72" i="44" s="1"/>
  <c r="O80" i="48"/>
  <c r="O72" i="48"/>
  <c r="O86" i="47"/>
  <c r="L62" i="44"/>
  <c r="O62" i="44" s="1"/>
  <c r="O62" i="48"/>
  <c r="O53" i="43"/>
  <c r="L53" i="44"/>
  <c r="O53" i="44" s="1"/>
  <c r="O53" i="46"/>
  <c r="O53" i="33"/>
  <c r="O53" i="47"/>
  <c r="L45" i="44"/>
  <c r="O45" i="44" s="1"/>
  <c r="O45" i="43"/>
  <c r="O45" i="45"/>
  <c r="O45" i="47"/>
  <c r="O45" i="48"/>
  <c r="L28" i="44"/>
  <c r="O28" i="44" s="1"/>
  <c r="O28" i="48"/>
  <c r="O29" i="33"/>
  <c r="O28" i="43"/>
  <c r="O28" i="45"/>
  <c r="O33" i="47"/>
  <c r="O29" i="46"/>
  <c r="O29" i="47"/>
  <c r="O28" i="33"/>
  <c r="O22" i="45"/>
  <c r="O19" i="43"/>
  <c r="O19" i="47"/>
  <c r="L19" i="44"/>
  <c r="O19" i="44" s="1"/>
  <c r="O14" i="46"/>
  <c r="O19" i="33"/>
  <c r="O14" i="43"/>
  <c r="O14" i="47"/>
  <c r="L14" i="44"/>
  <c r="O14" i="44" s="1"/>
  <c r="O19" i="48"/>
  <c r="O14" i="33"/>
  <c r="O14" i="48"/>
  <c r="O82" i="44"/>
  <c r="O85" i="46"/>
  <c r="O117" i="43"/>
  <c r="O97" i="48"/>
  <c r="O118" i="33"/>
  <c r="O115" i="33"/>
  <c r="O87" i="43"/>
  <c r="O22" i="47"/>
  <c r="O52" i="46"/>
  <c r="O90" i="48"/>
  <c r="O32" i="33"/>
  <c r="O133" i="33"/>
  <c r="O37" i="43"/>
  <c r="O130" i="44"/>
  <c r="O66" i="44"/>
  <c r="O15" i="48"/>
  <c r="O55" i="33"/>
  <c r="O25" i="43"/>
  <c r="O40" i="43"/>
  <c r="O123" i="43"/>
  <c r="O120" i="43"/>
  <c r="O44" i="45"/>
  <c r="O99" i="47"/>
  <c r="O78" i="44"/>
  <c r="O56" i="46"/>
  <c r="O117" i="45"/>
  <c r="O29" i="44"/>
  <c r="O125" i="33"/>
  <c r="O63" i="46"/>
  <c r="O16" i="46"/>
  <c r="O26" i="45"/>
  <c r="O74" i="44"/>
  <c r="O81" i="46"/>
  <c r="O38" i="44"/>
  <c r="O92" i="33"/>
  <c r="O20" i="46"/>
  <c r="O35" i="43"/>
  <c r="O85" i="47"/>
  <c r="O135" i="47"/>
  <c r="O17" i="44"/>
  <c r="O35" i="44"/>
  <c r="O126" i="46"/>
  <c r="O97" i="46"/>
  <c r="O89" i="46"/>
  <c r="O34" i="48"/>
  <c r="O73" i="48"/>
  <c r="O24" i="33"/>
  <c r="O65" i="33"/>
  <c r="O62" i="33"/>
  <c r="O137" i="33"/>
  <c r="O20" i="43"/>
  <c r="O24" i="43"/>
  <c r="O46" i="43"/>
  <c r="O69" i="43"/>
  <c r="O18" i="47"/>
  <c r="O57" i="47"/>
  <c r="O16" i="44"/>
  <c r="O30" i="46"/>
  <c r="O92" i="46"/>
  <c r="O98" i="48"/>
  <c r="O109" i="33"/>
  <c r="O102" i="43"/>
  <c r="O34" i="45"/>
  <c r="O24" i="47"/>
  <c r="O115" i="47"/>
  <c r="O55" i="46"/>
  <c r="O62" i="46"/>
  <c r="O118" i="46"/>
  <c r="O15" i="33"/>
  <c r="O86" i="44"/>
  <c r="O87" i="46"/>
  <c r="O86" i="33"/>
  <c r="O112" i="33"/>
  <c r="O18" i="43"/>
  <c r="O60" i="48"/>
  <c r="O85" i="48"/>
  <c r="O135" i="43"/>
  <c r="O37" i="45"/>
  <c r="O114" i="45"/>
  <c r="O26" i="47"/>
  <c r="O81" i="47"/>
  <c r="O113" i="47"/>
  <c r="O112" i="44"/>
  <c r="O125" i="48"/>
  <c r="O85" i="33"/>
  <c r="O93" i="47"/>
  <c r="O131" i="47"/>
  <c r="O25" i="44"/>
  <c r="O113" i="44"/>
  <c r="O106" i="44"/>
  <c r="O19" i="46"/>
  <c r="O49" i="47"/>
  <c r="O44" i="44"/>
  <c r="O70" i="44"/>
  <c r="O116" i="44"/>
  <c r="O37" i="48"/>
  <c r="O57" i="46"/>
  <c r="O73" i="43"/>
  <c r="O107" i="43"/>
  <c r="O15" i="45"/>
  <c r="O69" i="45"/>
  <c r="O118" i="47"/>
  <c r="O33" i="44"/>
  <c r="O121" i="44"/>
  <c r="O108" i="44"/>
  <c r="O32" i="46"/>
  <c r="O132" i="45"/>
  <c r="O64" i="46"/>
  <c r="O119" i="46"/>
  <c r="O48" i="43"/>
  <c r="O76" i="43"/>
  <c r="O14" i="45"/>
  <c r="O135" i="45"/>
  <c r="O110" i="47"/>
  <c r="O109" i="45"/>
  <c r="O32" i="47"/>
  <c r="O25" i="47"/>
  <c r="O92" i="47"/>
  <c r="O131" i="48"/>
  <c r="O31" i="33"/>
  <c r="O119" i="33"/>
  <c r="O108" i="43"/>
  <c r="O19" i="45"/>
  <c r="O122" i="33"/>
  <c r="O17" i="43"/>
  <c r="O95" i="43"/>
  <c r="O28" i="47"/>
  <c r="O50" i="47"/>
  <c r="O54" i="47"/>
  <c r="O70" i="47"/>
  <c r="O118" i="45"/>
  <c r="B48" i="41"/>
  <c r="B47" i="41"/>
  <c r="B48" i="40"/>
  <c r="B47" i="40"/>
  <c r="E139" i="50"/>
  <c r="D139" i="50"/>
  <c r="C139" i="50"/>
  <c r="B139" i="50"/>
  <c r="E138" i="50"/>
  <c r="D138" i="50"/>
  <c r="C138" i="50"/>
  <c r="B138" i="50"/>
  <c r="E137" i="50"/>
  <c r="D137" i="50"/>
  <c r="C137" i="50"/>
  <c r="B137" i="50"/>
  <c r="E136" i="50"/>
  <c r="D136" i="50"/>
  <c r="C136" i="50"/>
  <c r="B136" i="50"/>
  <c r="E135" i="50"/>
  <c r="D135" i="50"/>
  <c r="C135" i="50"/>
  <c r="B135" i="50"/>
  <c r="E134" i="50"/>
  <c r="D134" i="50"/>
  <c r="C134" i="50"/>
  <c r="B134" i="50"/>
  <c r="E133" i="50"/>
  <c r="D133" i="50"/>
  <c r="C133" i="50"/>
  <c r="B133" i="50"/>
  <c r="E132" i="50"/>
  <c r="D132" i="50"/>
  <c r="C132" i="50"/>
  <c r="B132" i="50"/>
  <c r="E131" i="50"/>
  <c r="D131" i="50"/>
  <c r="C131" i="50"/>
  <c r="B131" i="50"/>
  <c r="E130" i="50"/>
  <c r="D130" i="50"/>
  <c r="C130" i="50"/>
  <c r="B130" i="50"/>
  <c r="B129" i="50"/>
  <c r="E128" i="50"/>
  <c r="D128" i="50"/>
  <c r="C128" i="50"/>
  <c r="B128" i="50"/>
  <c r="E127" i="50"/>
  <c r="D127" i="50"/>
  <c r="C127" i="50"/>
  <c r="B127" i="50"/>
  <c r="E126" i="50"/>
  <c r="D126" i="50"/>
  <c r="C126" i="50"/>
  <c r="B126" i="50"/>
  <c r="E125" i="50"/>
  <c r="D125" i="50"/>
  <c r="C125" i="50"/>
  <c r="B125" i="50"/>
  <c r="E124" i="50"/>
  <c r="D124" i="50"/>
  <c r="C124" i="50"/>
  <c r="B124" i="50"/>
  <c r="E123" i="50"/>
  <c r="D123" i="50"/>
  <c r="C123" i="50"/>
  <c r="B123" i="50"/>
  <c r="E122" i="50"/>
  <c r="D122" i="50"/>
  <c r="C122" i="50"/>
  <c r="B122" i="50"/>
  <c r="E121" i="50"/>
  <c r="D121" i="50"/>
  <c r="C121" i="50"/>
  <c r="B121" i="50"/>
  <c r="E120" i="50"/>
  <c r="D120" i="50"/>
  <c r="C120" i="50"/>
  <c r="B120" i="50"/>
  <c r="E119" i="50"/>
  <c r="D119" i="50"/>
  <c r="C119" i="50"/>
  <c r="B119" i="50"/>
  <c r="E118" i="50"/>
  <c r="D118" i="50"/>
  <c r="C118" i="50"/>
  <c r="B118" i="50"/>
  <c r="E117" i="50"/>
  <c r="D117" i="50"/>
  <c r="C117" i="50"/>
  <c r="B117" i="50"/>
  <c r="E116" i="50"/>
  <c r="D116" i="50"/>
  <c r="C116" i="50"/>
  <c r="B116" i="50"/>
  <c r="E115" i="50"/>
  <c r="D115" i="50"/>
  <c r="C115" i="50"/>
  <c r="B115" i="50"/>
  <c r="E114" i="50"/>
  <c r="D114" i="50"/>
  <c r="C114" i="50"/>
  <c r="B114" i="50"/>
  <c r="E113" i="50"/>
  <c r="D113" i="50"/>
  <c r="C113" i="50"/>
  <c r="B113" i="50"/>
  <c r="E112" i="50"/>
  <c r="D112" i="50"/>
  <c r="C112" i="50"/>
  <c r="B112" i="50"/>
  <c r="E111" i="50"/>
  <c r="D111" i="50"/>
  <c r="C111" i="50"/>
  <c r="B111" i="50"/>
  <c r="E110" i="50"/>
  <c r="D110" i="50"/>
  <c r="C110" i="50"/>
  <c r="B110" i="50"/>
  <c r="E109" i="50"/>
  <c r="D109" i="50"/>
  <c r="C109" i="50"/>
  <c r="B109" i="50"/>
  <c r="E108" i="50"/>
  <c r="D108" i="50"/>
  <c r="C108" i="50"/>
  <c r="B108" i="50"/>
  <c r="D107" i="50"/>
  <c r="C107" i="50"/>
  <c r="B107" i="50"/>
  <c r="D106" i="50"/>
  <c r="C106" i="50"/>
  <c r="B106" i="50"/>
  <c r="D105" i="50"/>
  <c r="C105" i="50"/>
  <c r="B105" i="50"/>
  <c r="D104" i="50"/>
  <c r="C104" i="50"/>
  <c r="B104" i="50"/>
  <c r="D103" i="50"/>
  <c r="C103" i="50"/>
  <c r="B103" i="50"/>
  <c r="D102" i="50"/>
  <c r="C102" i="50"/>
  <c r="B102" i="50"/>
  <c r="D101" i="50"/>
  <c r="C101" i="50"/>
  <c r="B101" i="50"/>
  <c r="D100" i="50"/>
  <c r="C100" i="50"/>
  <c r="B100" i="50"/>
  <c r="D99" i="50"/>
  <c r="C99" i="50"/>
  <c r="B99" i="50"/>
  <c r="D98" i="50"/>
  <c r="C98" i="50"/>
  <c r="B98" i="50"/>
  <c r="D97" i="50"/>
  <c r="C97" i="50"/>
  <c r="B97" i="50"/>
  <c r="D96" i="50"/>
  <c r="C96" i="50"/>
  <c r="B96" i="50"/>
  <c r="E95" i="50"/>
  <c r="D95" i="50"/>
  <c r="C95" i="50"/>
  <c r="B95" i="50"/>
  <c r="E94" i="50"/>
  <c r="D94" i="50"/>
  <c r="C94" i="50"/>
  <c r="B94" i="50"/>
  <c r="E93" i="50"/>
  <c r="D93" i="50"/>
  <c r="C93" i="50"/>
  <c r="B93" i="50"/>
  <c r="E92" i="50"/>
  <c r="D92" i="50"/>
  <c r="C92" i="50"/>
  <c r="B92" i="50"/>
  <c r="E91" i="50"/>
  <c r="D91" i="50"/>
  <c r="C91" i="50"/>
  <c r="B91" i="50"/>
  <c r="B90" i="50"/>
  <c r="E89" i="50"/>
  <c r="D89" i="50"/>
  <c r="C89" i="50"/>
  <c r="B89" i="50"/>
  <c r="E88" i="50"/>
  <c r="D88" i="50"/>
  <c r="C88" i="50"/>
  <c r="B88" i="50"/>
  <c r="E87" i="50"/>
  <c r="D87" i="50"/>
  <c r="C87" i="50"/>
  <c r="B87" i="50"/>
  <c r="E86" i="50"/>
  <c r="D86" i="50"/>
  <c r="C86" i="50"/>
  <c r="B86" i="50"/>
  <c r="E85" i="50"/>
  <c r="D85" i="50"/>
  <c r="C85" i="50"/>
  <c r="B85" i="50"/>
  <c r="E84" i="50"/>
  <c r="D84" i="50"/>
  <c r="C84" i="50"/>
  <c r="B84" i="50"/>
  <c r="E83" i="50"/>
  <c r="D83" i="50"/>
  <c r="C83" i="50"/>
  <c r="B83" i="50"/>
  <c r="E82" i="50"/>
  <c r="D82" i="50"/>
  <c r="C82" i="50"/>
  <c r="B82" i="50"/>
  <c r="E81" i="50"/>
  <c r="D81" i="50"/>
  <c r="C81" i="50"/>
  <c r="B81" i="50"/>
  <c r="E80" i="50"/>
  <c r="D80" i="50"/>
  <c r="C80" i="50"/>
  <c r="B80" i="50"/>
  <c r="D79" i="50"/>
  <c r="C79" i="50"/>
  <c r="B79" i="50"/>
  <c r="D78" i="50"/>
  <c r="C78" i="50"/>
  <c r="B78" i="50"/>
  <c r="D77" i="50"/>
  <c r="C77" i="50"/>
  <c r="B77" i="50"/>
  <c r="D76" i="50"/>
  <c r="C76" i="50"/>
  <c r="B76" i="50"/>
  <c r="D75" i="50"/>
  <c r="C75" i="50"/>
  <c r="B75" i="50"/>
  <c r="D74" i="50"/>
  <c r="C74" i="50"/>
  <c r="B74" i="50"/>
  <c r="D73" i="50"/>
  <c r="C73" i="50"/>
  <c r="B73" i="50"/>
  <c r="D72" i="50"/>
  <c r="C72" i="50"/>
  <c r="B72" i="50"/>
  <c r="D71" i="50"/>
  <c r="C71" i="50"/>
  <c r="B71" i="50"/>
  <c r="D70" i="50"/>
  <c r="C70" i="50"/>
  <c r="B70" i="50"/>
  <c r="B69" i="50"/>
  <c r="E68" i="50"/>
  <c r="D68" i="50"/>
  <c r="C68" i="50"/>
  <c r="B68" i="50"/>
  <c r="E67" i="50"/>
  <c r="D67" i="50"/>
  <c r="C67" i="50"/>
  <c r="B67" i="50"/>
  <c r="E66" i="50"/>
  <c r="D66" i="50"/>
  <c r="C66" i="50"/>
  <c r="B66" i="50"/>
  <c r="E65" i="50"/>
  <c r="D65" i="50"/>
  <c r="C65" i="50"/>
  <c r="B65" i="50"/>
  <c r="E64" i="50"/>
  <c r="D64" i="50"/>
  <c r="C64" i="50"/>
  <c r="B64" i="50"/>
  <c r="B63" i="50"/>
  <c r="E62" i="50"/>
  <c r="D62" i="50"/>
  <c r="C62" i="50"/>
  <c r="B62" i="50"/>
  <c r="E61" i="50"/>
  <c r="D61" i="50"/>
  <c r="C61" i="50"/>
  <c r="B61" i="50"/>
  <c r="E60" i="50"/>
  <c r="D60" i="50"/>
  <c r="C60" i="50"/>
  <c r="B60" i="50"/>
  <c r="E59" i="50"/>
  <c r="D59" i="50"/>
  <c r="C59" i="50"/>
  <c r="B59" i="50"/>
  <c r="E58" i="50"/>
  <c r="D58" i="50"/>
  <c r="C58" i="50"/>
  <c r="B58" i="50"/>
  <c r="E57" i="50"/>
  <c r="D57" i="50"/>
  <c r="C57" i="50"/>
  <c r="B57" i="50"/>
  <c r="E56" i="50"/>
  <c r="D56" i="50"/>
  <c r="C56" i="50"/>
  <c r="B56" i="50"/>
  <c r="E55" i="50"/>
  <c r="D55" i="50"/>
  <c r="C55" i="50"/>
  <c r="B55" i="50"/>
  <c r="E54" i="50"/>
  <c r="D54" i="50"/>
  <c r="C54" i="50"/>
  <c r="B54" i="50"/>
  <c r="B53" i="50"/>
  <c r="E52" i="50"/>
  <c r="D52" i="50"/>
  <c r="C52" i="50"/>
  <c r="B52" i="50"/>
  <c r="D51" i="50"/>
  <c r="C51" i="50"/>
  <c r="B51" i="50"/>
  <c r="D50" i="50"/>
  <c r="C50" i="50"/>
  <c r="B50" i="50"/>
  <c r="E49" i="50"/>
  <c r="D49" i="50"/>
  <c r="C49" i="50"/>
  <c r="B49" i="50"/>
  <c r="E48" i="50"/>
  <c r="D48" i="50"/>
  <c r="C48" i="50"/>
  <c r="B48" i="50"/>
  <c r="E47" i="50"/>
  <c r="D47" i="50"/>
  <c r="C47" i="50"/>
  <c r="B47" i="50"/>
  <c r="E46" i="50"/>
  <c r="D46" i="50"/>
  <c r="C46" i="50"/>
  <c r="B46" i="50"/>
  <c r="E45" i="50"/>
  <c r="D45" i="50"/>
  <c r="C45" i="50"/>
  <c r="B45" i="50"/>
  <c r="E44" i="50"/>
  <c r="D44" i="50"/>
  <c r="C44" i="50"/>
  <c r="B44" i="50"/>
  <c r="B43" i="50"/>
  <c r="E42" i="50"/>
  <c r="D42" i="50"/>
  <c r="C42" i="50"/>
  <c r="B42" i="50"/>
  <c r="E41" i="50"/>
  <c r="D41" i="50"/>
  <c r="C41" i="50"/>
  <c r="B41" i="50"/>
  <c r="E40" i="50"/>
  <c r="D40" i="50"/>
  <c r="C40" i="50"/>
  <c r="B40" i="50"/>
  <c r="E39" i="50"/>
  <c r="D39" i="50"/>
  <c r="C39" i="50"/>
  <c r="B39" i="50"/>
  <c r="B38" i="50"/>
  <c r="E37" i="50"/>
  <c r="D37" i="50"/>
  <c r="C37" i="50"/>
  <c r="B37" i="50"/>
  <c r="E36" i="50"/>
  <c r="D36" i="50"/>
  <c r="C36" i="50"/>
  <c r="B36" i="50"/>
  <c r="E35" i="50"/>
  <c r="D35" i="50"/>
  <c r="C35" i="50"/>
  <c r="B35" i="50"/>
  <c r="E34" i="50"/>
  <c r="D34" i="50"/>
  <c r="C34" i="50"/>
  <c r="B34" i="50"/>
  <c r="E33" i="50"/>
  <c r="D33" i="50"/>
  <c r="C33" i="50"/>
  <c r="B33" i="50"/>
  <c r="E32" i="50"/>
  <c r="D32" i="50"/>
  <c r="C32" i="50"/>
  <c r="B32" i="50"/>
  <c r="E31" i="50"/>
  <c r="D31" i="50"/>
  <c r="C31" i="50"/>
  <c r="B31" i="50"/>
  <c r="E30" i="50"/>
  <c r="D30" i="50"/>
  <c r="C30" i="50"/>
  <c r="B30" i="50"/>
  <c r="E29" i="50"/>
  <c r="D29" i="50"/>
  <c r="C29" i="50"/>
  <c r="B29" i="50"/>
  <c r="E28" i="50"/>
  <c r="D28" i="50"/>
  <c r="C28" i="50"/>
  <c r="B28" i="50"/>
  <c r="E27" i="50"/>
  <c r="D27" i="50"/>
  <c r="C27" i="50"/>
  <c r="B27" i="50"/>
  <c r="E26" i="50"/>
  <c r="D26" i="50"/>
  <c r="C26" i="50"/>
  <c r="B26" i="50"/>
  <c r="E25" i="50"/>
  <c r="D25" i="50"/>
  <c r="C25" i="50"/>
  <c r="B25" i="50"/>
  <c r="E24" i="50"/>
  <c r="D24" i="50"/>
  <c r="C24" i="50"/>
  <c r="B24" i="50"/>
  <c r="B23" i="50"/>
  <c r="E22" i="50"/>
  <c r="D22" i="50"/>
  <c r="C22" i="50"/>
  <c r="B22" i="50"/>
  <c r="E21" i="50"/>
  <c r="D21" i="50"/>
  <c r="C21" i="50"/>
  <c r="B21" i="50"/>
  <c r="E20" i="50"/>
  <c r="D20" i="50"/>
  <c r="C20" i="50"/>
  <c r="B20" i="50"/>
  <c r="E19" i="50"/>
  <c r="D19" i="50"/>
  <c r="C19" i="50"/>
  <c r="B19" i="50"/>
  <c r="E18" i="50"/>
  <c r="D18" i="50"/>
  <c r="C18" i="50"/>
  <c r="B18" i="50"/>
  <c r="E17" i="50"/>
  <c r="D17" i="50"/>
  <c r="C17" i="50"/>
  <c r="B17" i="50"/>
  <c r="E16" i="50"/>
  <c r="D16" i="50"/>
  <c r="C16" i="50"/>
  <c r="B16" i="50"/>
  <c r="B15" i="50"/>
  <c r="C14" i="50"/>
  <c r="B13" i="50"/>
  <c r="U9" i="57" l="1"/>
  <c r="O15" i="57" s="1"/>
  <c r="P9" i="57"/>
  <c r="Z4" i="9"/>
  <c r="O12" i="45"/>
  <c r="O12" i="48"/>
  <c r="M46" i="34"/>
  <c r="R46" i="34" s="1"/>
  <c r="M73" i="34"/>
  <c r="R73" i="34" s="1"/>
  <c r="M21" i="34"/>
  <c r="R21" i="34" s="1"/>
  <c r="M2" i="34" l="1"/>
  <c r="R2" i="34" s="1"/>
  <c r="M4" i="34"/>
  <c r="R4" i="34" s="1"/>
  <c r="M5" i="34"/>
  <c r="R5" i="34" s="1"/>
  <c r="M6" i="34"/>
  <c r="R6" i="34" s="1"/>
  <c r="M7" i="34"/>
  <c r="R7" i="34" s="1"/>
  <c r="R10" i="34"/>
  <c r="R11" i="34"/>
  <c r="M13" i="34"/>
  <c r="R13" i="34" s="1"/>
  <c r="M14" i="34"/>
  <c r="R14" i="34" s="1"/>
  <c r="M16" i="34"/>
  <c r="R16" i="34" s="1"/>
  <c r="M17" i="34"/>
  <c r="R17" i="34" s="1"/>
  <c r="M18" i="34"/>
  <c r="R18" i="34" s="1"/>
  <c r="M19" i="34"/>
  <c r="R19" i="34" s="1"/>
  <c r="M20" i="34"/>
  <c r="R20" i="34" s="1"/>
  <c r="M24" i="34"/>
  <c r="R24" i="34" s="1"/>
  <c r="M25" i="34"/>
  <c r="R25" i="34" s="1"/>
  <c r="M26" i="34"/>
  <c r="R26" i="34" s="1"/>
  <c r="M28" i="34"/>
  <c r="R28" i="34" s="1"/>
  <c r="M29" i="34"/>
  <c r="R29" i="34" s="1"/>
  <c r="M32" i="34"/>
  <c r="R32" i="34" s="1"/>
  <c r="M33" i="34"/>
  <c r="R33" i="34" s="1"/>
  <c r="M34" i="34"/>
  <c r="R34" i="34" s="1"/>
  <c r="M35" i="34"/>
  <c r="R35" i="34" s="1"/>
  <c r="M37" i="34"/>
  <c r="R37" i="34" s="1"/>
  <c r="M38" i="34"/>
  <c r="R38" i="34" s="1"/>
  <c r="M42" i="34"/>
  <c r="R42" i="34" s="1"/>
  <c r="M43" i="34"/>
  <c r="R43" i="34" s="1"/>
  <c r="M44" i="34"/>
  <c r="R44" i="34" s="1"/>
  <c r="M45" i="34"/>
  <c r="R45" i="34" s="1"/>
  <c r="M47" i="34"/>
  <c r="R47" i="34" s="1"/>
  <c r="M48" i="34"/>
  <c r="R48" i="34" s="1"/>
  <c r="M51" i="34"/>
  <c r="R51" i="34" s="1"/>
  <c r="R52" i="34"/>
  <c r="M53" i="34"/>
  <c r="R53" i="34" s="1"/>
  <c r="M54" i="34"/>
  <c r="R54" i="34" s="1"/>
  <c r="M55" i="34"/>
  <c r="R55" i="34" s="1"/>
  <c r="M56" i="34"/>
  <c r="R56" i="34" s="1"/>
  <c r="M57" i="34"/>
  <c r="R57" i="34" s="1"/>
  <c r="M58" i="34"/>
  <c r="R58" i="34" s="1"/>
  <c r="M59" i="34"/>
  <c r="R59" i="34" s="1"/>
  <c r="M60" i="34"/>
  <c r="R60" i="34" s="1"/>
  <c r="M64" i="34"/>
  <c r="R64" i="34" s="1"/>
  <c r="M68" i="34"/>
  <c r="R68" i="34" s="1"/>
  <c r="M69" i="34"/>
  <c r="R69" i="34" s="1"/>
  <c r="M70" i="34"/>
  <c r="R70" i="34" s="1"/>
  <c r="M72" i="34"/>
  <c r="R72" i="34" s="1"/>
  <c r="M74" i="34"/>
  <c r="R74" i="34" s="1"/>
  <c r="M76" i="34"/>
  <c r="R76" i="34" s="1"/>
  <c r="M77" i="34"/>
  <c r="R77" i="34" s="1"/>
  <c r="R78" i="34"/>
  <c r="M79" i="34"/>
  <c r="R79" i="34" s="1"/>
  <c r="M80" i="34"/>
  <c r="R80" i="34" s="1"/>
  <c r="M81" i="34"/>
  <c r="R81" i="34" s="1"/>
  <c r="M82" i="34"/>
  <c r="R82" i="34" s="1"/>
  <c r="M83" i="34"/>
  <c r="R83" i="34" s="1"/>
  <c r="M84" i="34"/>
  <c r="R84" i="34" s="1"/>
  <c r="M85" i="34"/>
  <c r="R85" i="34" s="1"/>
  <c r="M86" i="34"/>
  <c r="R86" i="34" s="1"/>
  <c r="M87" i="34"/>
  <c r="R87" i="34" s="1"/>
  <c r="M89" i="34"/>
  <c r="R89" i="34" s="1"/>
  <c r="M90" i="34"/>
  <c r="R90" i="34" s="1"/>
  <c r="M91" i="34"/>
  <c r="R91" i="34" s="1"/>
  <c r="M92" i="34"/>
  <c r="R92" i="34" s="1"/>
  <c r="M93" i="34"/>
  <c r="R93" i="34" s="1"/>
  <c r="M94" i="34"/>
  <c r="R94" i="34" s="1"/>
  <c r="M97" i="34"/>
  <c r="R97" i="34" s="1"/>
  <c r="M101" i="34"/>
  <c r="R101" i="34" s="1"/>
  <c r="M104" i="34"/>
  <c r="R104" i="34" s="1"/>
  <c r="M105" i="34"/>
  <c r="R105" i="34" s="1"/>
  <c r="M107" i="34"/>
  <c r="R107" i="34" s="1"/>
  <c r="M109" i="34"/>
  <c r="R109" i="34" s="1"/>
  <c r="M110" i="34"/>
  <c r="R110" i="34" s="1"/>
  <c r="M111" i="34"/>
  <c r="R111" i="34" s="1"/>
  <c r="M112" i="34"/>
  <c r="R112" i="34" s="1"/>
  <c r="M113" i="34"/>
  <c r="R113" i="34" s="1"/>
  <c r="M114" i="34"/>
  <c r="R114" i="34" s="1"/>
  <c r="M115" i="34"/>
  <c r="R115" i="34" s="1"/>
  <c r="M116" i="34"/>
  <c r="R116" i="34" s="1"/>
  <c r="M117" i="34"/>
  <c r="R117" i="34" s="1"/>
  <c r="M118" i="34"/>
  <c r="R118" i="34" s="1"/>
  <c r="B32" i="49"/>
  <c r="C32" i="49"/>
  <c r="D32" i="49"/>
  <c r="E32" i="49"/>
  <c r="B31" i="49"/>
  <c r="C31" i="49"/>
  <c r="D31" i="49"/>
  <c r="E31" i="49"/>
  <c r="B30" i="49"/>
  <c r="C30" i="49"/>
  <c r="D30" i="49"/>
  <c r="E30" i="49"/>
  <c r="B28" i="49"/>
  <c r="C28" i="49"/>
  <c r="D28" i="49"/>
  <c r="E28" i="49"/>
  <c r="B26" i="33"/>
  <c r="C26" i="33"/>
  <c r="D26" i="33"/>
  <c r="I26" i="33"/>
  <c r="B26" i="42"/>
  <c r="C26" i="42"/>
  <c r="D26" i="42"/>
  <c r="I26" i="42"/>
  <c r="B26" i="43"/>
  <c r="C26" i="43"/>
  <c r="D26" i="43"/>
  <c r="I26" i="43"/>
  <c r="B26" i="44"/>
  <c r="C26" i="44"/>
  <c r="D26" i="44"/>
  <c r="I26" i="44"/>
  <c r="B26" i="45"/>
  <c r="C26" i="45"/>
  <c r="D26" i="45"/>
  <c r="I26" i="45"/>
  <c r="B26" i="46"/>
  <c r="C26" i="46"/>
  <c r="D26" i="46"/>
  <c r="I26" i="46"/>
  <c r="B26" i="47"/>
  <c r="C26" i="47"/>
  <c r="D26" i="47"/>
  <c r="I26" i="47"/>
  <c r="B26" i="48"/>
  <c r="C26" i="48"/>
  <c r="D26" i="48"/>
  <c r="I26" i="48"/>
  <c r="F14" i="34"/>
  <c r="E14" i="34"/>
  <c r="E139" i="49"/>
  <c r="D139" i="49"/>
  <c r="C139" i="49"/>
  <c r="B139" i="49"/>
  <c r="E138" i="49"/>
  <c r="D138" i="49"/>
  <c r="C138" i="49"/>
  <c r="B138" i="49"/>
  <c r="E137" i="49"/>
  <c r="D137" i="49"/>
  <c r="C137" i="49"/>
  <c r="B137" i="49"/>
  <c r="E136" i="49"/>
  <c r="D136" i="49"/>
  <c r="C136" i="49"/>
  <c r="B136" i="49"/>
  <c r="E135" i="49"/>
  <c r="D135" i="49"/>
  <c r="C135" i="49"/>
  <c r="B135" i="49"/>
  <c r="E134" i="49"/>
  <c r="D134" i="49"/>
  <c r="C134" i="49"/>
  <c r="B134" i="49"/>
  <c r="E133" i="49"/>
  <c r="D133" i="49"/>
  <c r="C133" i="49"/>
  <c r="B133" i="49"/>
  <c r="E132" i="49"/>
  <c r="D132" i="49"/>
  <c r="C132" i="49"/>
  <c r="B132" i="49"/>
  <c r="E131" i="49"/>
  <c r="D131" i="49"/>
  <c r="C131" i="49"/>
  <c r="B131" i="49"/>
  <c r="E130" i="49"/>
  <c r="D130" i="49"/>
  <c r="C130" i="49"/>
  <c r="B130" i="49"/>
  <c r="B129" i="49"/>
  <c r="E128" i="49"/>
  <c r="D128" i="49"/>
  <c r="C128" i="49"/>
  <c r="B128" i="49"/>
  <c r="E127" i="49"/>
  <c r="D127" i="49"/>
  <c r="C127" i="49"/>
  <c r="B127" i="49"/>
  <c r="E126" i="49"/>
  <c r="D126" i="49"/>
  <c r="C126" i="49"/>
  <c r="B126" i="49"/>
  <c r="E125" i="49"/>
  <c r="D125" i="49"/>
  <c r="C125" i="49"/>
  <c r="B125" i="49"/>
  <c r="E124" i="49"/>
  <c r="D124" i="49"/>
  <c r="C124" i="49"/>
  <c r="B124" i="49"/>
  <c r="E123" i="49"/>
  <c r="D123" i="49"/>
  <c r="C123" i="49"/>
  <c r="B123" i="49"/>
  <c r="E122" i="49"/>
  <c r="D122" i="49"/>
  <c r="C122" i="49"/>
  <c r="B122" i="49"/>
  <c r="E121" i="49"/>
  <c r="D121" i="49"/>
  <c r="C121" i="49"/>
  <c r="B121" i="49"/>
  <c r="E120" i="49"/>
  <c r="D120" i="49"/>
  <c r="C120" i="49"/>
  <c r="B120" i="49"/>
  <c r="E119" i="49"/>
  <c r="D119" i="49"/>
  <c r="C119" i="49"/>
  <c r="B119" i="49"/>
  <c r="E118" i="49"/>
  <c r="D118" i="49"/>
  <c r="C118" i="49"/>
  <c r="B118" i="49"/>
  <c r="E117" i="49"/>
  <c r="D117" i="49"/>
  <c r="C117" i="49"/>
  <c r="B117" i="49"/>
  <c r="E116" i="49"/>
  <c r="D116" i="49"/>
  <c r="C116" i="49"/>
  <c r="B116" i="49"/>
  <c r="E115" i="49"/>
  <c r="D115" i="49"/>
  <c r="C115" i="49"/>
  <c r="B115" i="49"/>
  <c r="E114" i="49"/>
  <c r="D114" i="49"/>
  <c r="C114" i="49"/>
  <c r="B114" i="49"/>
  <c r="E113" i="49"/>
  <c r="D113" i="49"/>
  <c r="C113" i="49"/>
  <c r="B113" i="49"/>
  <c r="E112" i="49"/>
  <c r="D112" i="49"/>
  <c r="C112" i="49"/>
  <c r="B112" i="49"/>
  <c r="E111" i="49"/>
  <c r="D111" i="49"/>
  <c r="C111" i="49"/>
  <c r="B111" i="49"/>
  <c r="E110" i="49"/>
  <c r="D110" i="49"/>
  <c r="C110" i="49"/>
  <c r="B110" i="49"/>
  <c r="E109" i="49"/>
  <c r="D109" i="49"/>
  <c r="C109" i="49"/>
  <c r="B109" i="49"/>
  <c r="E108" i="49"/>
  <c r="D108" i="49"/>
  <c r="C108" i="49"/>
  <c r="B108" i="49"/>
  <c r="D107" i="49"/>
  <c r="C107" i="49"/>
  <c r="B107" i="49"/>
  <c r="D106" i="49"/>
  <c r="C106" i="49"/>
  <c r="B106" i="49"/>
  <c r="D105" i="49"/>
  <c r="C105" i="49"/>
  <c r="B105" i="49"/>
  <c r="D104" i="49"/>
  <c r="C104" i="49"/>
  <c r="B104" i="49"/>
  <c r="D103" i="49"/>
  <c r="C103" i="49"/>
  <c r="B103" i="49"/>
  <c r="D102" i="49"/>
  <c r="C102" i="49"/>
  <c r="B102" i="49"/>
  <c r="D101" i="49"/>
  <c r="C101" i="49"/>
  <c r="B101" i="49"/>
  <c r="D100" i="49"/>
  <c r="C100" i="49"/>
  <c r="B100" i="49"/>
  <c r="D99" i="49"/>
  <c r="C99" i="49"/>
  <c r="B99" i="49"/>
  <c r="D98" i="49"/>
  <c r="C98" i="49"/>
  <c r="B98" i="49"/>
  <c r="D97" i="49"/>
  <c r="C97" i="49"/>
  <c r="B97" i="49"/>
  <c r="D96" i="49"/>
  <c r="C96" i="49"/>
  <c r="B96" i="49"/>
  <c r="E95" i="49"/>
  <c r="D95" i="49"/>
  <c r="C95" i="49"/>
  <c r="B95" i="49"/>
  <c r="E94" i="49"/>
  <c r="D94" i="49"/>
  <c r="C94" i="49"/>
  <c r="B94" i="49"/>
  <c r="E93" i="49"/>
  <c r="D93" i="49"/>
  <c r="C93" i="49"/>
  <c r="B93" i="49"/>
  <c r="E92" i="49"/>
  <c r="D92" i="49"/>
  <c r="C92" i="49"/>
  <c r="B92" i="49"/>
  <c r="E91" i="49"/>
  <c r="D91" i="49"/>
  <c r="C91" i="49"/>
  <c r="B91" i="49"/>
  <c r="B90" i="49"/>
  <c r="E89" i="49"/>
  <c r="D89" i="49"/>
  <c r="C89" i="49"/>
  <c r="B89" i="49"/>
  <c r="E88" i="49"/>
  <c r="D88" i="49"/>
  <c r="C88" i="49"/>
  <c r="B88" i="49"/>
  <c r="E87" i="49"/>
  <c r="D87" i="49"/>
  <c r="C87" i="49"/>
  <c r="B87" i="49"/>
  <c r="E86" i="49"/>
  <c r="D86" i="49"/>
  <c r="C86" i="49"/>
  <c r="B86" i="49"/>
  <c r="E85" i="49"/>
  <c r="D85" i="49"/>
  <c r="C85" i="49"/>
  <c r="B85" i="49"/>
  <c r="E84" i="49"/>
  <c r="D84" i="49"/>
  <c r="C84" i="49"/>
  <c r="B84" i="49"/>
  <c r="E83" i="49"/>
  <c r="D83" i="49"/>
  <c r="C83" i="49"/>
  <c r="B83" i="49"/>
  <c r="E82" i="49"/>
  <c r="D82" i="49"/>
  <c r="C82" i="49"/>
  <c r="B82" i="49"/>
  <c r="E81" i="49"/>
  <c r="D81" i="49"/>
  <c r="C81" i="49"/>
  <c r="B81" i="49"/>
  <c r="E80" i="49"/>
  <c r="D80" i="49"/>
  <c r="C80" i="49"/>
  <c r="B80" i="49"/>
  <c r="D79" i="49"/>
  <c r="C79" i="49"/>
  <c r="B79" i="49"/>
  <c r="D78" i="49"/>
  <c r="C78" i="49"/>
  <c r="B78" i="49"/>
  <c r="D77" i="49"/>
  <c r="C77" i="49"/>
  <c r="B77" i="49"/>
  <c r="D76" i="49"/>
  <c r="C76" i="49"/>
  <c r="B76" i="49"/>
  <c r="D75" i="49"/>
  <c r="C75" i="49"/>
  <c r="B75" i="49"/>
  <c r="D74" i="49"/>
  <c r="C74" i="49"/>
  <c r="B74" i="49"/>
  <c r="D73" i="49"/>
  <c r="C73" i="49"/>
  <c r="B73" i="49"/>
  <c r="D72" i="49"/>
  <c r="C72" i="49"/>
  <c r="B72" i="49"/>
  <c r="D71" i="49"/>
  <c r="C71" i="49"/>
  <c r="B71" i="49"/>
  <c r="D70" i="49"/>
  <c r="C70" i="49"/>
  <c r="B70" i="49"/>
  <c r="B69" i="49"/>
  <c r="E68" i="49"/>
  <c r="D68" i="49"/>
  <c r="C68" i="49"/>
  <c r="B68" i="49"/>
  <c r="E67" i="49"/>
  <c r="D67" i="49"/>
  <c r="C67" i="49"/>
  <c r="B67" i="49"/>
  <c r="E66" i="49"/>
  <c r="D66" i="49"/>
  <c r="C66" i="49"/>
  <c r="B66" i="49"/>
  <c r="E65" i="49"/>
  <c r="D65" i="49"/>
  <c r="C65" i="49"/>
  <c r="B65" i="49"/>
  <c r="E64" i="49"/>
  <c r="D64" i="49"/>
  <c r="C64" i="49"/>
  <c r="B64" i="49"/>
  <c r="B63" i="49"/>
  <c r="E62" i="49"/>
  <c r="D62" i="49"/>
  <c r="C62" i="49"/>
  <c r="B62" i="49"/>
  <c r="E61" i="49"/>
  <c r="D61" i="49"/>
  <c r="C61" i="49"/>
  <c r="B61" i="49"/>
  <c r="E60" i="49"/>
  <c r="D60" i="49"/>
  <c r="C60" i="49"/>
  <c r="B60" i="49"/>
  <c r="E59" i="49"/>
  <c r="D59" i="49"/>
  <c r="C59" i="49"/>
  <c r="B59" i="49"/>
  <c r="E58" i="49"/>
  <c r="D58" i="49"/>
  <c r="C58" i="49"/>
  <c r="B58" i="49"/>
  <c r="E57" i="49"/>
  <c r="D57" i="49"/>
  <c r="C57" i="49"/>
  <c r="B57" i="49"/>
  <c r="E56" i="49"/>
  <c r="D56" i="49"/>
  <c r="C56" i="49"/>
  <c r="B56" i="49"/>
  <c r="E55" i="49"/>
  <c r="D55" i="49"/>
  <c r="C55" i="49"/>
  <c r="B55" i="49"/>
  <c r="E54" i="49"/>
  <c r="D54" i="49"/>
  <c r="C54" i="49"/>
  <c r="B54" i="49"/>
  <c r="B53" i="49"/>
  <c r="E52" i="49"/>
  <c r="D52" i="49"/>
  <c r="C52" i="49"/>
  <c r="B52" i="49"/>
  <c r="D51" i="49"/>
  <c r="C51" i="49"/>
  <c r="B51" i="49"/>
  <c r="D50" i="49"/>
  <c r="C50" i="49"/>
  <c r="B50" i="49"/>
  <c r="E49" i="49"/>
  <c r="D49" i="49"/>
  <c r="C49" i="49"/>
  <c r="B49" i="49"/>
  <c r="E48" i="49"/>
  <c r="D48" i="49"/>
  <c r="C48" i="49"/>
  <c r="B48" i="49"/>
  <c r="E47" i="49"/>
  <c r="D47" i="49"/>
  <c r="C47" i="49"/>
  <c r="B47" i="49"/>
  <c r="E46" i="49"/>
  <c r="D46" i="49"/>
  <c r="C46" i="49"/>
  <c r="B46" i="49"/>
  <c r="E45" i="49"/>
  <c r="D45" i="49"/>
  <c r="C45" i="49"/>
  <c r="B45" i="49"/>
  <c r="E44" i="49"/>
  <c r="D44" i="49"/>
  <c r="C44" i="49"/>
  <c r="B44" i="49"/>
  <c r="B43" i="49"/>
  <c r="E42" i="49"/>
  <c r="D42" i="49"/>
  <c r="C42" i="49"/>
  <c r="B42" i="49"/>
  <c r="E41" i="49"/>
  <c r="D41" i="49"/>
  <c r="C41" i="49"/>
  <c r="B41" i="49"/>
  <c r="E40" i="49"/>
  <c r="D40" i="49"/>
  <c r="C40" i="49"/>
  <c r="B40" i="49"/>
  <c r="E39" i="49"/>
  <c r="D39" i="49"/>
  <c r="C39" i="49"/>
  <c r="B39" i="49"/>
  <c r="B38" i="49"/>
  <c r="E37" i="49"/>
  <c r="D37" i="49"/>
  <c r="C37" i="49"/>
  <c r="B37" i="49"/>
  <c r="E36" i="49"/>
  <c r="D36" i="49"/>
  <c r="C36" i="49"/>
  <c r="B36" i="49"/>
  <c r="E35" i="49"/>
  <c r="D35" i="49"/>
  <c r="C35" i="49"/>
  <c r="B35" i="49"/>
  <c r="E34" i="49"/>
  <c r="D34" i="49"/>
  <c r="C34" i="49"/>
  <c r="B34" i="49"/>
  <c r="E33" i="49"/>
  <c r="D33" i="49"/>
  <c r="C33" i="49"/>
  <c r="B33" i="49"/>
  <c r="E29" i="49"/>
  <c r="D29" i="49"/>
  <c r="C29" i="49"/>
  <c r="B29" i="49"/>
  <c r="E27" i="49"/>
  <c r="D27" i="49"/>
  <c r="C27" i="49"/>
  <c r="B27" i="49"/>
  <c r="E26" i="49"/>
  <c r="D26" i="49"/>
  <c r="C26" i="49"/>
  <c r="B26" i="49"/>
  <c r="E25" i="49"/>
  <c r="D25" i="49"/>
  <c r="C25" i="49"/>
  <c r="B25" i="49"/>
  <c r="E24" i="49"/>
  <c r="D24" i="49"/>
  <c r="C24" i="49"/>
  <c r="B24" i="49"/>
  <c r="B23" i="49"/>
  <c r="E22" i="49"/>
  <c r="D22" i="49"/>
  <c r="C22" i="49"/>
  <c r="B22" i="49"/>
  <c r="E21" i="49"/>
  <c r="D21" i="49"/>
  <c r="C21" i="49"/>
  <c r="B21" i="49"/>
  <c r="E20" i="49"/>
  <c r="D20" i="49"/>
  <c r="C20" i="49"/>
  <c r="B20" i="49"/>
  <c r="E19" i="49"/>
  <c r="D19" i="49"/>
  <c r="C19" i="49"/>
  <c r="B19" i="49"/>
  <c r="E18" i="49"/>
  <c r="D18" i="49"/>
  <c r="C18" i="49"/>
  <c r="B18" i="49"/>
  <c r="E17" i="49"/>
  <c r="D17" i="49"/>
  <c r="C17" i="49"/>
  <c r="B17" i="49"/>
  <c r="E16" i="49"/>
  <c r="D16" i="49"/>
  <c r="C16" i="49"/>
  <c r="B16" i="49"/>
  <c r="B15" i="49"/>
  <c r="C14" i="49"/>
  <c r="B13" i="49"/>
  <c r="E137" i="48"/>
  <c r="I137" i="48" s="1"/>
  <c r="D137" i="48"/>
  <c r="C137" i="48"/>
  <c r="B137" i="48"/>
  <c r="E136" i="48"/>
  <c r="I136" i="48" s="1"/>
  <c r="D136" i="48"/>
  <c r="C136" i="48"/>
  <c r="B136" i="48"/>
  <c r="E135" i="48"/>
  <c r="I135" i="48" s="1"/>
  <c r="D135" i="48"/>
  <c r="C135" i="48"/>
  <c r="B135" i="48"/>
  <c r="E134" i="48"/>
  <c r="I134" i="48" s="1"/>
  <c r="D134" i="48"/>
  <c r="C134" i="48"/>
  <c r="B134" i="48"/>
  <c r="E133" i="48"/>
  <c r="I133" i="48" s="1"/>
  <c r="D133" i="48"/>
  <c r="C133" i="48"/>
  <c r="B133" i="48"/>
  <c r="E132" i="48"/>
  <c r="I132" i="48" s="1"/>
  <c r="D132" i="48"/>
  <c r="C132" i="48"/>
  <c r="B132" i="48"/>
  <c r="E131" i="48"/>
  <c r="I131" i="48" s="1"/>
  <c r="D131" i="48"/>
  <c r="C131" i="48"/>
  <c r="B131" i="48"/>
  <c r="E130" i="48"/>
  <c r="I130" i="48" s="1"/>
  <c r="D130" i="48"/>
  <c r="C130" i="48"/>
  <c r="B130" i="48"/>
  <c r="E129" i="48"/>
  <c r="I129" i="48" s="1"/>
  <c r="D129" i="48"/>
  <c r="C129" i="48"/>
  <c r="B129" i="48"/>
  <c r="E128" i="48"/>
  <c r="I128" i="48" s="1"/>
  <c r="D128" i="48"/>
  <c r="C128" i="48"/>
  <c r="B128" i="48"/>
  <c r="B127" i="48"/>
  <c r="E126" i="48"/>
  <c r="I126" i="48" s="1"/>
  <c r="D126" i="48"/>
  <c r="C126" i="48"/>
  <c r="B126" i="48"/>
  <c r="E125" i="48"/>
  <c r="I125" i="48" s="1"/>
  <c r="D125" i="48"/>
  <c r="C125" i="48"/>
  <c r="B125" i="48"/>
  <c r="E124" i="48"/>
  <c r="I124" i="48" s="1"/>
  <c r="D124" i="48"/>
  <c r="C124" i="48"/>
  <c r="B124" i="48"/>
  <c r="E123" i="48"/>
  <c r="I123" i="48" s="1"/>
  <c r="D123" i="48"/>
  <c r="C123" i="48"/>
  <c r="B123" i="48"/>
  <c r="E122" i="48"/>
  <c r="I122" i="48" s="1"/>
  <c r="D122" i="48"/>
  <c r="C122" i="48"/>
  <c r="B122" i="48"/>
  <c r="E121" i="48"/>
  <c r="I121" i="48" s="1"/>
  <c r="D121" i="48"/>
  <c r="C121" i="48"/>
  <c r="B121" i="48"/>
  <c r="E120" i="48"/>
  <c r="I120" i="48" s="1"/>
  <c r="D120" i="48"/>
  <c r="C120" i="48"/>
  <c r="B120" i="48"/>
  <c r="E119" i="48"/>
  <c r="I119" i="48" s="1"/>
  <c r="D119" i="48"/>
  <c r="C119" i="48"/>
  <c r="B119" i="48"/>
  <c r="E118" i="48"/>
  <c r="I118" i="48" s="1"/>
  <c r="D118" i="48"/>
  <c r="C118" i="48"/>
  <c r="B118" i="48"/>
  <c r="E117" i="48"/>
  <c r="I117" i="48" s="1"/>
  <c r="D117" i="48"/>
  <c r="C117" i="48"/>
  <c r="B117" i="48"/>
  <c r="E116" i="48"/>
  <c r="I116" i="48" s="1"/>
  <c r="D116" i="48"/>
  <c r="C116" i="48"/>
  <c r="B116" i="48"/>
  <c r="E115" i="48"/>
  <c r="I115" i="48" s="1"/>
  <c r="D115" i="48"/>
  <c r="C115" i="48"/>
  <c r="B115" i="48"/>
  <c r="E114" i="48"/>
  <c r="I114" i="48" s="1"/>
  <c r="D114" i="48"/>
  <c r="C114" i="48"/>
  <c r="B114" i="48"/>
  <c r="E113" i="48"/>
  <c r="I113" i="48" s="1"/>
  <c r="D113" i="48"/>
  <c r="C113" i="48"/>
  <c r="B113" i="48"/>
  <c r="E112" i="48"/>
  <c r="I112" i="48" s="1"/>
  <c r="D112" i="48"/>
  <c r="C112" i="48"/>
  <c r="B112" i="48"/>
  <c r="E111" i="48"/>
  <c r="I111" i="48" s="1"/>
  <c r="D111" i="48"/>
  <c r="C111" i="48"/>
  <c r="B111" i="48"/>
  <c r="E110" i="48"/>
  <c r="I110" i="48" s="1"/>
  <c r="D110" i="48"/>
  <c r="C110" i="48"/>
  <c r="B110" i="48"/>
  <c r="E109" i="48"/>
  <c r="I109" i="48" s="1"/>
  <c r="D109" i="48"/>
  <c r="C109" i="48"/>
  <c r="B109" i="48"/>
  <c r="E108" i="48"/>
  <c r="I108" i="48" s="1"/>
  <c r="D108" i="48"/>
  <c r="C108" i="48"/>
  <c r="B108" i="48"/>
  <c r="E107" i="48"/>
  <c r="I107" i="48" s="1"/>
  <c r="D107" i="48"/>
  <c r="C107" i="48"/>
  <c r="B107" i="48"/>
  <c r="E106" i="48"/>
  <c r="I106" i="48" s="1"/>
  <c r="D106" i="48"/>
  <c r="C106" i="48"/>
  <c r="B106" i="48"/>
  <c r="D105" i="48"/>
  <c r="C105" i="48"/>
  <c r="B105" i="48"/>
  <c r="D104" i="48"/>
  <c r="C104" i="48"/>
  <c r="B104" i="48"/>
  <c r="D103" i="48"/>
  <c r="C103" i="48"/>
  <c r="B103" i="48"/>
  <c r="D102" i="48"/>
  <c r="C102" i="48"/>
  <c r="B102" i="48"/>
  <c r="D101" i="48"/>
  <c r="C101" i="48"/>
  <c r="B101" i="48"/>
  <c r="D100" i="48"/>
  <c r="C100" i="48"/>
  <c r="B100" i="48"/>
  <c r="D99" i="48"/>
  <c r="C99" i="48"/>
  <c r="B99" i="48"/>
  <c r="D98" i="48"/>
  <c r="C98" i="48"/>
  <c r="B98" i="48"/>
  <c r="D97" i="48"/>
  <c r="C97" i="48"/>
  <c r="B97" i="48"/>
  <c r="D96" i="48"/>
  <c r="C96" i="48"/>
  <c r="B96" i="48"/>
  <c r="D95" i="48"/>
  <c r="C95" i="48"/>
  <c r="B95" i="48"/>
  <c r="D94" i="48"/>
  <c r="C94" i="48"/>
  <c r="B94" i="48"/>
  <c r="E93" i="48"/>
  <c r="I93" i="48" s="1"/>
  <c r="D93" i="48"/>
  <c r="C93" i="48"/>
  <c r="B93" i="48"/>
  <c r="E92" i="48"/>
  <c r="I92" i="48" s="1"/>
  <c r="D92" i="48"/>
  <c r="C92" i="48"/>
  <c r="B92" i="48"/>
  <c r="E91" i="48"/>
  <c r="I91" i="48" s="1"/>
  <c r="D91" i="48"/>
  <c r="C91" i="48"/>
  <c r="B91" i="48"/>
  <c r="E90" i="48"/>
  <c r="I90" i="48" s="1"/>
  <c r="D90" i="48"/>
  <c r="C90" i="48"/>
  <c r="B90" i="48"/>
  <c r="E89" i="48"/>
  <c r="I89" i="48" s="1"/>
  <c r="D89" i="48"/>
  <c r="C89" i="48"/>
  <c r="B89" i="48"/>
  <c r="B88" i="48"/>
  <c r="E87" i="48"/>
  <c r="I87" i="48" s="1"/>
  <c r="D87" i="48"/>
  <c r="C87" i="48"/>
  <c r="B87" i="48"/>
  <c r="E86" i="48"/>
  <c r="I86" i="48" s="1"/>
  <c r="D86" i="48"/>
  <c r="C86" i="48"/>
  <c r="B86" i="48"/>
  <c r="E85" i="48"/>
  <c r="I85" i="48" s="1"/>
  <c r="D85" i="48"/>
  <c r="C85" i="48"/>
  <c r="B85" i="48"/>
  <c r="E84" i="48"/>
  <c r="I84" i="48" s="1"/>
  <c r="D84" i="48"/>
  <c r="C84" i="48"/>
  <c r="B84" i="48"/>
  <c r="E83" i="48"/>
  <c r="I83" i="48" s="1"/>
  <c r="D83" i="48"/>
  <c r="C83" i="48"/>
  <c r="B83" i="48"/>
  <c r="E82" i="48"/>
  <c r="I82" i="48" s="1"/>
  <c r="D82" i="48"/>
  <c r="C82" i="48"/>
  <c r="B82" i="48"/>
  <c r="E81" i="48"/>
  <c r="I81" i="48" s="1"/>
  <c r="D81" i="48"/>
  <c r="C81" i="48"/>
  <c r="B81" i="48"/>
  <c r="E80" i="48"/>
  <c r="I80" i="48" s="1"/>
  <c r="D80" i="48"/>
  <c r="C80" i="48"/>
  <c r="B80" i="48"/>
  <c r="E79" i="48"/>
  <c r="I79" i="48" s="1"/>
  <c r="D79" i="48"/>
  <c r="C79" i="48"/>
  <c r="B79" i="48"/>
  <c r="E78" i="48"/>
  <c r="I78" i="48" s="1"/>
  <c r="D78" i="48"/>
  <c r="C78" i="48"/>
  <c r="B78" i="48"/>
  <c r="D77" i="48"/>
  <c r="C77" i="48"/>
  <c r="B77" i="48"/>
  <c r="D76" i="48"/>
  <c r="C76" i="48"/>
  <c r="B76" i="48"/>
  <c r="D75" i="48"/>
  <c r="C75" i="48"/>
  <c r="B75" i="48"/>
  <c r="D74" i="48"/>
  <c r="C74" i="48"/>
  <c r="B74" i="48"/>
  <c r="D73" i="48"/>
  <c r="C73" i="48"/>
  <c r="B73" i="48"/>
  <c r="D72" i="48"/>
  <c r="C72" i="48"/>
  <c r="B72" i="48"/>
  <c r="D71" i="48"/>
  <c r="C71" i="48"/>
  <c r="B71" i="48"/>
  <c r="D70" i="48"/>
  <c r="C70" i="48"/>
  <c r="B70" i="48"/>
  <c r="D69" i="48"/>
  <c r="C69" i="48"/>
  <c r="B69" i="48"/>
  <c r="D68" i="48"/>
  <c r="C68" i="48"/>
  <c r="B68" i="48"/>
  <c r="B67" i="48"/>
  <c r="E66" i="48"/>
  <c r="I66" i="48" s="1"/>
  <c r="D66" i="48"/>
  <c r="C66" i="48"/>
  <c r="B66" i="48"/>
  <c r="E65" i="48"/>
  <c r="I65" i="48" s="1"/>
  <c r="D65" i="48"/>
  <c r="C65" i="48"/>
  <c r="B65" i="48"/>
  <c r="E64" i="48"/>
  <c r="I64" i="48" s="1"/>
  <c r="D64" i="48"/>
  <c r="C64" i="48"/>
  <c r="B64" i="48"/>
  <c r="E63" i="48"/>
  <c r="I63" i="48" s="1"/>
  <c r="D63" i="48"/>
  <c r="C63" i="48"/>
  <c r="B63" i="48"/>
  <c r="E62" i="48"/>
  <c r="I62" i="48" s="1"/>
  <c r="D62" i="48"/>
  <c r="C62" i="48"/>
  <c r="B62" i="48"/>
  <c r="B61" i="48"/>
  <c r="E60" i="48"/>
  <c r="I60" i="48" s="1"/>
  <c r="D60" i="48"/>
  <c r="C60" i="48"/>
  <c r="B60" i="48"/>
  <c r="E59" i="48"/>
  <c r="I59" i="48" s="1"/>
  <c r="D59" i="48"/>
  <c r="C59" i="48"/>
  <c r="B59" i="48"/>
  <c r="E58" i="48"/>
  <c r="I58" i="48" s="1"/>
  <c r="D58" i="48"/>
  <c r="C58" i="48"/>
  <c r="B58" i="48"/>
  <c r="E57" i="48"/>
  <c r="I57" i="48" s="1"/>
  <c r="D57" i="48"/>
  <c r="C57" i="48"/>
  <c r="B57" i="48"/>
  <c r="E56" i="48"/>
  <c r="I56" i="48" s="1"/>
  <c r="D56" i="48"/>
  <c r="C56" i="48"/>
  <c r="B56" i="48"/>
  <c r="E55" i="48"/>
  <c r="I55" i="48" s="1"/>
  <c r="D55" i="48"/>
  <c r="C55" i="48"/>
  <c r="B55" i="48"/>
  <c r="E54" i="48"/>
  <c r="I54" i="48" s="1"/>
  <c r="D54" i="48"/>
  <c r="C54" i="48"/>
  <c r="B54" i="48"/>
  <c r="E53" i="48"/>
  <c r="I53" i="48" s="1"/>
  <c r="D53" i="48"/>
  <c r="C53" i="48"/>
  <c r="B53" i="48"/>
  <c r="E52" i="48"/>
  <c r="I52" i="48" s="1"/>
  <c r="D52" i="48"/>
  <c r="C52" i="48"/>
  <c r="B52" i="48"/>
  <c r="B51" i="48"/>
  <c r="E50" i="48"/>
  <c r="I50" i="48" s="1"/>
  <c r="D50" i="48"/>
  <c r="C50" i="48"/>
  <c r="B50" i="48"/>
  <c r="I49" i="48"/>
  <c r="D49" i="48"/>
  <c r="C49" i="48"/>
  <c r="B49" i="48"/>
  <c r="I48" i="48"/>
  <c r="D48" i="48"/>
  <c r="C48" i="48"/>
  <c r="B48" i="48"/>
  <c r="E47" i="48"/>
  <c r="I47" i="48" s="1"/>
  <c r="D47" i="48"/>
  <c r="C47" i="48"/>
  <c r="B47" i="48"/>
  <c r="E46" i="48"/>
  <c r="I46" i="48" s="1"/>
  <c r="D46" i="48"/>
  <c r="C46" i="48"/>
  <c r="B46" i="48"/>
  <c r="E45" i="48"/>
  <c r="I45" i="48" s="1"/>
  <c r="D45" i="48"/>
  <c r="C45" i="48"/>
  <c r="B45" i="48"/>
  <c r="E44" i="48"/>
  <c r="I44" i="48" s="1"/>
  <c r="D44" i="48"/>
  <c r="C44" i="48"/>
  <c r="B44" i="48"/>
  <c r="E43" i="48"/>
  <c r="I43" i="48" s="1"/>
  <c r="D43" i="48"/>
  <c r="C43" i="48"/>
  <c r="B43" i="48"/>
  <c r="E42" i="48"/>
  <c r="I42" i="48" s="1"/>
  <c r="D42" i="48"/>
  <c r="C42" i="48"/>
  <c r="B42" i="48"/>
  <c r="B41" i="48"/>
  <c r="E40" i="48"/>
  <c r="I40" i="48" s="1"/>
  <c r="D40" i="48"/>
  <c r="C40" i="48"/>
  <c r="B40" i="48"/>
  <c r="E39" i="48"/>
  <c r="I39" i="48" s="1"/>
  <c r="D39" i="48"/>
  <c r="C39" i="48"/>
  <c r="B39" i="48"/>
  <c r="E38" i="48"/>
  <c r="I38" i="48" s="1"/>
  <c r="D38" i="48"/>
  <c r="C38" i="48"/>
  <c r="B38" i="48"/>
  <c r="E37" i="48"/>
  <c r="I37" i="48" s="1"/>
  <c r="D37" i="48"/>
  <c r="C37" i="48"/>
  <c r="B37" i="48"/>
  <c r="B36" i="48"/>
  <c r="E35" i="48"/>
  <c r="I35" i="48" s="1"/>
  <c r="D35" i="48"/>
  <c r="C35" i="48"/>
  <c r="B35" i="48"/>
  <c r="E34" i="48"/>
  <c r="I34" i="48" s="1"/>
  <c r="D34" i="48"/>
  <c r="C34" i="48"/>
  <c r="B34" i="48"/>
  <c r="E33" i="48"/>
  <c r="I33" i="48" s="1"/>
  <c r="D33" i="48"/>
  <c r="C33" i="48"/>
  <c r="B33" i="48"/>
  <c r="E32" i="48"/>
  <c r="I32" i="48" s="1"/>
  <c r="D32" i="48"/>
  <c r="C32" i="48"/>
  <c r="B32" i="48"/>
  <c r="E31" i="48"/>
  <c r="I31" i="48" s="1"/>
  <c r="D31" i="48"/>
  <c r="C31" i="48"/>
  <c r="B31" i="48"/>
  <c r="E30" i="48"/>
  <c r="I30" i="48" s="1"/>
  <c r="D30" i="48"/>
  <c r="C30" i="48"/>
  <c r="B30" i="48"/>
  <c r="E29" i="48"/>
  <c r="I29" i="48" s="1"/>
  <c r="D29" i="48"/>
  <c r="C29" i="48"/>
  <c r="B29" i="48"/>
  <c r="E28" i="48"/>
  <c r="I28" i="48" s="1"/>
  <c r="D28" i="48"/>
  <c r="C28" i="48"/>
  <c r="B28" i="48"/>
  <c r="E27" i="48"/>
  <c r="I27" i="48" s="1"/>
  <c r="D27" i="48"/>
  <c r="C27" i="48"/>
  <c r="B27" i="48"/>
  <c r="E25" i="48"/>
  <c r="I25" i="48" s="1"/>
  <c r="D25" i="48"/>
  <c r="C25" i="48"/>
  <c r="B25" i="48"/>
  <c r="E24" i="48"/>
  <c r="I24" i="48" s="1"/>
  <c r="D24" i="48"/>
  <c r="C24" i="48"/>
  <c r="B24" i="48"/>
  <c r="E23" i="48"/>
  <c r="I23" i="48" s="1"/>
  <c r="D23" i="48"/>
  <c r="C23" i="48"/>
  <c r="B23" i="48"/>
  <c r="E22" i="48"/>
  <c r="I22" i="48" s="1"/>
  <c r="D22" i="48"/>
  <c r="C22" i="48"/>
  <c r="B22" i="48"/>
  <c r="B21" i="48"/>
  <c r="E20" i="48"/>
  <c r="I20" i="48" s="1"/>
  <c r="D20" i="48"/>
  <c r="C20" i="48"/>
  <c r="B20" i="48"/>
  <c r="E19" i="48"/>
  <c r="I19" i="48" s="1"/>
  <c r="D19" i="48"/>
  <c r="C19" i="48"/>
  <c r="B19" i="48"/>
  <c r="E18" i="48"/>
  <c r="I18" i="48" s="1"/>
  <c r="D18" i="48"/>
  <c r="C18" i="48"/>
  <c r="B18" i="48"/>
  <c r="E17" i="48"/>
  <c r="I17" i="48" s="1"/>
  <c r="D17" i="48"/>
  <c r="C17" i="48"/>
  <c r="B17" i="48"/>
  <c r="E16" i="48"/>
  <c r="I16" i="48" s="1"/>
  <c r="D16" i="48"/>
  <c r="C16" i="48"/>
  <c r="B16" i="48"/>
  <c r="E15" i="48"/>
  <c r="I15" i="48" s="1"/>
  <c r="D15" i="48"/>
  <c r="C15" i="48"/>
  <c r="B15" i="48"/>
  <c r="E14" i="48"/>
  <c r="I14" i="48" s="1"/>
  <c r="D14" i="48"/>
  <c r="C14" i="48"/>
  <c r="B14" i="48"/>
  <c r="B13" i="48"/>
  <c r="I12" i="48"/>
  <c r="C12" i="48"/>
  <c r="M4" i="48"/>
  <c r="J52" i="48" s="1"/>
  <c r="M3" i="48"/>
  <c r="J35" i="48" s="1"/>
  <c r="E137" i="47"/>
  <c r="I137" i="47" s="1"/>
  <c r="D137" i="47"/>
  <c r="C137" i="47"/>
  <c r="B137" i="47"/>
  <c r="E136" i="47"/>
  <c r="I136" i="47" s="1"/>
  <c r="D136" i="47"/>
  <c r="C136" i="47"/>
  <c r="B136" i="47"/>
  <c r="E135" i="47"/>
  <c r="I135" i="47" s="1"/>
  <c r="D135" i="47"/>
  <c r="C135" i="47"/>
  <c r="B135" i="47"/>
  <c r="E134" i="47"/>
  <c r="I134" i="47" s="1"/>
  <c r="D134" i="47"/>
  <c r="C134" i="47"/>
  <c r="B134" i="47"/>
  <c r="E133" i="47"/>
  <c r="I133" i="47" s="1"/>
  <c r="D133" i="47"/>
  <c r="C133" i="47"/>
  <c r="B133" i="47"/>
  <c r="E132" i="47"/>
  <c r="I132" i="47" s="1"/>
  <c r="D132" i="47"/>
  <c r="C132" i="47"/>
  <c r="B132" i="47"/>
  <c r="E131" i="47"/>
  <c r="I131" i="47" s="1"/>
  <c r="D131" i="47"/>
  <c r="C131" i="47"/>
  <c r="B131" i="47"/>
  <c r="E130" i="47"/>
  <c r="I130" i="47" s="1"/>
  <c r="D130" i="47"/>
  <c r="C130" i="47"/>
  <c r="B130" i="47"/>
  <c r="E129" i="47"/>
  <c r="I129" i="47" s="1"/>
  <c r="D129" i="47"/>
  <c r="C129" i="47"/>
  <c r="B129" i="47"/>
  <c r="E128" i="47"/>
  <c r="I128" i="47" s="1"/>
  <c r="D128" i="47"/>
  <c r="C128" i="47"/>
  <c r="B128" i="47"/>
  <c r="B127" i="47"/>
  <c r="E126" i="47"/>
  <c r="I126" i="47" s="1"/>
  <c r="D126" i="47"/>
  <c r="C126" i="47"/>
  <c r="B126" i="47"/>
  <c r="E125" i="47"/>
  <c r="I125" i="47" s="1"/>
  <c r="D125" i="47"/>
  <c r="C125" i="47"/>
  <c r="B125" i="47"/>
  <c r="E124" i="47"/>
  <c r="I124" i="47" s="1"/>
  <c r="D124" i="47"/>
  <c r="C124" i="47"/>
  <c r="B124" i="47"/>
  <c r="E123" i="47"/>
  <c r="I123" i="47" s="1"/>
  <c r="D123" i="47"/>
  <c r="C123" i="47"/>
  <c r="B123" i="47"/>
  <c r="E122" i="47"/>
  <c r="I122" i="47" s="1"/>
  <c r="D122" i="47"/>
  <c r="C122" i="47"/>
  <c r="B122" i="47"/>
  <c r="E121" i="47"/>
  <c r="I121" i="47" s="1"/>
  <c r="D121" i="47"/>
  <c r="C121" i="47"/>
  <c r="B121" i="47"/>
  <c r="E120" i="47"/>
  <c r="I120" i="47" s="1"/>
  <c r="D120" i="47"/>
  <c r="C120" i="47"/>
  <c r="B120" i="47"/>
  <c r="E119" i="47"/>
  <c r="I119" i="47" s="1"/>
  <c r="D119" i="47"/>
  <c r="C119" i="47"/>
  <c r="B119" i="47"/>
  <c r="E118" i="47"/>
  <c r="I118" i="47" s="1"/>
  <c r="D118" i="47"/>
  <c r="C118" i="47"/>
  <c r="B118" i="47"/>
  <c r="E117" i="47"/>
  <c r="I117" i="47" s="1"/>
  <c r="D117" i="47"/>
  <c r="C117" i="47"/>
  <c r="B117" i="47"/>
  <c r="E116" i="47"/>
  <c r="I116" i="47" s="1"/>
  <c r="D116" i="47"/>
  <c r="C116" i="47"/>
  <c r="B116" i="47"/>
  <c r="E115" i="47"/>
  <c r="I115" i="47" s="1"/>
  <c r="D115" i="47"/>
  <c r="C115" i="47"/>
  <c r="B115" i="47"/>
  <c r="E114" i="47"/>
  <c r="I114" i="47" s="1"/>
  <c r="D114" i="47"/>
  <c r="C114" i="47"/>
  <c r="B114" i="47"/>
  <c r="E113" i="47"/>
  <c r="I113" i="47" s="1"/>
  <c r="D113" i="47"/>
  <c r="C113" i="47"/>
  <c r="B113" i="47"/>
  <c r="E112" i="47"/>
  <c r="I112" i="47" s="1"/>
  <c r="D112" i="47"/>
  <c r="C112" i="47"/>
  <c r="B112" i="47"/>
  <c r="E111" i="47"/>
  <c r="I111" i="47" s="1"/>
  <c r="D111" i="47"/>
  <c r="C111" i="47"/>
  <c r="B111" i="47"/>
  <c r="E110" i="47"/>
  <c r="I110" i="47" s="1"/>
  <c r="D110" i="47"/>
  <c r="C110" i="47"/>
  <c r="B110" i="47"/>
  <c r="E109" i="47"/>
  <c r="I109" i="47" s="1"/>
  <c r="D109" i="47"/>
  <c r="C109" i="47"/>
  <c r="B109" i="47"/>
  <c r="E108" i="47"/>
  <c r="I108" i="47" s="1"/>
  <c r="D108" i="47"/>
  <c r="C108" i="47"/>
  <c r="B108" i="47"/>
  <c r="E107" i="47"/>
  <c r="I107" i="47" s="1"/>
  <c r="D107" i="47"/>
  <c r="C107" i="47"/>
  <c r="B107" i="47"/>
  <c r="E106" i="47"/>
  <c r="I106" i="47" s="1"/>
  <c r="D106" i="47"/>
  <c r="C106" i="47"/>
  <c r="B106" i="47"/>
  <c r="D105" i="47"/>
  <c r="C105" i="47"/>
  <c r="B105" i="47"/>
  <c r="D104" i="47"/>
  <c r="C104" i="47"/>
  <c r="B104" i="47"/>
  <c r="D103" i="47"/>
  <c r="C103" i="47"/>
  <c r="B103" i="47"/>
  <c r="D102" i="47"/>
  <c r="C102" i="47"/>
  <c r="B102" i="47"/>
  <c r="D101" i="47"/>
  <c r="C101" i="47"/>
  <c r="B101" i="47"/>
  <c r="D100" i="47"/>
  <c r="C100" i="47"/>
  <c r="B100" i="47"/>
  <c r="D99" i="47"/>
  <c r="C99" i="47"/>
  <c r="B99" i="47"/>
  <c r="D98" i="47"/>
  <c r="C98" i="47"/>
  <c r="B98" i="47"/>
  <c r="D97" i="47"/>
  <c r="C97" i="47"/>
  <c r="B97" i="47"/>
  <c r="D96" i="47"/>
  <c r="C96" i="47"/>
  <c r="B96" i="47"/>
  <c r="D95" i="47"/>
  <c r="C95" i="47"/>
  <c r="B95" i="47"/>
  <c r="D94" i="47"/>
  <c r="C94" i="47"/>
  <c r="B94" i="47"/>
  <c r="E93" i="47"/>
  <c r="I93" i="47" s="1"/>
  <c r="D93" i="47"/>
  <c r="C93" i="47"/>
  <c r="B93" i="47"/>
  <c r="E92" i="47"/>
  <c r="I92" i="47" s="1"/>
  <c r="D92" i="47"/>
  <c r="C92" i="47"/>
  <c r="B92" i="47"/>
  <c r="E91" i="47"/>
  <c r="I91" i="47" s="1"/>
  <c r="D91" i="47"/>
  <c r="C91" i="47"/>
  <c r="B91" i="47"/>
  <c r="E90" i="47"/>
  <c r="I90" i="47" s="1"/>
  <c r="D90" i="47"/>
  <c r="C90" i="47"/>
  <c r="B90" i="47"/>
  <c r="E89" i="47"/>
  <c r="I89" i="47" s="1"/>
  <c r="D89" i="47"/>
  <c r="C89" i="47"/>
  <c r="B89" i="47"/>
  <c r="B88" i="47"/>
  <c r="E87" i="47"/>
  <c r="I87" i="47" s="1"/>
  <c r="D87" i="47"/>
  <c r="C87" i="47"/>
  <c r="B87" i="47"/>
  <c r="E86" i="47"/>
  <c r="I86" i="47" s="1"/>
  <c r="D86" i="47"/>
  <c r="C86" i="47"/>
  <c r="B86" i="47"/>
  <c r="E85" i="47"/>
  <c r="I85" i="47" s="1"/>
  <c r="D85" i="47"/>
  <c r="C85" i="47"/>
  <c r="B85" i="47"/>
  <c r="E84" i="47"/>
  <c r="I84" i="47" s="1"/>
  <c r="D84" i="47"/>
  <c r="C84" i="47"/>
  <c r="B84" i="47"/>
  <c r="E83" i="47"/>
  <c r="I83" i="47" s="1"/>
  <c r="D83" i="47"/>
  <c r="C83" i="47"/>
  <c r="B83" i="47"/>
  <c r="E82" i="47"/>
  <c r="I82" i="47" s="1"/>
  <c r="D82" i="47"/>
  <c r="C82" i="47"/>
  <c r="B82" i="47"/>
  <c r="E81" i="47"/>
  <c r="I81" i="47" s="1"/>
  <c r="D81" i="47"/>
  <c r="C81" i="47"/>
  <c r="B81" i="47"/>
  <c r="E80" i="47"/>
  <c r="I80" i="47" s="1"/>
  <c r="D80" i="47"/>
  <c r="C80" i="47"/>
  <c r="B80" i="47"/>
  <c r="E79" i="47"/>
  <c r="I79" i="47" s="1"/>
  <c r="D79" i="47"/>
  <c r="C79" i="47"/>
  <c r="B79" i="47"/>
  <c r="E78" i="47"/>
  <c r="I78" i="47" s="1"/>
  <c r="D78" i="47"/>
  <c r="C78" i="47"/>
  <c r="B78" i="47"/>
  <c r="D77" i="47"/>
  <c r="C77" i="47"/>
  <c r="B77" i="47"/>
  <c r="D76" i="47"/>
  <c r="C76" i="47"/>
  <c r="B76" i="47"/>
  <c r="D75" i="47"/>
  <c r="C75" i="47"/>
  <c r="B75" i="47"/>
  <c r="D74" i="47"/>
  <c r="C74" i="47"/>
  <c r="B74" i="47"/>
  <c r="D73" i="47"/>
  <c r="C73" i="47"/>
  <c r="B73" i="47"/>
  <c r="D72" i="47"/>
  <c r="C72" i="47"/>
  <c r="B72" i="47"/>
  <c r="D71" i="47"/>
  <c r="C71" i="47"/>
  <c r="B71" i="47"/>
  <c r="D70" i="47"/>
  <c r="C70" i="47"/>
  <c r="B70" i="47"/>
  <c r="D69" i="47"/>
  <c r="C69" i="47"/>
  <c r="B69" i="47"/>
  <c r="D68" i="47"/>
  <c r="C68" i="47"/>
  <c r="B68" i="47"/>
  <c r="B67" i="47"/>
  <c r="E66" i="47"/>
  <c r="I66" i="47" s="1"/>
  <c r="D66" i="47"/>
  <c r="C66" i="47"/>
  <c r="B66" i="47"/>
  <c r="E65" i="47"/>
  <c r="I65" i="47" s="1"/>
  <c r="D65" i="47"/>
  <c r="C65" i="47"/>
  <c r="B65" i="47"/>
  <c r="E64" i="47"/>
  <c r="I64" i="47" s="1"/>
  <c r="D64" i="47"/>
  <c r="C64" i="47"/>
  <c r="B64" i="47"/>
  <c r="E63" i="47"/>
  <c r="I63" i="47" s="1"/>
  <c r="D63" i="47"/>
  <c r="C63" i="47"/>
  <c r="B63" i="47"/>
  <c r="E62" i="47"/>
  <c r="I62" i="47" s="1"/>
  <c r="D62" i="47"/>
  <c r="C62" i="47"/>
  <c r="B62" i="47"/>
  <c r="B61" i="47"/>
  <c r="E60" i="47"/>
  <c r="I60" i="47" s="1"/>
  <c r="D60" i="47"/>
  <c r="C60" i="47"/>
  <c r="B60" i="47"/>
  <c r="E59" i="47"/>
  <c r="I59" i="47" s="1"/>
  <c r="D59" i="47"/>
  <c r="C59" i="47"/>
  <c r="B59" i="47"/>
  <c r="E58" i="47"/>
  <c r="I58" i="47" s="1"/>
  <c r="D58" i="47"/>
  <c r="C58" i="47"/>
  <c r="B58" i="47"/>
  <c r="E57" i="47"/>
  <c r="I57" i="47" s="1"/>
  <c r="D57" i="47"/>
  <c r="C57" i="47"/>
  <c r="B57" i="47"/>
  <c r="E56" i="47"/>
  <c r="I56" i="47" s="1"/>
  <c r="D56" i="47"/>
  <c r="C56" i="47"/>
  <c r="B56" i="47"/>
  <c r="E55" i="47"/>
  <c r="I55" i="47" s="1"/>
  <c r="D55" i="47"/>
  <c r="C55" i="47"/>
  <c r="B55" i="47"/>
  <c r="E54" i="47"/>
  <c r="I54" i="47" s="1"/>
  <c r="D54" i="47"/>
  <c r="C54" i="47"/>
  <c r="B54" i="47"/>
  <c r="E53" i="47"/>
  <c r="I53" i="47" s="1"/>
  <c r="D53" i="47"/>
  <c r="C53" i="47"/>
  <c r="B53" i="47"/>
  <c r="E52" i="47"/>
  <c r="I52" i="47" s="1"/>
  <c r="D52" i="47"/>
  <c r="C52" i="47"/>
  <c r="B52" i="47"/>
  <c r="B51" i="47"/>
  <c r="E50" i="47"/>
  <c r="I50" i="47" s="1"/>
  <c r="D50" i="47"/>
  <c r="C50" i="47"/>
  <c r="B50" i="47"/>
  <c r="I49" i="47"/>
  <c r="D49" i="47"/>
  <c r="C49" i="47"/>
  <c r="B49" i="47"/>
  <c r="I48" i="47"/>
  <c r="D48" i="47"/>
  <c r="C48" i="47"/>
  <c r="B48" i="47"/>
  <c r="E47" i="47"/>
  <c r="I47" i="47" s="1"/>
  <c r="D47" i="47"/>
  <c r="C47" i="47"/>
  <c r="B47" i="47"/>
  <c r="E46" i="47"/>
  <c r="I46" i="47" s="1"/>
  <c r="D46" i="47"/>
  <c r="C46" i="47"/>
  <c r="B46" i="47"/>
  <c r="E45" i="47"/>
  <c r="I45" i="47" s="1"/>
  <c r="D45" i="47"/>
  <c r="C45" i="47"/>
  <c r="B45" i="47"/>
  <c r="E44" i="47"/>
  <c r="I44" i="47" s="1"/>
  <c r="D44" i="47"/>
  <c r="C44" i="47"/>
  <c r="B44" i="47"/>
  <c r="E43" i="47"/>
  <c r="I43" i="47" s="1"/>
  <c r="D43" i="47"/>
  <c r="C43" i="47"/>
  <c r="B43" i="47"/>
  <c r="E42" i="47"/>
  <c r="I42" i="47" s="1"/>
  <c r="D42" i="47"/>
  <c r="C42" i="47"/>
  <c r="B42" i="47"/>
  <c r="B41" i="47"/>
  <c r="E40" i="47"/>
  <c r="I40" i="47" s="1"/>
  <c r="D40" i="47"/>
  <c r="C40" i="47"/>
  <c r="B40" i="47"/>
  <c r="E39" i="47"/>
  <c r="I39" i="47" s="1"/>
  <c r="D39" i="47"/>
  <c r="C39" i="47"/>
  <c r="B39" i="47"/>
  <c r="E38" i="47"/>
  <c r="I38" i="47" s="1"/>
  <c r="D38" i="47"/>
  <c r="C38" i="47"/>
  <c r="B38" i="47"/>
  <c r="E37" i="47"/>
  <c r="I37" i="47" s="1"/>
  <c r="D37" i="47"/>
  <c r="C37" i="47"/>
  <c r="B37" i="47"/>
  <c r="B36" i="47"/>
  <c r="E35" i="47"/>
  <c r="I35" i="47" s="1"/>
  <c r="D35" i="47"/>
  <c r="C35" i="47"/>
  <c r="B35" i="47"/>
  <c r="E34" i="47"/>
  <c r="I34" i="47" s="1"/>
  <c r="D34" i="47"/>
  <c r="C34" i="47"/>
  <c r="B34" i="47"/>
  <c r="E33" i="47"/>
  <c r="I33" i="47" s="1"/>
  <c r="D33" i="47"/>
  <c r="C33" i="47"/>
  <c r="B33" i="47"/>
  <c r="E32" i="47"/>
  <c r="I32" i="47" s="1"/>
  <c r="D32" i="47"/>
  <c r="C32" i="47"/>
  <c r="B32" i="47"/>
  <c r="E31" i="47"/>
  <c r="I31" i="47" s="1"/>
  <c r="D31" i="47"/>
  <c r="C31" i="47"/>
  <c r="B31" i="47"/>
  <c r="E30" i="47"/>
  <c r="I30" i="47" s="1"/>
  <c r="D30" i="47"/>
  <c r="C30" i="47"/>
  <c r="B30" i="47"/>
  <c r="E29" i="47"/>
  <c r="I29" i="47" s="1"/>
  <c r="D29" i="47"/>
  <c r="C29" i="47"/>
  <c r="B29" i="47"/>
  <c r="E28" i="47"/>
  <c r="I28" i="47" s="1"/>
  <c r="D28" i="47"/>
  <c r="C28" i="47"/>
  <c r="B28" i="47"/>
  <c r="E27" i="47"/>
  <c r="I27" i="47" s="1"/>
  <c r="D27" i="47"/>
  <c r="C27" i="47"/>
  <c r="B27" i="47"/>
  <c r="E25" i="47"/>
  <c r="I25" i="47" s="1"/>
  <c r="D25" i="47"/>
  <c r="C25" i="47"/>
  <c r="B25" i="47"/>
  <c r="E24" i="47"/>
  <c r="I24" i="47" s="1"/>
  <c r="D24" i="47"/>
  <c r="C24" i="47"/>
  <c r="B24" i="47"/>
  <c r="E23" i="47"/>
  <c r="I23" i="47" s="1"/>
  <c r="D23" i="47"/>
  <c r="C23" i="47"/>
  <c r="B23" i="47"/>
  <c r="E22" i="47"/>
  <c r="I22" i="47" s="1"/>
  <c r="D22" i="47"/>
  <c r="C22" i="47"/>
  <c r="B22" i="47"/>
  <c r="B21" i="47"/>
  <c r="E20" i="47"/>
  <c r="I20" i="47" s="1"/>
  <c r="D20" i="47"/>
  <c r="C20" i="47"/>
  <c r="B20" i="47"/>
  <c r="E19" i="47"/>
  <c r="I19" i="47" s="1"/>
  <c r="D19" i="47"/>
  <c r="C19" i="47"/>
  <c r="B19" i="47"/>
  <c r="E18" i="47"/>
  <c r="I18" i="47" s="1"/>
  <c r="D18" i="47"/>
  <c r="C18" i="47"/>
  <c r="B18" i="47"/>
  <c r="E17" i="47"/>
  <c r="I17" i="47" s="1"/>
  <c r="D17" i="47"/>
  <c r="C17" i="47"/>
  <c r="B17" i="47"/>
  <c r="E16" i="47"/>
  <c r="I16" i="47" s="1"/>
  <c r="D16" i="47"/>
  <c r="C16" i="47"/>
  <c r="B16" i="47"/>
  <c r="E15" i="47"/>
  <c r="I15" i="47" s="1"/>
  <c r="D15" i="47"/>
  <c r="C15" i="47"/>
  <c r="B15" i="47"/>
  <c r="E14" i="47"/>
  <c r="I14" i="47" s="1"/>
  <c r="D14" i="47"/>
  <c r="C14" i="47"/>
  <c r="B14" i="47"/>
  <c r="B13" i="47"/>
  <c r="I12" i="47"/>
  <c r="C12" i="47"/>
  <c r="M4" i="47"/>
  <c r="J75" i="47" s="1"/>
  <c r="M3" i="47"/>
  <c r="J39" i="47" s="1"/>
  <c r="E137" i="46"/>
  <c r="I137" i="46" s="1"/>
  <c r="D137" i="46"/>
  <c r="C137" i="46"/>
  <c r="B137" i="46"/>
  <c r="E136" i="46"/>
  <c r="I136" i="46" s="1"/>
  <c r="D136" i="46"/>
  <c r="C136" i="46"/>
  <c r="B136" i="46"/>
  <c r="E135" i="46"/>
  <c r="I135" i="46" s="1"/>
  <c r="D135" i="46"/>
  <c r="C135" i="46"/>
  <c r="B135" i="46"/>
  <c r="E134" i="46"/>
  <c r="I134" i="46" s="1"/>
  <c r="D134" i="46"/>
  <c r="C134" i="46"/>
  <c r="B134" i="46"/>
  <c r="E133" i="46"/>
  <c r="I133" i="46" s="1"/>
  <c r="D133" i="46"/>
  <c r="C133" i="46"/>
  <c r="B133" i="46"/>
  <c r="E132" i="46"/>
  <c r="I132" i="46" s="1"/>
  <c r="D132" i="46"/>
  <c r="C132" i="46"/>
  <c r="B132" i="46"/>
  <c r="E131" i="46"/>
  <c r="I131" i="46" s="1"/>
  <c r="D131" i="46"/>
  <c r="C131" i="46"/>
  <c r="B131" i="46"/>
  <c r="E130" i="46"/>
  <c r="I130" i="46" s="1"/>
  <c r="D130" i="46"/>
  <c r="C130" i="46"/>
  <c r="B130" i="46"/>
  <c r="E129" i="46"/>
  <c r="I129" i="46" s="1"/>
  <c r="D129" i="46"/>
  <c r="C129" i="46"/>
  <c r="B129" i="46"/>
  <c r="E128" i="46"/>
  <c r="I128" i="46" s="1"/>
  <c r="D128" i="46"/>
  <c r="C128" i="46"/>
  <c r="B128" i="46"/>
  <c r="B127" i="46"/>
  <c r="E126" i="46"/>
  <c r="I126" i="46" s="1"/>
  <c r="D126" i="46"/>
  <c r="C126" i="46"/>
  <c r="B126" i="46"/>
  <c r="E125" i="46"/>
  <c r="I125" i="46" s="1"/>
  <c r="D125" i="46"/>
  <c r="C125" i="46"/>
  <c r="B125" i="46"/>
  <c r="E124" i="46"/>
  <c r="I124" i="46" s="1"/>
  <c r="D124" i="46"/>
  <c r="C124" i="46"/>
  <c r="B124" i="46"/>
  <c r="E123" i="46"/>
  <c r="I123" i="46" s="1"/>
  <c r="D123" i="46"/>
  <c r="C123" i="46"/>
  <c r="B123" i="46"/>
  <c r="E122" i="46"/>
  <c r="I122" i="46" s="1"/>
  <c r="D122" i="46"/>
  <c r="C122" i="46"/>
  <c r="B122" i="46"/>
  <c r="E121" i="46"/>
  <c r="I121" i="46" s="1"/>
  <c r="D121" i="46"/>
  <c r="C121" i="46"/>
  <c r="B121" i="46"/>
  <c r="E120" i="46"/>
  <c r="I120" i="46" s="1"/>
  <c r="D120" i="46"/>
  <c r="C120" i="46"/>
  <c r="B120" i="46"/>
  <c r="E119" i="46"/>
  <c r="I119" i="46" s="1"/>
  <c r="D119" i="46"/>
  <c r="C119" i="46"/>
  <c r="B119" i="46"/>
  <c r="E118" i="46"/>
  <c r="I118" i="46" s="1"/>
  <c r="D118" i="46"/>
  <c r="C118" i="46"/>
  <c r="B118" i="46"/>
  <c r="E117" i="46"/>
  <c r="I117" i="46" s="1"/>
  <c r="D117" i="46"/>
  <c r="C117" i="46"/>
  <c r="B117" i="46"/>
  <c r="E116" i="46"/>
  <c r="I116" i="46" s="1"/>
  <c r="D116" i="46"/>
  <c r="C116" i="46"/>
  <c r="B116" i="46"/>
  <c r="E115" i="46"/>
  <c r="I115" i="46" s="1"/>
  <c r="D115" i="46"/>
  <c r="C115" i="46"/>
  <c r="B115" i="46"/>
  <c r="E114" i="46"/>
  <c r="I114" i="46" s="1"/>
  <c r="D114" i="46"/>
  <c r="C114" i="46"/>
  <c r="B114" i="46"/>
  <c r="E113" i="46"/>
  <c r="I113" i="46" s="1"/>
  <c r="D113" i="46"/>
  <c r="C113" i="46"/>
  <c r="B113" i="46"/>
  <c r="E112" i="46"/>
  <c r="I112" i="46" s="1"/>
  <c r="D112" i="46"/>
  <c r="C112" i="46"/>
  <c r="B112" i="46"/>
  <c r="E111" i="46"/>
  <c r="I111" i="46" s="1"/>
  <c r="D111" i="46"/>
  <c r="C111" i="46"/>
  <c r="B111" i="46"/>
  <c r="E110" i="46"/>
  <c r="I110" i="46" s="1"/>
  <c r="D110" i="46"/>
  <c r="C110" i="46"/>
  <c r="B110" i="46"/>
  <c r="E109" i="46"/>
  <c r="I109" i="46" s="1"/>
  <c r="D109" i="46"/>
  <c r="C109" i="46"/>
  <c r="B109" i="46"/>
  <c r="I108" i="46"/>
  <c r="D108" i="46"/>
  <c r="C108" i="46"/>
  <c r="B108" i="46"/>
  <c r="I107" i="46"/>
  <c r="D107" i="46"/>
  <c r="C107" i="46"/>
  <c r="B107" i="46"/>
  <c r="E106" i="46"/>
  <c r="I106" i="46" s="1"/>
  <c r="D106" i="46"/>
  <c r="C106" i="46"/>
  <c r="B106" i="46"/>
  <c r="D105" i="46"/>
  <c r="C105" i="46"/>
  <c r="B105" i="46"/>
  <c r="D104" i="46"/>
  <c r="C104" i="46"/>
  <c r="B104" i="46"/>
  <c r="D103" i="46"/>
  <c r="C103" i="46"/>
  <c r="B103" i="46"/>
  <c r="D102" i="46"/>
  <c r="C102" i="46"/>
  <c r="B102" i="46"/>
  <c r="D101" i="46"/>
  <c r="C101" i="46"/>
  <c r="B101" i="46"/>
  <c r="D100" i="46"/>
  <c r="C100" i="46"/>
  <c r="B100" i="46"/>
  <c r="D99" i="46"/>
  <c r="C99" i="46"/>
  <c r="B99" i="46"/>
  <c r="D98" i="46"/>
  <c r="C98" i="46"/>
  <c r="B98" i="46"/>
  <c r="D97" i="46"/>
  <c r="C97" i="46"/>
  <c r="B97" i="46"/>
  <c r="D96" i="46"/>
  <c r="C96" i="46"/>
  <c r="B96" i="46"/>
  <c r="D95" i="46"/>
  <c r="C95" i="46"/>
  <c r="B95" i="46"/>
  <c r="D94" i="46"/>
  <c r="C94" i="46"/>
  <c r="B94" i="46"/>
  <c r="E93" i="46"/>
  <c r="I93" i="46" s="1"/>
  <c r="D93" i="46"/>
  <c r="C93" i="46"/>
  <c r="B93" i="46"/>
  <c r="E92" i="46"/>
  <c r="I92" i="46" s="1"/>
  <c r="D92" i="46"/>
  <c r="C92" i="46"/>
  <c r="B92" i="46"/>
  <c r="E91" i="46"/>
  <c r="I91" i="46" s="1"/>
  <c r="D91" i="46"/>
  <c r="C91" i="46"/>
  <c r="B91" i="46"/>
  <c r="E90" i="46"/>
  <c r="I90" i="46" s="1"/>
  <c r="D90" i="46"/>
  <c r="C90" i="46"/>
  <c r="B90" i="46"/>
  <c r="E89" i="46"/>
  <c r="I89" i="46" s="1"/>
  <c r="D89" i="46"/>
  <c r="C89" i="46"/>
  <c r="B89" i="46"/>
  <c r="B88" i="46"/>
  <c r="E87" i="46"/>
  <c r="I87" i="46" s="1"/>
  <c r="D87" i="46"/>
  <c r="C87" i="46"/>
  <c r="B87" i="46"/>
  <c r="E86" i="46"/>
  <c r="I86" i="46" s="1"/>
  <c r="D86" i="46"/>
  <c r="C86" i="46"/>
  <c r="B86" i="46"/>
  <c r="E85" i="46"/>
  <c r="I85" i="46" s="1"/>
  <c r="D85" i="46"/>
  <c r="C85" i="46"/>
  <c r="B85" i="46"/>
  <c r="E84" i="46"/>
  <c r="I84" i="46" s="1"/>
  <c r="D84" i="46"/>
  <c r="C84" i="46"/>
  <c r="B84" i="46"/>
  <c r="E83" i="46"/>
  <c r="I83" i="46" s="1"/>
  <c r="D83" i="46"/>
  <c r="C83" i="46"/>
  <c r="B83" i="46"/>
  <c r="E82" i="46"/>
  <c r="I82" i="46" s="1"/>
  <c r="D82" i="46"/>
  <c r="C82" i="46"/>
  <c r="B82" i="46"/>
  <c r="E81" i="46"/>
  <c r="I81" i="46" s="1"/>
  <c r="D81" i="46"/>
  <c r="C81" i="46"/>
  <c r="B81" i="46"/>
  <c r="E80" i="46"/>
  <c r="I80" i="46" s="1"/>
  <c r="D80" i="46"/>
  <c r="C80" i="46"/>
  <c r="B80" i="46"/>
  <c r="E79" i="46"/>
  <c r="I79" i="46" s="1"/>
  <c r="D79" i="46"/>
  <c r="C79" i="46"/>
  <c r="B79" i="46"/>
  <c r="E78" i="46"/>
  <c r="I78" i="46" s="1"/>
  <c r="D78" i="46"/>
  <c r="C78" i="46"/>
  <c r="B78" i="46"/>
  <c r="D77" i="46"/>
  <c r="C77" i="46"/>
  <c r="B77" i="46"/>
  <c r="D76" i="46"/>
  <c r="C76" i="46"/>
  <c r="B76" i="46"/>
  <c r="D75" i="46"/>
  <c r="C75" i="46"/>
  <c r="B75" i="46"/>
  <c r="D74" i="46"/>
  <c r="C74" i="46"/>
  <c r="B74" i="46"/>
  <c r="D73" i="46"/>
  <c r="C73" i="46"/>
  <c r="B73" i="46"/>
  <c r="D72" i="46"/>
  <c r="C72" i="46"/>
  <c r="B72" i="46"/>
  <c r="D71" i="46"/>
  <c r="C71" i="46"/>
  <c r="B71" i="46"/>
  <c r="D70" i="46"/>
  <c r="C70" i="46"/>
  <c r="B70" i="46"/>
  <c r="D69" i="46"/>
  <c r="C69" i="46"/>
  <c r="B69" i="46"/>
  <c r="D68" i="46"/>
  <c r="C68" i="46"/>
  <c r="B68" i="46"/>
  <c r="B67" i="46"/>
  <c r="E66" i="46"/>
  <c r="I66" i="46" s="1"/>
  <c r="D66" i="46"/>
  <c r="C66" i="46"/>
  <c r="B66" i="46"/>
  <c r="E65" i="46"/>
  <c r="I65" i="46" s="1"/>
  <c r="D65" i="46"/>
  <c r="C65" i="46"/>
  <c r="B65" i="46"/>
  <c r="E64" i="46"/>
  <c r="I64" i="46" s="1"/>
  <c r="D64" i="46"/>
  <c r="C64" i="46"/>
  <c r="B64" i="46"/>
  <c r="E63" i="46"/>
  <c r="I63" i="46" s="1"/>
  <c r="D63" i="46"/>
  <c r="C63" i="46"/>
  <c r="B63" i="46"/>
  <c r="E62" i="46"/>
  <c r="I62" i="46" s="1"/>
  <c r="D62" i="46"/>
  <c r="C62" i="46"/>
  <c r="B62" i="46"/>
  <c r="B61" i="46"/>
  <c r="E60" i="46"/>
  <c r="I60" i="46" s="1"/>
  <c r="D60" i="46"/>
  <c r="C60" i="46"/>
  <c r="B60" i="46"/>
  <c r="E59" i="46"/>
  <c r="I59" i="46" s="1"/>
  <c r="D59" i="46"/>
  <c r="C59" i="46"/>
  <c r="B59" i="46"/>
  <c r="E58" i="46"/>
  <c r="I58" i="46" s="1"/>
  <c r="D58" i="46"/>
  <c r="C58" i="46"/>
  <c r="B58" i="46"/>
  <c r="E57" i="46"/>
  <c r="I57" i="46" s="1"/>
  <c r="D57" i="46"/>
  <c r="C57" i="46"/>
  <c r="B57" i="46"/>
  <c r="E56" i="46"/>
  <c r="I56" i="46" s="1"/>
  <c r="D56" i="46"/>
  <c r="C56" i="46"/>
  <c r="B56" i="46"/>
  <c r="E55" i="46"/>
  <c r="I55" i="46" s="1"/>
  <c r="D55" i="46"/>
  <c r="C55" i="46"/>
  <c r="B55" i="46"/>
  <c r="E54" i="46"/>
  <c r="I54" i="46" s="1"/>
  <c r="D54" i="46"/>
  <c r="C54" i="46"/>
  <c r="B54" i="46"/>
  <c r="E53" i="46"/>
  <c r="I53" i="46" s="1"/>
  <c r="D53" i="46"/>
  <c r="C53" i="46"/>
  <c r="B53" i="46"/>
  <c r="E52" i="46"/>
  <c r="I52" i="46" s="1"/>
  <c r="D52" i="46"/>
  <c r="C52" i="46"/>
  <c r="B52" i="46"/>
  <c r="B51" i="46"/>
  <c r="E50" i="46"/>
  <c r="I50" i="46" s="1"/>
  <c r="D50" i="46"/>
  <c r="C50" i="46"/>
  <c r="B50" i="46"/>
  <c r="I49" i="46"/>
  <c r="D49" i="46"/>
  <c r="C49" i="46"/>
  <c r="B49" i="46"/>
  <c r="I48" i="46"/>
  <c r="D48" i="46"/>
  <c r="C48" i="46"/>
  <c r="B48" i="46"/>
  <c r="E47" i="46"/>
  <c r="I47" i="46" s="1"/>
  <c r="D47" i="46"/>
  <c r="C47" i="46"/>
  <c r="B47" i="46"/>
  <c r="E46" i="46"/>
  <c r="I46" i="46" s="1"/>
  <c r="D46" i="46"/>
  <c r="C46" i="46"/>
  <c r="B46" i="46"/>
  <c r="E45" i="46"/>
  <c r="I45" i="46" s="1"/>
  <c r="D45" i="46"/>
  <c r="C45" i="46"/>
  <c r="B45" i="46"/>
  <c r="E44" i="46"/>
  <c r="I44" i="46" s="1"/>
  <c r="D44" i="46"/>
  <c r="C44" i="46"/>
  <c r="B44" i="46"/>
  <c r="E43" i="46"/>
  <c r="I43" i="46" s="1"/>
  <c r="D43" i="46"/>
  <c r="C43" i="46"/>
  <c r="B43" i="46"/>
  <c r="E42" i="46"/>
  <c r="I42" i="46" s="1"/>
  <c r="D42" i="46"/>
  <c r="C42" i="46"/>
  <c r="B42" i="46"/>
  <c r="B41" i="46"/>
  <c r="E40" i="46"/>
  <c r="I40" i="46" s="1"/>
  <c r="D40" i="46"/>
  <c r="C40" i="46"/>
  <c r="B40" i="46"/>
  <c r="E39" i="46"/>
  <c r="I39" i="46" s="1"/>
  <c r="D39" i="46"/>
  <c r="C39" i="46"/>
  <c r="B39" i="46"/>
  <c r="E38" i="46"/>
  <c r="I38" i="46" s="1"/>
  <c r="D38" i="46"/>
  <c r="C38" i="46"/>
  <c r="B38" i="46"/>
  <c r="I37" i="46"/>
  <c r="D37" i="46"/>
  <c r="C37" i="46"/>
  <c r="B37" i="46"/>
  <c r="B36" i="46"/>
  <c r="E35" i="46"/>
  <c r="I35" i="46" s="1"/>
  <c r="D35" i="46"/>
  <c r="C35" i="46"/>
  <c r="B35" i="46"/>
  <c r="E34" i="46"/>
  <c r="I34" i="46" s="1"/>
  <c r="D34" i="46"/>
  <c r="C34" i="46"/>
  <c r="B34" i="46"/>
  <c r="E33" i="46"/>
  <c r="I33" i="46" s="1"/>
  <c r="D33" i="46"/>
  <c r="C33" i="46"/>
  <c r="B33" i="46"/>
  <c r="E32" i="46"/>
  <c r="I32" i="46" s="1"/>
  <c r="D32" i="46"/>
  <c r="C32" i="46"/>
  <c r="B32" i="46"/>
  <c r="E31" i="46"/>
  <c r="I31" i="46" s="1"/>
  <c r="D31" i="46"/>
  <c r="C31" i="46"/>
  <c r="B31" i="46"/>
  <c r="E30" i="46"/>
  <c r="I30" i="46" s="1"/>
  <c r="D30" i="46"/>
  <c r="C30" i="46"/>
  <c r="B30" i="46"/>
  <c r="E29" i="46"/>
  <c r="I29" i="46" s="1"/>
  <c r="D29" i="46"/>
  <c r="C29" i="46"/>
  <c r="B29" i="46"/>
  <c r="E28" i="46"/>
  <c r="I28" i="46" s="1"/>
  <c r="D28" i="46"/>
  <c r="C28" i="46"/>
  <c r="B28" i="46"/>
  <c r="E27" i="46"/>
  <c r="I27" i="46" s="1"/>
  <c r="D27" i="46"/>
  <c r="C27" i="46"/>
  <c r="B27" i="46"/>
  <c r="I25" i="46"/>
  <c r="D25" i="46"/>
  <c r="C25" i="46"/>
  <c r="B25" i="46"/>
  <c r="E24" i="46"/>
  <c r="I24" i="46" s="1"/>
  <c r="D24" i="46"/>
  <c r="C24" i="46"/>
  <c r="B24" i="46"/>
  <c r="E23" i="46"/>
  <c r="I23" i="46" s="1"/>
  <c r="D23" i="46"/>
  <c r="C23" i="46"/>
  <c r="B23" i="46"/>
  <c r="E22" i="46"/>
  <c r="I22" i="46" s="1"/>
  <c r="D22" i="46"/>
  <c r="C22" i="46"/>
  <c r="B22" i="46"/>
  <c r="B21" i="46"/>
  <c r="E20" i="46"/>
  <c r="I20" i="46" s="1"/>
  <c r="D20" i="46"/>
  <c r="C20" i="46"/>
  <c r="B20" i="46"/>
  <c r="E19" i="46"/>
  <c r="I19" i="46" s="1"/>
  <c r="D19" i="46"/>
  <c r="C19" i="46"/>
  <c r="B19" i="46"/>
  <c r="E18" i="46"/>
  <c r="I18" i="46" s="1"/>
  <c r="D18" i="46"/>
  <c r="C18" i="46"/>
  <c r="B18" i="46"/>
  <c r="E17" i="46"/>
  <c r="I17" i="46" s="1"/>
  <c r="D17" i="46"/>
  <c r="C17" i="46"/>
  <c r="B17" i="46"/>
  <c r="E16" i="46"/>
  <c r="I16" i="46" s="1"/>
  <c r="D16" i="46"/>
  <c r="C16" i="46"/>
  <c r="B16" i="46"/>
  <c r="E15" i="46"/>
  <c r="I15" i="46" s="1"/>
  <c r="D15" i="46"/>
  <c r="C15" i="46"/>
  <c r="B15" i="46"/>
  <c r="E14" i="46"/>
  <c r="I14" i="46" s="1"/>
  <c r="D14" i="46"/>
  <c r="C14" i="46"/>
  <c r="B14" i="46"/>
  <c r="B13" i="46"/>
  <c r="I12" i="46"/>
  <c r="C12" i="46"/>
  <c r="M4" i="46"/>
  <c r="J54" i="46" s="1"/>
  <c r="M3" i="46"/>
  <c r="J23" i="46" s="1"/>
  <c r="E137" i="45"/>
  <c r="I137" i="45" s="1"/>
  <c r="D137" i="45"/>
  <c r="C137" i="45"/>
  <c r="B137" i="45"/>
  <c r="E136" i="45"/>
  <c r="I136" i="45" s="1"/>
  <c r="D136" i="45"/>
  <c r="C136" i="45"/>
  <c r="B136" i="45"/>
  <c r="E135" i="45"/>
  <c r="I135" i="45" s="1"/>
  <c r="D135" i="45"/>
  <c r="C135" i="45"/>
  <c r="B135" i="45"/>
  <c r="E134" i="45"/>
  <c r="I134" i="45" s="1"/>
  <c r="D134" i="45"/>
  <c r="C134" i="45"/>
  <c r="B134" i="45"/>
  <c r="E133" i="45"/>
  <c r="I133" i="45" s="1"/>
  <c r="D133" i="45"/>
  <c r="C133" i="45"/>
  <c r="B133" i="45"/>
  <c r="E132" i="45"/>
  <c r="I132" i="45" s="1"/>
  <c r="D132" i="45"/>
  <c r="C132" i="45"/>
  <c r="B132" i="45"/>
  <c r="E131" i="45"/>
  <c r="I131" i="45" s="1"/>
  <c r="D131" i="45"/>
  <c r="C131" i="45"/>
  <c r="B131" i="45"/>
  <c r="E130" i="45"/>
  <c r="I130" i="45" s="1"/>
  <c r="D130" i="45"/>
  <c r="C130" i="45"/>
  <c r="B130" i="45"/>
  <c r="E129" i="45"/>
  <c r="I129" i="45" s="1"/>
  <c r="D129" i="45"/>
  <c r="C129" i="45"/>
  <c r="B129" i="45"/>
  <c r="E128" i="45"/>
  <c r="I128" i="45" s="1"/>
  <c r="D128" i="45"/>
  <c r="C128" i="45"/>
  <c r="B128" i="45"/>
  <c r="B127" i="45"/>
  <c r="E126" i="45"/>
  <c r="I126" i="45" s="1"/>
  <c r="D126" i="45"/>
  <c r="C126" i="45"/>
  <c r="B126" i="45"/>
  <c r="E125" i="45"/>
  <c r="I125" i="45" s="1"/>
  <c r="D125" i="45"/>
  <c r="C125" i="45"/>
  <c r="B125" i="45"/>
  <c r="E124" i="45"/>
  <c r="I124" i="45" s="1"/>
  <c r="D124" i="45"/>
  <c r="C124" i="45"/>
  <c r="B124" i="45"/>
  <c r="E123" i="45"/>
  <c r="I123" i="45" s="1"/>
  <c r="D123" i="45"/>
  <c r="C123" i="45"/>
  <c r="B123" i="45"/>
  <c r="E122" i="45"/>
  <c r="I122" i="45" s="1"/>
  <c r="D122" i="45"/>
  <c r="C122" i="45"/>
  <c r="B122" i="45"/>
  <c r="E121" i="45"/>
  <c r="I121" i="45" s="1"/>
  <c r="D121" i="45"/>
  <c r="C121" i="45"/>
  <c r="B121" i="45"/>
  <c r="E120" i="45"/>
  <c r="I120" i="45" s="1"/>
  <c r="D120" i="45"/>
  <c r="C120" i="45"/>
  <c r="B120" i="45"/>
  <c r="E119" i="45"/>
  <c r="I119" i="45" s="1"/>
  <c r="D119" i="45"/>
  <c r="C119" i="45"/>
  <c r="B119" i="45"/>
  <c r="E118" i="45"/>
  <c r="I118" i="45" s="1"/>
  <c r="D118" i="45"/>
  <c r="C118" i="45"/>
  <c r="B118" i="45"/>
  <c r="E117" i="45"/>
  <c r="I117" i="45" s="1"/>
  <c r="D117" i="45"/>
  <c r="C117" i="45"/>
  <c r="B117" i="45"/>
  <c r="E116" i="45"/>
  <c r="I116" i="45" s="1"/>
  <c r="D116" i="45"/>
  <c r="C116" i="45"/>
  <c r="B116" i="45"/>
  <c r="E115" i="45"/>
  <c r="I115" i="45" s="1"/>
  <c r="D115" i="45"/>
  <c r="C115" i="45"/>
  <c r="B115" i="45"/>
  <c r="E114" i="45"/>
  <c r="I114" i="45" s="1"/>
  <c r="D114" i="45"/>
  <c r="C114" i="45"/>
  <c r="B114" i="45"/>
  <c r="E113" i="45"/>
  <c r="I113" i="45" s="1"/>
  <c r="D113" i="45"/>
  <c r="C113" i="45"/>
  <c r="B113" i="45"/>
  <c r="E112" i="45"/>
  <c r="I112" i="45" s="1"/>
  <c r="D112" i="45"/>
  <c r="C112" i="45"/>
  <c r="B112" i="45"/>
  <c r="E111" i="45"/>
  <c r="I111" i="45" s="1"/>
  <c r="D111" i="45"/>
  <c r="C111" i="45"/>
  <c r="B111" i="45"/>
  <c r="E110" i="45"/>
  <c r="I110" i="45" s="1"/>
  <c r="D110" i="45"/>
  <c r="C110" i="45"/>
  <c r="B110" i="45"/>
  <c r="E109" i="45"/>
  <c r="I109" i="45" s="1"/>
  <c r="D109" i="45"/>
  <c r="C109" i="45"/>
  <c r="B109" i="45"/>
  <c r="E108" i="45"/>
  <c r="I108" i="45" s="1"/>
  <c r="D108" i="45"/>
  <c r="C108" i="45"/>
  <c r="B108" i="45"/>
  <c r="E107" i="45"/>
  <c r="I107" i="45" s="1"/>
  <c r="D107" i="45"/>
  <c r="C107" i="45"/>
  <c r="B107" i="45"/>
  <c r="I106" i="45"/>
  <c r="D106" i="45"/>
  <c r="C106" i="45"/>
  <c r="B106" i="45"/>
  <c r="D105" i="45"/>
  <c r="C105" i="45"/>
  <c r="B105" i="45"/>
  <c r="D104" i="45"/>
  <c r="C104" i="45"/>
  <c r="B104" i="45"/>
  <c r="D103" i="45"/>
  <c r="C103" i="45"/>
  <c r="B103" i="45"/>
  <c r="D102" i="45"/>
  <c r="C102" i="45"/>
  <c r="B102" i="45"/>
  <c r="D101" i="45"/>
  <c r="C101" i="45"/>
  <c r="B101" i="45"/>
  <c r="D100" i="45"/>
  <c r="C100" i="45"/>
  <c r="B100" i="45"/>
  <c r="D99" i="45"/>
  <c r="C99" i="45"/>
  <c r="B99" i="45"/>
  <c r="D98" i="45"/>
  <c r="C98" i="45"/>
  <c r="B98" i="45"/>
  <c r="D97" i="45"/>
  <c r="C97" i="45"/>
  <c r="B97" i="45"/>
  <c r="D96" i="45"/>
  <c r="C96" i="45"/>
  <c r="B96" i="45"/>
  <c r="D95" i="45"/>
  <c r="C95" i="45"/>
  <c r="B95" i="45"/>
  <c r="D94" i="45"/>
  <c r="C94" i="45"/>
  <c r="B94" i="45"/>
  <c r="E93" i="45"/>
  <c r="I93" i="45" s="1"/>
  <c r="D93" i="45"/>
  <c r="C93" i="45"/>
  <c r="B93" i="45"/>
  <c r="E92" i="45"/>
  <c r="I92" i="45" s="1"/>
  <c r="D92" i="45"/>
  <c r="C92" i="45"/>
  <c r="B92" i="45"/>
  <c r="E91" i="45"/>
  <c r="I91" i="45" s="1"/>
  <c r="D91" i="45"/>
  <c r="C91" i="45"/>
  <c r="B91" i="45"/>
  <c r="E90" i="45"/>
  <c r="I90" i="45" s="1"/>
  <c r="D90" i="45"/>
  <c r="C90" i="45"/>
  <c r="B90" i="45"/>
  <c r="E89" i="45"/>
  <c r="I89" i="45" s="1"/>
  <c r="D89" i="45"/>
  <c r="C89" i="45"/>
  <c r="B89" i="45"/>
  <c r="B88" i="45"/>
  <c r="I87" i="45"/>
  <c r="D87" i="45"/>
  <c r="C87" i="45"/>
  <c r="B87" i="45"/>
  <c r="E86" i="45"/>
  <c r="I86" i="45" s="1"/>
  <c r="D86" i="45"/>
  <c r="C86" i="45"/>
  <c r="B86" i="45"/>
  <c r="I85" i="45"/>
  <c r="D85" i="45"/>
  <c r="C85" i="45"/>
  <c r="B85" i="45"/>
  <c r="E84" i="45"/>
  <c r="I84" i="45" s="1"/>
  <c r="D84" i="45"/>
  <c r="C84" i="45"/>
  <c r="B84" i="45"/>
  <c r="E83" i="45"/>
  <c r="I83" i="45" s="1"/>
  <c r="D83" i="45"/>
  <c r="C83" i="45"/>
  <c r="B83" i="45"/>
  <c r="E82" i="45"/>
  <c r="I82" i="45" s="1"/>
  <c r="D82" i="45"/>
  <c r="C82" i="45"/>
  <c r="B82" i="45"/>
  <c r="I81" i="45"/>
  <c r="D81" i="45"/>
  <c r="C81" i="45"/>
  <c r="B81" i="45"/>
  <c r="E80" i="45"/>
  <c r="I80" i="45" s="1"/>
  <c r="D80" i="45"/>
  <c r="C80" i="45"/>
  <c r="B80" i="45"/>
  <c r="E79" i="45"/>
  <c r="I79" i="45" s="1"/>
  <c r="D79" i="45"/>
  <c r="C79" i="45"/>
  <c r="B79" i="45"/>
  <c r="E78" i="45"/>
  <c r="I78" i="45" s="1"/>
  <c r="D78" i="45"/>
  <c r="C78" i="45"/>
  <c r="B78" i="45"/>
  <c r="D77" i="45"/>
  <c r="C77" i="45"/>
  <c r="B77" i="45"/>
  <c r="D76" i="45"/>
  <c r="C76" i="45"/>
  <c r="B76" i="45"/>
  <c r="D75" i="45"/>
  <c r="C75" i="45"/>
  <c r="B75" i="45"/>
  <c r="D74" i="45"/>
  <c r="C74" i="45"/>
  <c r="B74" i="45"/>
  <c r="D73" i="45"/>
  <c r="C73" i="45"/>
  <c r="B73" i="45"/>
  <c r="D72" i="45"/>
  <c r="C72" i="45"/>
  <c r="B72" i="45"/>
  <c r="D71" i="45"/>
  <c r="C71" i="45"/>
  <c r="B71" i="45"/>
  <c r="D70" i="45"/>
  <c r="C70" i="45"/>
  <c r="B70" i="45"/>
  <c r="D69" i="45"/>
  <c r="C69" i="45"/>
  <c r="B69" i="45"/>
  <c r="D68" i="45"/>
  <c r="C68" i="45"/>
  <c r="B68" i="45"/>
  <c r="B67" i="45"/>
  <c r="I66" i="45"/>
  <c r="D66" i="45"/>
  <c r="C66" i="45"/>
  <c r="B66" i="45"/>
  <c r="E65" i="45"/>
  <c r="I65" i="45" s="1"/>
  <c r="D65" i="45"/>
  <c r="C65" i="45"/>
  <c r="B65" i="45"/>
  <c r="E64" i="45"/>
  <c r="I64" i="45" s="1"/>
  <c r="D64" i="45"/>
  <c r="C64" i="45"/>
  <c r="B64" i="45"/>
  <c r="E63" i="45"/>
  <c r="I63" i="45" s="1"/>
  <c r="D63" i="45"/>
  <c r="C63" i="45"/>
  <c r="B63" i="45"/>
  <c r="E62" i="45"/>
  <c r="I62" i="45" s="1"/>
  <c r="D62" i="45"/>
  <c r="C62" i="45"/>
  <c r="B62" i="45"/>
  <c r="B61" i="45"/>
  <c r="E60" i="45"/>
  <c r="I60" i="45" s="1"/>
  <c r="D60" i="45"/>
  <c r="C60" i="45"/>
  <c r="B60" i="45"/>
  <c r="I59" i="45"/>
  <c r="D59" i="45"/>
  <c r="C59" i="45"/>
  <c r="B59" i="45"/>
  <c r="E58" i="45"/>
  <c r="I58" i="45" s="1"/>
  <c r="D58" i="45"/>
  <c r="C58" i="45"/>
  <c r="B58" i="45"/>
  <c r="E57" i="45"/>
  <c r="I57" i="45" s="1"/>
  <c r="D57" i="45"/>
  <c r="C57" i="45"/>
  <c r="B57" i="45"/>
  <c r="E56" i="45"/>
  <c r="I56" i="45" s="1"/>
  <c r="D56" i="45"/>
  <c r="C56" i="45"/>
  <c r="B56" i="45"/>
  <c r="E55" i="45"/>
  <c r="I55" i="45" s="1"/>
  <c r="D55" i="45"/>
  <c r="C55" i="45"/>
  <c r="B55" i="45"/>
  <c r="E54" i="45"/>
  <c r="I54" i="45" s="1"/>
  <c r="D54" i="45"/>
  <c r="C54" i="45"/>
  <c r="B54" i="45"/>
  <c r="E53" i="45"/>
  <c r="I53" i="45" s="1"/>
  <c r="D53" i="45"/>
  <c r="C53" i="45"/>
  <c r="B53" i="45"/>
  <c r="E52" i="45"/>
  <c r="I52" i="45" s="1"/>
  <c r="D52" i="45"/>
  <c r="C52" i="45"/>
  <c r="B52" i="45"/>
  <c r="B51" i="45"/>
  <c r="E50" i="45"/>
  <c r="I50" i="45" s="1"/>
  <c r="D50" i="45"/>
  <c r="C50" i="45"/>
  <c r="B50" i="45"/>
  <c r="I49" i="45"/>
  <c r="D49" i="45"/>
  <c r="C49" i="45"/>
  <c r="B49" i="45"/>
  <c r="I48" i="45"/>
  <c r="D48" i="45"/>
  <c r="C48" i="45"/>
  <c r="B48" i="45"/>
  <c r="E47" i="45"/>
  <c r="I47" i="45" s="1"/>
  <c r="D47" i="45"/>
  <c r="C47" i="45"/>
  <c r="B47" i="45"/>
  <c r="E46" i="45"/>
  <c r="I46" i="45" s="1"/>
  <c r="D46" i="45"/>
  <c r="C46" i="45"/>
  <c r="B46" i="45"/>
  <c r="E45" i="45"/>
  <c r="I45" i="45" s="1"/>
  <c r="D45" i="45"/>
  <c r="C45" i="45"/>
  <c r="B45" i="45"/>
  <c r="E44" i="45"/>
  <c r="I44" i="45" s="1"/>
  <c r="D44" i="45"/>
  <c r="C44" i="45"/>
  <c r="B44" i="45"/>
  <c r="E43" i="45"/>
  <c r="I43" i="45" s="1"/>
  <c r="D43" i="45"/>
  <c r="C43" i="45"/>
  <c r="B43" i="45"/>
  <c r="E42" i="45"/>
  <c r="I42" i="45" s="1"/>
  <c r="D42" i="45"/>
  <c r="C42" i="45"/>
  <c r="B42" i="45"/>
  <c r="B41" i="45"/>
  <c r="E40" i="45"/>
  <c r="I40" i="45" s="1"/>
  <c r="D40" i="45"/>
  <c r="C40" i="45"/>
  <c r="B40" i="45"/>
  <c r="E39" i="45"/>
  <c r="I39" i="45" s="1"/>
  <c r="D39" i="45"/>
  <c r="C39" i="45"/>
  <c r="B39" i="45"/>
  <c r="E38" i="45"/>
  <c r="I38" i="45" s="1"/>
  <c r="D38" i="45"/>
  <c r="C38" i="45"/>
  <c r="B38" i="45"/>
  <c r="E37" i="45"/>
  <c r="I37" i="45" s="1"/>
  <c r="D37" i="45"/>
  <c r="C37" i="45"/>
  <c r="B37" i="45"/>
  <c r="B36" i="45"/>
  <c r="E35" i="45"/>
  <c r="I35" i="45" s="1"/>
  <c r="D35" i="45"/>
  <c r="C35" i="45"/>
  <c r="B35" i="45"/>
  <c r="E34" i="45"/>
  <c r="I34" i="45" s="1"/>
  <c r="D34" i="45"/>
  <c r="C34" i="45"/>
  <c r="B34" i="45"/>
  <c r="E33" i="45"/>
  <c r="I33" i="45" s="1"/>
  <c r="D33" i="45"/>
  <c r="C33" i="45"/>
  <c r="B33" i="45"/>
  <c r="E32" i="45"/>
  <c r="I32" i="45" s="1"/>
  <c r="D32" i="45"/>
  <c r="C32" i="45"/>
  <c r="B32" i="45"/>
  <c r="E31" i="45"/>
  <c r="I31" i="45" s="1"/>
  <c r="D31" i="45"/>
  <c r="C31" i="45"/>
  <c r="B31" i="45"/>
  <c r="E30" i="45"/>
  <c r="I30" i="45" s="1"/>
  <c r="D30" i="45"/>
  <c r="C30" i="45"/>
  <c r="B30" i="45"/>
  <c r="E29" i="45"/>
  <c r="I29" i="45" s="1"/>
  <c r="D29" i="45"/>
  <c r="C29" i="45"/>
  <c r="B29" i="45"/>
  <c r="E28" i="45"/>
  <c r="I28" i="45" s="1"/>
  <c r="D28" i="45"/>
  <c r="C28" i="45"/>
  <c r="B28" i="45"/>
  <c r="E27" i="45"/>
  <c r="I27" i="45" s="1"/>
  <c r="D27" i="45"/>
  <c r="C27" i="45"/>
  <c r="B27" i="45"/>
  <c r="I25" i="45"/>
  <c r="D25" i="45"/>
  <c r="C25" i="45"/>
  <c r="B25" i="45"/>
  <c r="E24" i="45"/>
  <c r="I24" i="45" s="1"/>
  <c r="D24" i="45"/>
  <c r="C24" i="45"/>
  <c r="B24" i="45"/>
  <c r="I23" i="45"/>
  <c r="D23" i="45"/>
  <c r="C23" i="45"/>
  <c r="B23" i="45"/>
  <c r="E22" i="45"/>
  <c r="I22" i="45" s="1"/>
  <c r="D22" i="45"/>
  <c r="C22" i="45"/>
  <c r="B22" i="45"/>
  <c r="B21" i="45"/>
  <c r="E20" i="45"/>
  <c r="I20" i="45" s="1"/>
  <c r="D20" i="45"/>
  <c r="C20" i="45"/>
  <c r="B20" i="45"/>
  <c r="E19" i="45"/>
  <c r="I19" i="45" s="1"/>
  <c r="D19" i="45"/>
  <c r="C19" i="45"/>
  <c r="B19" i="45"/>
  <c r="E18" i="45"/>
  <c r="I18" i="45" s="1"/>
  <c r="D18" i="45"/>
  <c r="C18" i="45"/>
  <c r="B18" i="45"/>
  <c r="E17" i="45"/>
  <c r="I17" i="45" s="1"/>
  <c r="D17" i="45"/>
  <c r="C17" i="45"/>
  <c r="B17" i="45"/>
  <c r="E16" i="45"/>
  <c r="I16" i="45" s="1"/>
  <c r="D16" i="45"/>
  <c r="C16" i="45"/>
  <c r="B16" i="45"/>
  <c r="I15" i="45"/>
  <c r="D15" i="45"/>
  <c r="C15" i="45"/>
  <c r="B15" i="45"/>
  <c r="I14" i="45"/>
  <c r="D14" i="45"/>
  <c r="C14" i="45"/>
  <c r="B14" i="45"/>
  <c r="B13" i="45"/>
  <c r="I12" i="45"/>
  <c r="C12" i="45"/>
  <c r="M4" i="45"/>
  <c r="J57" i="45" s="1"/>
  <c r="M3" i="45"/>
  <c r="J38" i="45" s="1"/>
  <c r="E137" i="44"/>
  <c r="I137" i="44" s="1"/>
  <c r="D137" i="44"/>
  <c r="C137" i="44"/>
  <c r="B137" i="44"/>
  <c r="E136" i="44"/>
  <c r="I136" i="44" s="1"/>
  <c r="D136" i="44"/>
  <c r="C136" i="44"/>
  <c r="B136" i="44"/>
  <c r="E135" i="44"/>
  <c r="I135" i="44" s="1"/>
  <c r="D135" i="44"/>
  <c r="C135" i="44"/>
  <c r="B135" i="44"/>
  <c r="E134" i="44"/>
  <c r="I134" i="44" s="1"/>
  <c r="D134" i="44"/>
  <c r="C134" i="44"/>
  <c r="B134" i="44"/>
  <c r="E133" i="44"/>
  <c r="I133" i="44" s="1"/>
  <c r="D133" i="44"/>
  <c r="C133" i="44"/>
  <c r="B133" i="44"/>
  <c r="E132" i="44"/>
  <c r="I132" i="44" s="1"/>
  <c r="D132" i="44"/>
  <c r="C132" i="44"/>
  <c r="B132" i="44"/>
  <c r="E131" i="44"/>
  <c r="I131" i="44" s="1"/>
  <c r="D131" i="44"/>
  <c r="C131" i="44"/>
  <c r="B131" i="44"/>
  <c r="E130" i="44"/>
  <c r="I130" i="44" s="1"/>
  <c r="D130" i="44"/>
  <c r="C130" i="44"/>
  <c r="B130" i="44"/>
  <c r="E129" i="44"/>
  <c r="I129" i="44" s="1"/>
  <c r="D129" i="44"/>
  <c r="C129" i="44"/>
  <c r="B129" i="44"/>
  <c r="E128" i="44"/>
  <c r="I128" i="44" s="1"/>
  <c r="D128" i="44"/>
  <c r="C128" i="44"/>
  <c r="B128" i="44"/>
  <c r="B127" i="44"/>
  <c r="E126" i="44"/>
  <c r="I126" i="44" s="1"/>
  <c r="D126" i="44"/>
  <c r="C126" i="44"/>
  <c r="B126" i="44"/>
  <c r="E125" i="44"/>
  <c r="I125" i="44" s="1"/>
  <c r="D125" i="44"/>
  <c r="C125" i="44"/>
  <c r="B125" i="44"/>
  <c r="E124" i="44"/>
  <c r="I124" i="44" s="1"/>
  <c r="D124" i="44"/>
  <c r="C124" i="44"/>
  <c r="B124" i="44"/>
  <c r="E123" i="44"/>
  <c r="I123" i="44" s="1"/>
  <c r="D123" i="44"/>
  <c r="C123" i="44"/>
  <c r="B123" i="44"/>
  <c r="E122" i="44"/>
  <c r="I122" i="44" s="1"/>
  <c r="D122" i="44"/>
  <c r="C122" i="44"/>
  <c r="B122" i="44"/>
  <c r="E121" i="44"/>
  <c r="I121" i="44" s="1"/>
  <c r="D121" i="44"/>
  <c r="C121" i="44"/>
  <c r="B121" i="44"/>
  <c r="E120" i="44"/>
  <c r="I120" i="44" s="1"/>
  <c r="D120" i="44"/>
  <c r="C120" i="44"/>
  <c r="B120" i="44"/>
  <c r="E119" i="44"/>
  <c r="I119" i="44" s="1"/>
  <c r="D119" i="44"/>
  <c r="C119" i="44"/>
  <c r="B119" i="44"/>
  <c r="E118" i="44"/>
  <c r="I118" i="44" s="1"/>
  <c r="D118" i="44"/>
  <c r="C118" i="44"/>
  <c r="B118" i="44"/>
  <c r="E117" i="44"/>
  <c r="I117" i="44" s="1"/>
  <c r="D117" i="44"/>
  <c r="C117" i="44"/>
  <c r="B117" i="44"/>
  <c r="E116" i="44"/>
  <c r="I116" i="44" s="1"/>
  <c r="D116" i="44"/>
  <c r="C116" i="44"/>
  <c r="B116" i="44"/>
  <c r="E115" i="44"/>
  <c r="I115" i="44" s="1"/>
  <c r="D115" i="44"/>
  <c r="C115" i="44"/>
  <c r="B115" i="44"/>
  <c r="E114" i="44"/>
  <c r="I114" i="44" s="1"/>
  <c r="D114" i="44"/>
  <c r="C114" i="44"/>
  <c r="B114" i="44"/>
  <c r="E113" i="44"/>
  <c r="I113" i="44" s="1"/>
  <c r="D113" i="44"/>
  <c r="C113" i="44"/>
  <c r="B113" i="44"/>
  <c r="E112" i="44"/>
  <c r="I112" i="44" s="1"/>
  <c r="D112" i="44"/>
  <c r="C112" i="44"/>
  <c r="B112" i="44"/>
  <c r="E111" i="44"/>
  <c r="I111" i="44" s="1"/>
  <c r="D111" i="44"/>
  <c r="C111" i="44"/>
  <c r="B111" i="44"/>
  <c r="E110" i="44"/>
  <c r="I110" i="44" s="1"/>
  <c r="D110" i="44"/>
  <c r="C110" i="44"/>
  <c r="B110" i="44"/>
  <c r="E109" i="44"/>
  <c r="I109" i="44" s="1"/>
  <c r="D109" i="44"/>
  <c r="C109" i="44"/>
  <c r="B109" i="44"/>
  <c r="E108" i="44"/>
  <c r="I108" i="44" s="1"/>
  <c r="D108" i="44"/>
  <c r="C108" i="44"/>
  <c r="B108" i="44"/>
  <c r="E107" i="44"/>
  <c r="I107" i="44" s="1"/>
  <c r="D107" i="44"/>
  <c r="C107" i="44"/>
  <c r="B107" i="44"/>
  <c r="E106" i="44"/>
  <c r="I106" i="44" s="1"/>
  <c r="D106" i="44"/>
  <c r="C106" i="44"/>
  <c r="B106" i="44"/>
  <c r="D105" i="44"/>
  <c r="C105" i="44"/>
  <c r="B105" i="44"/>
  <c r="D104" i="44"/>
  <c r="C104" i="44"/>
  <c r="B104" i="44"/>
  <c r="D103" i="44"/>
  <c r="C103" i="44"/>
  <c r="B103" i="44"/>
  <c r="D102" i="44"/>
  <c r="C102" i="44"/>
  <c r="B102" i="44"/>
  <c r="D101" i="44"/>
  <c r="C101" i="44"/>
  <c r="B101" i="44"/>
  <c r="D100" i="44"/>
  <c r="C100" i="44"/>
  <c r="B100" i="44"/>
  <c r="D99" i="44"/>
  <c r="C99" i="44"/>
  <c r="B99" i="44"/>
  <c r="D98" i="44"/>
  <c r="C98" i="44"/>
  <c r="B98" i="44"/>
  <c r="D97" i="44"/>
  <c r="C97" i="44"/>
  <c r="B97" i="44"/>
  <c r="D96" i="44"/>
  <c r="C96" i="44"/>
  <c r="B96" i="44"/>
  <c r="D95" i="44"/>
  <c r="C95" i="44"/>
  <c r="B95" i="44"/>
  <c r="D94" i="44"/>
  <c r="C94" i="44"/>
  <c r="B94" i="44"/>
  <c r="E93" i="44"/>
  <c r="I93" i="44" s="1"/>
  <c r="D93" i="44"/>
  <c r="C93" i="44"/>
  <c r="B93" i="44"/>
  <c r="E92" i="44"/>
  <c r="I92" i="44" s="1"/>
  <c r="D92" i="44"/>
  <c r="C92" i="44"/>
  <c r="B92" i="44"/>
  <c r="E91" i="44"/>
  <c r="I91" i="44" s="1"/>
  <c r="D91" i="44"/>
  <c r="C91" i="44"/>
  <c r="B91" i="44"/>
  <c r="E90" i="44"/>
  <c r="I90" i="44" s="1"/>
  <c r="D90" i="44"/>
  <c r="C90" i="44"/>
  <c r="B90" i="44"/>
  <c r="E89" i="44"/>
  <c r="I89" i="44" s="1"/>
  <c r="D89" i="44"/>
  <c r="C89" i="44"/>
  <c r="B89" i="44"/>
  <c r="B88" i="44"/>
  <c r="E87" i="44"/>
  <c r="I87" i="44" s="1"/>
  <c r="D87" i="44"/>
  <c r="C87" i="44"/>
  <c r="B87" i="44"/>
  <c r="E86" i="44"/>
  <c r="I86" i="44" s="1"/>
  <c r="D86" i="44"/>
  <c r="C86" i="44"/>
  <c r="B86" i="44"/>
  <c r="E85" i="44"/>
  <c r="I85" i="44" s="1"/>
  <c r="D85" i="44"/>
  <c r="C85" i="44"/>
  <c r="B85" i="44"/>
  <c r="E84" i="44"/>
  <c r="I84" i="44" s="1"/>
  <c r="D84" i="44"/>
  <c r="C84" i="44"/>
  <c r="B84" i="44"/>
  <c r="E83" i="44"/>
  <c r="I83" i="44" s="1"/>
  <c r="D83" i="44"/>
  <c r="C83" i="44"/>
  <c r="B83" i="44"/>
  <c r="E82" i="44"/>
  <c r="I82" i="44" s="1"/>
  <c r="D82" i="44"/>
  <c r="C82" i="44"/>
  <c r="B82" i="44"/>
  <c r="E81" i="44"/>
  <c r="I81" i="44" s="1"/>
  <c r="D81" i="44"/>
  <c r="C81" i="44"/>
  <c r="B81" i="44"/>
  <c r="E80" i="44"/>
  <c r="I80" i="44" s="1"/>
  <c r="D80" i="44"/>
  <c r="C80" i="44"/>
  <c r="B80" i="44"/>
  <c r="E79" i="44"/>
  <c r="I79" i="44" s="1"/>
  <c r="D79" i="44"/>
  <c r="C79" i="44"/>
  <c r="B79" i="44"/>
  <c r="E78" i="44"/>
  <c r="I78" i="44" s="1"/>
  <c r="D78" i="44"/>
  <c r="C78" i="44"/>
  <c r="B78" i="44"/>
  <c r="D77" i="44"/>
  <c r="C77" i="44"/>
  <c r="B77" i="44"/>
  <c r="D76" i="44"/>
  <c r="C76" i="44"/>
  <c r="B76" i="44"/>
  <c r="D75" i="44"/>
  <c r="C75" i="44"/>
  <c r="B75" i="44"/>
  <c r="D74" i="44"/>
  <c r="C74" i="44"/>
  <c r="B74" i="44"/>
  <c r="D73" i="44"/>
  <c r="C73" i="44"/>
  <c r="B73" i="44"/>
  <c r="D72" i="44"/>
  <c r="C72" i="44"/>
  <c r="B72" i="44"/>
  <c r="D71" i="44"/>
  <c r="C71" i="44"/>
  <c r="B71" i="44"/>
  <c r="D70" i="44"/>
  <c r="C70" i="44"/>
  <c r="B70" i="44"/>
  <c r="D69" i="44"/>
  <c r="C69" i="44"/>
  <c r="B69" i="44"/>
  <c r="D68" i="44"/>
  <c r="C68" i="44"/>
  <c r="B68" i="44"/>
  <c r="B67" i="44"/>
  <c r="E66" i="44"/>
  <c r="I66" i="44" s="1"/>
  <c r="D66" i="44"/>
  <c r="C66" i="44"/>
  <c r="B66" i="44"/>
  <c r="E65" i="44"/>
  <c r="I65" i="44" s="1"/>
  <c r="D65" i="44"/>
  <c r="C65" i="44"/>
  <c r="B65" i="44"/>
  <c r="E64" i="44"/>
  <c r="I64" i="44" s="1"/>
  <c r="D64" i="44"/>
  <c r="C64" i="44"/>
  <c r="B64" i="44"/>
  <c r="E63" i="44"/>
  <c r="I63" i="44" s="1"/>
  <c r="D63" i="44"/>
  <c r="C63" i="44"/>
  <c r="B63" i="44"/>
  <c r="E62" i="44"/>
  <c r="I62" i="44" s="1"/>
  <c r="D62" i="44"/>
  <c r="C62" i="44"/>
  <c r="B62" i="44"/>
  <c r="B61" i="44"/>
  <c r="E60" i="44"/>
  <c r="I60" i="44" s="1"/>
  <c r="D60" i="44"/>
  <c r="C60" i="44"/>
  <c r="B60" i="44"/>
  <c r="E59" i="44"/>
  <c r="I59" i="44" s="1"/>
  <c r="D59" i="44"/>
  <c r="C59" i="44"/>
  <c r="B59" i="44"/>
  <c r="E58" i="44"/>
  <c r="I58" i="44" s="1"/>
  <c r="D58" i="44"/>
  <c r="C58" i="44"/>
  <c r="B58" i="44"/>
  <c r="E57" i="44"/>
  <c r="I57" i="44" s="1"/>
  <c r="D57" i="44"/>
  <c r="C57" i="44"/>
  <c r="B57" i="44"/>
  <c r="E56" i="44"/>
  <c r="I56" i="44" s="1"/>
  <c r="D56" i="44"/>
  <c r="C56" i="44"/>
  <c r="B56" i="44"/>
  <c r="E55" i="44"/>
  <c r="I55" i="44" s="1"/>
  <c r="D55" i="44"/>
  <c r="C55" i="44"/>
  <c r="B55" i="44"/>
  <c r="E54" i="44"/>
  <c r="I54" i="44" s="1"/>
  <c r="D54" i="44"/>
  <c r="C54" i="44"/>
  <c r="B54" i="44"/>
  <c r="E53" i="44"/>
  <c r="I53" i="44" s="1"/>
  <c r="D53" i="44"/>
  <c r="C53" i="44"/>
  <c r="B53" i="44"/>
  <c r="E52" i="44"/>
  <c r="I52" i="44" s="1"/>
  <c r="D52" i="44"/>
  <c r="C52" i="44"/>
  <c r="B52" i="44"/>
  <c r="B51" i="44"/>
  <c r="E50" i="44"/>
  <c r="I50" i="44" s="1"/>
  <c r="D50" i="44"/>
  <c r="C50" i="44"/>
  <c r="B50" i="44"/>
  <c r="I49" i="44"/>
  <c r="D49" i="44"/>
  <c r="C49" i="44"/>
  <c r="B49" i="44"/>
  <c r="I48" i="44"/>
  <c r="D48" i="44"/>
  <c r="C48" i="44"/>
  <c r="B48" i="44"/>
  <c r="E47" i="44"/>
  <c r="I47" i="44" s="1"/>
  <c r="D47" i="44"/>
  <c r="C47" i="44"/>
  <c r="B47" i="44"/>
  <c r="E46" i="44"/>
  <c r="I46" i="44" s="1"/>
  <c r="D46" i="44"/>
  <c r="C46" i="44"/>
  <c r="B46" i="44"/>
  <c r="E45" i="44"/>
  <c r="I45" i="44" s="1"/>
  <c r="D45" i="44"/>
  <c r="C45" i="44"/>
  <c r="B45" i="44"/>
  <c r="E44" i="44"/>
  <c r="I44" i="44" s="1"/>
  <c r="D44" i="44"/>
  <c r="C44" i="44"/>
  <c r="B44" i="44"/>
  <c r="E43" i="44"/>
  <c r="I43" i="44" s="1"/>
  <c r="D43" i="44"/>
  <c r="C43" i="44"/>
  <c r="B43" i="44"/>
  <c r="E42" i="44"/>
  <c r="I42" i="44" s="1"/>
  <c r="D42" i="44"/>
  <c r="C42" i="44"/>
  <c r="B42" i="44"/>
  <c r="B41" i="44"/>
  <c r="E40" i="44"/>
  <c r="I40" i="44" s="1"/>
  <c r="D40" i="44"/>
  <c r="C40" i="44"/>
  <c r="B40" i="44"/>
  <c r="E39" i="44"/>
  <c r="I39" i="44" s="1"/>
  <c r="D39" i="44"/>
  <c r="C39" i="44"/>
  <c r="B39" i="44"/>
  <c r="E38" i="44"/>
  <c r="I38" i="44" s="1"/>
  <c r="D38" i="44"/>
  <c r="C38" i="44"/>
  <c r="B38" i="44"/>
  <c r="E37" i="44"/>
  <c r="I37" i="44" s="1"/>
  <c r="D37" i="44"/>
  <c r="C37" i="44"/>
  <c r="B37" i="44"/>
  <c r="B36" i="44"/>
  <c r="E35" i="44"/>
  <c r="I35" i="44" s="1"/>
  <c r="D35" i="44"/>
  <c r="C35" i="44"/>
  <c r="B35" i="44"/>
  <c r="E34" i="44"/>
  <c r="I34" i="44" s="1"/>
  <c r="D34" i="44"/>
  <c r="C34" i="44"/>
  <c r="B34" i="44"/>
  <c r="E33" i="44"/>
  <c r="I33" i="44" s="1"/>
  <c r="D33" i="44"/>
  <c r="C33" i="44"/>
  <c r="B33" i="44"/>
  <c r="E32" i="44"/>
  <c r="I32" i="44" s="1"/>
  <c r="D32" i="44"/>
  <c r="C32" i="44"/>
  <c r="B32" i="44"/>
  <c r="E31" i="44"/>
  <c r="I31" i="44" s="1"/>
  <c r="D31" i="44"/>
  <c r="C31" i="44"/>
  <c r="B31" i="44"/>
  <c r="E30" i="44"/>
  <c r="I30" i="44" s="1"/>
  <c r="D30" i="44"/>
  <c r="C30" i="44"/>
  <c r="B30" i="44"/>
  <c r="E29" i="44"/>
  <c r="I29" i="44" s="1"/>
  <c r="D29" i="44"/>
  <c r="C29" i="44"/>
  <c r="B29" i="44"/>
  <c r="E28" i="44"/>
  <c r="I28" i="44" s="1"/>
  <c r="D28" i="44"/>
  <c r="C28" i="44"/>
  <c r="B28" i="44"/>
  <c r="E27" i="44"/>
  <c r="I27" i="44" s="1"/>
  <c r="D27" i="44"/>
  <c r="C27" i="44"/>
  <c r="B27" i="44"/>
  <c r="I25" i="44"/>
  <c r="D25" i="44"/>
  <c r="C25" i="44"/>
  <c r="B25" i="44"/>
  <c r="E24" i="44"/>
  <c r="I24" i="44" s="1"/>
  <c r="D24" i="44"/>
  <c r="C24" i="44"/>
  <c r="B24" i="44"/>
  <c r="E23" i="44"/>
  <c r="I23" i="44" s="1"/>
  <c r="D23" i="44"/>
  <c r="C23" i="44"/>
  <c r="B23" i="44"/>
  <c r="E22" i="44"/>
  <c r="I22" i="44" s="1"/>
  <c r="D22" i="44"/>
  <c r="C22" i="44"/>
  <c r="B22" i="44"/>
  <c r="B21" i="44"/>
  <c r="E20" i="44"/>
  <c r="I20" i="44" s="1"/>
  <c r="D20" i="44"/>
  <c r="C20" i="44"/>
  <c r="B20" i="44"/>
  <c r="E19" i="44"/>
  <c r="I19" i="44" s="1"/>
  <c r="D19" i="44"/>
  <c r="C19" i="44"/>
  <c r="B19" i="44"/>
  <c r="E18" i="44"/>
  <c r="I18" i="44" s="1"/>
  <c r="D18" i="44"/>
  <c r="C18" i="44"/>
  <c r="B18" i="44"/>
  <c r="E17" i="44"/>
  <c r="I17" i="44" s="1"/>
  <c r="D17" i="44"/>
  <c r="C17" i="44"/>
  <c r="B17" i="44"/>
  <c r="E16" i="44"/>
  <c r="I16" i="44" s="1"/>
  <c r="D16" i="44"/>
  <c r="C16" i="44"/>
  <c r="B16" i="44"/>
  <c r="E15" i="44"/>
  <c r="I15" i="44" s="1"/>
  <c r="D15" i="44"/>
  <c r="C15" i="44"/>
  <c r="B15" i="44"/>
  <c r="E14" i="44"/>
  <c r="I14" i="44" s="1"/>
  <c r="D14" i="44"/>
  <c r="C14" i="44"/>
  <c r="B14" i="44"/>
  <c r="B13" i="44"/>
  <c r="I12" i="44"/>
  <c r="C12" i="44"/>
  <c r="M4" i="44"/>
  <c r="J20" i="44" s="1"/>
  <c r="M3" i="44"/>
  <c r="J35" i="44" s="1"/>
  <c r="E137" i="43"/>
  <c r="I137" i="43" s="1"/>
  <c r="D137" i="43"/>
  <c r="C137" i="43"/>
  <c r="B137" i="43"/>
  <c r="E136" i="43"/>
  <c r="I136" i="43" s="1"/>
  <c r="D136" i="43"/>
  <c r="C136" i="43"/>
  <c r="B136" i="43"/>
  <c r="E135" i="43"/>
  <c r="I135" i="43" s="1"/>
  <c r="D135" i="43"/>
  <c r="C135" i="43"/>
  <c r="B135" i="43"/>
  <c r="E134" i="43"/>
  <c r="I134" i="43" s="1"/>
  <c r="D134" i="43"/>
  <c r="C134" i="43"/>
  <c r="B134" i="43"/>
  <c r="E133" i="43"/>
  <c r="I133" i="43" s="1"/>
  <c r="D133" i="43"/>
  <c r="C133" i="43"/>
  <c r="B133" i="43"/>
  <c r="E132" i="43"/>
  <c r="I132" i="43" s="1"/>
  <c r="D132" i="43"/>
  <c r="C132" i="43"/>
  <c r="B132" i="43"/>
  <c r="E131" i="43"/>
  <c r="I131" i="43" s="1"/>
  <c r="D131" i="43"/>
  <c r="C131" i="43"/>
  <c r="B131" i="43"/>
  <c r="E130" i="43"/>
  <c r="I130" i="43" s="1"/>
  <c r="D130" i="43"/>
  <c r="C130" i="43"/>
  <c r="B130" i="43"/>
  <c r="E129" i="43"/>
  <c r="I129" i="43" s="1"/>
  <c r="D129" i="43"/>
  <c r="C129" i="43"/>
  <c r="B129" i="43"/>
  <c r="E128" i="43"/>
  <c r="I128" i="43" s="1"/>
  <c r="D128" i="43"/>
  <c r="C128" i="43"/>
  <c r="B128" i="43"/>
  <c r="B127" i="43"/>
  <c r="E126" i="43"/>
  <c r="I126" i="43" s="1"/>
  <c r="D126" i="43"/>
  <c r="C126" i="43"/>
  <c r="B126" i="43"/>
  <c r="E125" i="43"/>
  <c r="I125" i="43" s="1"/>
  <c r="D125" i="43"/>
  <c r="C125" i="43"/>
  <c r="B125" i="43"/>
  <c r="E124" i="43"/>
  <c r="I124" i="43" s="1"/>
  <c r="D124" i="43"/>
  <c r="C124" i="43"/>
  <c r="B124" i="43"/>
  <c r="E123" i="43"/>
  <c r="I123" i="43" s="1"/>
  <c r="D123" i="43"/>
  <c r="C123" i="43"/>
  <c r="B123" i="43"/>
  <c r="E122" i="43"/>
  <c r="I122" i="43" s="1"/>
  <c r="D122" i="43"/>
  <c r="C122" i="43"/>
  <c r="B122" i="43"/>
  <c r="E121" i="43"/>
  <c r="I121" i="43" s="1"/>
  <c r="D121" i="43"/>
  <c r="C121" i="43"/>
  <c r="B121" i="43"/>
  <c r="E120" i="43"/>
  <c r="I120" i="43" s="1"/>
  <c r="D120" i="43"/>
  <c r="C120" i="43"/>
  <c r="B120" i="43"/>
  <c r="E119" i="43"/>
  <c r="I119" i="43" s="1"/>
  <c r="D119" i="43"/>
  <c r="C119" i="43"/>
  <c r="B119" i="43"/>
  <c r="E118" i="43"/>
  <c r="I118" i="43" s="1"/>
  <c r="D118" i="43"/>
  <c r="C118" i="43"/>
  <c r="B118" i="43"/>
  <c r="E117" i="43"/>
  <c r="I117" i="43" s="1"/>
  <c r="D117" i="43"/>
  <c r="C117" i="43"/>
  <c r="B117" i="43"/>
  <c r="E116" i="43"/>
  <c r="I116" i="43" s="1"/>
  <c r="D116" i="43"/>
  <c r="C116" i="43"/>
  <c r="B116" i="43"/>
  <c r="E115" i="43"/>
  <c r="I115" i="43" s="1"/>
  <c r="D115" i="43"/>
  <c r="C115" i="43"/>
  <c r="B115" i="43"/>
  <c r="E114" i="43"/>
  <c r="I114" i="43" s="1"/>
  <c r="D114" i="43"/>
  <c r="C114" i="43"/>
  <c r="B114" i="43"/>
  <c r="E113" i="43"/>
  <c r="I113" i="43" s="1"/>
  <c r="D113" i="43"/>
  <c r="C113" i="43"/>
  <c r="B113" i="43"/>
  <c r="E112" i="43"/>
  <c r="I112" i="43" s="1"/>
  <c r="D112" i="43"/>
  <c r="C112" i="43"/>
  <c r="B112" i="43"/>
  <c r="E111" i="43"/>
  <c r="I111" i="43" s="1"/>
  <c r="D111" i="43"/>
  <c r="C111" i="43"/>
  <c r="B111" i="43"/>
  <c r="E110" i="43"/>
  <c r="I110" i="43" s="1"/>
  <c r="D110" i="43"/>
  <c r="C110" i="43"/>
  <c r="B110" i="43"/>
  <c r="E109" i="43"/>
  <c r="I109" i="43" s="1"/>
  <c r="D109" i="43"/>
  <c r="C109" i="43"/>
  <c r="B109" i="43"/>
  <c r="E108" i="43"/>
  <c r="I108" i="43" s="1"/>
  <c r="D108" i="43"/>
  <c r="C108" i="43"/>
  <c r="B108" i="43"/>
  <c r="E107" i="43"/>
  <c r="I107" i="43" s="1"/>
  <c r="D107" i="43"/>
  <c r="C107" i="43"/>
  <c r="B107" i="43"/>
  <c r="E106" i="43"/>
  <c r="I106" i="43" s="1"/>
  <c r="D106" i="43"/>
  <c r="C106" i="43"/>
  <c r="B106" i="43"/>
  <c r="D105" i="43"/>
  <c r="C105" i="43"/>
  <c r="B105" i="43"/>
  <c r="D104" i="43"/>
  <c r="C104" i="43"/>
  <c r="B104" i="43"/>
  <c r="D103" i="43"/>
  <c r="C103" i="43"/>
  <c r="B103" i="43"/>
  <c r="D102" i="43"/>
  <c r="C102" i="43"/>
  <c r="B102" i="43"/>
  <c r="D101" i="43"/>
  <c r="C101" i="43"/>
  <c r="B101" i="43"/>
  <c r="D100" i="43"/>
  <c r="C100" i="43"/>
  <c r="B100" i="43"/>
  <c r="D99" i="43"/>
  <c r="C99" i="43"/>
  <c r="B99" i="43"/>
  <c r="D98" i="43"/>
  <c r="C98" i="43"/>
  <c r="B98" i="43"/>
  <c r="D97" i="43"/>
  <c r="C97" i="43"/>
  <c r="B97" i="43"/>
  <c r="D96" i="43"/>
  <c r="C96" i="43"/>
  <c r="B96" i="43"/>
  <c r="D95" i="43"/>
  <c r="C95" i="43"/>
  <c r="B95" i="43"/>
  <c r="D94" i="43"/>
  <c r="C94" i="43"/>
  <c r="B94" i="43"/>
  <c r="E93" i="43"/>
  <c r="I93" i="43" s="1"/>
  <c r="D93" i="43"/>
  <c r="C93" i="43"/>
  <c r="B93" i="43"/>
  <c r="E92" i="43"/>
  <c r="I92" i="43" s="1"/>
  <c r="D92" i="43"/>
  <c r="C92" i="43"/>
  <c r="B92" i="43"/>
  <c r="E91" i="43"/>
  <c r="I91" i="43" s="1"/>
  <c r="D91" i="43"/>
  <c r="C91" i="43"/>
  <c r="B91" i="43"/>
  <c r="E90" i="43"/>
  <c r="I90" i="43" s="1"/>
  <c r="D90" i="43"/>
  <c r="C90" i="43"/>
  <c r="B90" i="43"/>
  <c r="E89" i="43"/>
  <c r="I89" i="43" s="1"/>
  <c r="D89" i="43"/>
  <c r="C89" i="43"/>
  <c r="B89" i="43"/>
  <c r="B88" i="43"/>
  <c r="E87" i="43"/>
  <c r="I87" i="43" s="1"/>
  <c r="D87" i="43"/>
  <c r="C87" i="43"/>
  <c r="B87" i="43"/>
  <c r="E86" i="43"/>
  <c r="I86" i="43" s="1"/>
  <c r="D86" i="43"/>
  <c r="C86" i="43"/>
  <c r="B86" i="43"/>
  <c r="E85" i="43"/>
  <c r="I85" i="43" s="1"/>
  <c r="D85" i="43"/>
  <c r="C85" i="43"/>
  <c r="B85" i="43"/>
  <c r="E84" i="43"/>
  <c r="I84" i="43" s="1"/>
  <c r="D84" i="43"/>
  <c r="C84" i="43"/>
  <c r="B84" i="43"/>
  <c r="E83" i="43"/>
  <c r="I83" i="43" s="1"/>
  <c r="D83" i="43"/>
  <c r="C83" i="43"/>
  <c r="B83" i="43"/>
  <c r="E82" i="43"/>
  <c r="I82" i="43" s="1"/>
  <c r="D82" i="43"/>
  <c r="C82" i="43"/>
  <c r="B82" i="43"/>
  <c r="E81" i="43"/>
  <c r="I81" i="43" s="1"/>
  <c r="D81" i="43"/>
  <c r="C81" i="43"/>
  <c r="B81" i="43"/>
  <c r="E80" i="43"/>
  <c r="I80" i="43" s="1"/>
  <c r="D80" i="43"/>
  <c r="C80" i="43"/>
  <c r="B80" i="43"/>
  <c r="E79" i="43"/>
  <c r="I79" i="43" s="1"/>
  <c r="D79" i="43"/>
  <c r="C79" i="43"/>
  <c r="B79" i="43"/>
  <c r="E78" i="43"/>
  <c r="I78" i="43" s="1"/>
  <c r="D78" i="43"/>
  <c r="C78" i="43"/>
  <c r="B78" i="43"/>
  <c r="D77" i="43"/>
  <c r="C77" i="43"/>
  <c r="B77" i="43"/>
  <c r="D76" i="43"/>
  <c r="C76" i="43"/>
  <c r="B76" i="43"/>
  <c r="D75" i="43"/>
  <c r="C75" i="43"/>
  <c r="B75" i="43"/>
  <c r="D74" i="43"/>
  <c r="C74" i="43"/>
  <c r="B74" i="43"/>
  <c r="D73" i="43"/>
  <c r="C73" i="43"/>
  <c r="B73" i="43"/>
  <c r="D72" i="43"/>
  <c r="C72" i="43"/>
  <c r="B72" i="43"/>
  <c r="D71" i="43"/>
  <c r="C71" i="43"/>
  <c r="B71" i="43"/>
  <c r="D70" i="43"/>
  <c r="C70" i="43"/>
  <c r="B70" i="43"/>
  <c r="D69" i="43"/>
  <c r="C69" i="43"/>
  <c r="B69" i="43"/>
  <c r="D68" i="43"/>
  <c r="C68" i="43"/>
  <c r="B68" i="43"/>
  <c r="B67" i="43"/>
  <c r="E66" i="43"/>
  <c r="I66" i="43" s="1"/>
  <c r="D66" i="43"/>
  <c r="C66" i="43"/>
  <c r="B66" i="43"/>
  <c r="E65" i="43"/>
  <c r="I65" i="43" s="1"/>
  <c r="D65" i="43"/>
  <c r="C65" i="43"/>
  <c r="B65" i="43"/>
  <c r="E64" i="43"/>
  <c r="I64" i="43" s="1"/>
  <c r="D64" i="43"/>
  <c r="C64" i="43"/>
  <c r="B64" i="43"/>
  <c r="E63" i="43"/>
  <c r="I63" i="43" s="1"/>
  <c r="D63" i="43"/>
  <c r="C63" i="43"/>
  <c r="B63" i="43"/>
  <c r="E62" i="43"/>
  <c r="I62" i="43" s="1"/>
  <c r="D62" i="43"/>
  <c r="C62" i="43"/>
  <c r="B62" i="43"/>
  <c r="B61" i="43"/>
  <c r="E60" i="43"/>
  <c r="I60" i="43" s="1"/>
  <c r="D60" i="43"/>
  <c r="C60" i="43"/>
  <c r="B60" i="43"/>
  <c r="E59" i="43"/>
  <c r="I59" i="43" s="1"/>
  <c r="D59" i="43"/>
  <c r="C59" i="43"/>
  <c r="B59" i="43"/>
  <c r="E58" i="43"/>
  <c r="I58" i="43" s="1"/>
  <c r="D58" i="43"/>
  <c r="C58" i="43"/>
  <c r="B58" i="43"/>
  <c r="E57" i="43"/>
  <c r="I57" i="43" s="1"/>
  <c r="D57" i="43"/>
  <c r="C57" i="43"/>
  <c r="B57" i="43"/>
  <c r="E56" i="43"/>
  <c r="I56" i="43" s="1"/>
  <c r="D56" i="43"/>
  <c r="C56" i="43"/>
  <c r="B56" i="43"/>
  <c r="E55" i="43"/>
  <c r="I55" i="43" s="1"/>
  <c r="D55" i="43"/>
  <c r="C55" i="43"/>
  <c r="B55" i="43"/>
  <c r="E54" i="43"/>
  <c r="I54" i="43" s="1"/>
  <c r="D54" i="43"/>
  <c r="C54" i="43"/>
  <c r="B54" i="43"/>
  <c r="E53" i="43"/>
  <c r="I53" i="43" s="1"/>
  <c r="D53" i="43"/>
  <c r="C53" i="43"/>
  <c r="B53" i="43"/>
  <c r="E52" i="43"/>
  <c r="I52" i="43" s="1"/>
  <c r="D52" i="43"/>
  <c r="C52" i="43"/>
  <c r="B52" i="43"/>
  <c r="B51" i="43"/>
  <c r="E50" i="43"/>
  <c r="I50" i="43" s="1"/>
  <c r="D50" i="43"/>
  <c r="C50" i="43"/>
  <c r="B50" i="43"/>
  <c r="I49" i="43"/>
  <c r="D49" i="43"/>
  <c r="C49" i="43"/>
  <c r="B49" i="43"/>
  <c r="I48" i="43"/>
  <c r="D48" i="43"/>
  <c r="C48" i="43"/>
  <c r="B48" i="43"/>
  <c r="E47" i="43"/>
  <c r="I47" i="43" s="1"/>
  <c r="D47" i="43"/>
  <c r="C47" i="43"/>
  <c r="B47" i="43"/>
  <c r="E46" i="43"/>
  <c r="I46" i="43" s="1"/>
  <c r="D46" i="43"/>
  <c r="C46" i="43"/>
  <c r="B46" i="43"/>
  <c r="E45" i="43"/>
  <c r="I45" i="43" s="1"/>
  <c r="D45" i="43"/>
  <c r="C45" i="43"/>
  <c r="B45" i="43"/>
  <c r="E44" i="43"/>
  <c r="I44" i="43" s="1"/>
  <c r="D44" i="43"/>
  <c r="C44" i="43"/>
  <c r="B44" i="43"/>
  <c r="E43" i="43"/>
  <c r="I43" i="43" s="1"/>
  <c r="D43" i="43"/>
  <c r="C43" i="43"/>
  <c r="B43" i="43"/>
  <c r="E42" i="43"/>
  <c r="I42" i="43" s="1"/>
  <c r="D42" i="43"/>
  <c r="C42" i="43"/>
  <c r="B42" i="43"/>
  <c r="B41" i="43"/>
  <c r="E40" i="43"/>
  <c r="I40" i="43" s="1"/>
  <c r="D40" i="43"/>
  <c r="C40" i="43"/>
  <c r="B40" i="43"/>
  <c r="E39" i="43"/>
  <c r="I39" i="43" s="1"/>
  <c r="D39" i="43"/>
  <c r="C39" i="43"/>
  <c r="B39" i="43"/>
  <c r="E38" i="43"/>
  <c r="I38" i="43" s="1"/>
  <c r="D38" i="43"/>
  <c r="C38" i="43"/>
  <c r="B38" i="43"/>
  <c r="E37" i="43"/>
  <c r="I37" i="43" s="1"/>
  <c r="D37" i="43"/>
  <c r="C37" i="43"/>
  <c r="B37" i="43"/>
  <c r="B36" i="43"/>
  <c r="E35" i="43"/>
  <c r="I35" i="43" s="1"/>
  <c r="D35" i="43"/>
  <c r="C35" i="43"/>
  <c r="B35" i="43"/>
  <c r="E34" i="43"/>
  <c r="I34" i="43" s="1"/>
  <c r="D34" i="43"/>
  <c r="C34" i="43"/>
  <c r="B34" i="43"/>
  <c r="E33" i="43"/>
  <c r="I33" i="43" s="1"/>
  <c r="D33" i="43"/>
  <c r="C33" i="43"/>
  <c r="B33" i="43"/>
  <c r="E32" i="43"/>
  <c r="I32" i="43" s="1"/>
  <c r="D32" i="43"/>
  <c r="C32" i="43"/>
  <c r="B32" i="43"/>
  <c r="E31" i="43"/>
  <c r="I31" i="43" s="1"/>
  <c r="D31" i="43"/>
  <c r="C31" i="43"/>
  <c r="B31" i="43"/>
  <c r="E30" i="43"/>
  <c r="I30" i="43" s="1"/>
  <c r="D30" i="43"/>
  <c r="C30" i="43"/>
  <c r="B30" i="43"/>
  <c r="E29" i="43"/>
  <c r="I29" i="43" s="1"/>
  <c r="D29" i="43"/>
  <c r="C29" i="43"/>
  <c r="B29" i="43"/>
  <c r="E28" i="43"/>
  <c r="I28" i="43" s="1"/>
  <c r="D28" i="43"/>
  <c r="C28" i="43"/>
  <c r="B28" i="43"/>
  <c r="E27" i="43"/>
  <c r="I27" i="43" s="1"/>
  <c r="D27" i="43"/>
  <c r="C27" i="43"/>
  <c r="B27" i="43"/>
  <c r="E25" i="43"/>
  <c r="I25" i="43" s="1"/>
  <c r="D25" i="43"/>
  <c r="C25" i="43"/>
  <c r="B25" i="43"/>
  <c r="E24" i="43"/>
  <c r="I24" i="43" s="1"/>
  <c r="D24" i="43"/>
  <c r="C24" i="43"/>
  <c r="B24" i="43"/>
  <c r="E23" i="43"/>
  <c r="I23" i="43" s="1"/>
  <c r="D23" i="43"/>
  <c r="C23" i="43"/>
  <c r="B23" i="43"/>
  <c r="E22" i="43"/>
  <c r="I22" i="43" s="1"/>
  <c r="D22" i="43"/>
  <c r="C22" i="43"/>
  <c r="B22" i="43"/>
  <c r="B21" i="43"/>
  <c r="E20" i="43"/>
  <c r="I20" i="43" s="1"/>
  <c r="D20" i="43"/>
  <c r="C20" i="43"/>
  <c r="B20" i="43"/>
  <c r="E19" i="43"/>
  <c r="I19" i="43" s="1"/>
  <c r="D19" i="43"/>
  <c r="C19" i="43"/>
  <c r="B19" i="43"/>
  <c r="E18" i="43"/>
  <c r="I18" i="43" s="1"/>
  <c r="D18" i="43"/>
  <c r="C18" i="43"/>
  <c r="B18" i="43"/>
  <c r="E17" i="43"/>
  <c r="I17" i="43" s="1"/>
  <c r="D17" i="43"/>
  <c r="C17" i="43"/>
  <c r="B17" i="43"/>
  <c r="E16" i="43"/>
  <c r="I16" i="43" s="1"/>
  <c r="D16" i="43"/>
  <c r="C16" i="43"/>
  <c r="B16" i="43"/>
  <c r="E15" i="43"/>
  <c r="I15" i="43" s="1"/>
  <c r="D15" i="43"/>
  <c r="C15" i="43"/>
  <c r="B15" i="43"/>
  <c r="E14" i="43"/>
  <c r="I14" i="43" s="1"/>
  <c r="D14" i="43"/>
  <c r="C14" i="43"/>
  <c r="B14" i="43"/>
  <c r="B13" i="43"/>
  <c r="I12" i="43"/>
  <c r="C12" i="43"/>
  <c r="M4" i="43"/>
  <c r="J80" i="43" s="1"/>
  <c r="M3" i="43"/>
  <c r="J29" i="43" s="1"/>
  <c r="E137" i="42"/>
  <c r="I137" i="42" s="1"/>
  <c r="D137" i="42"/>
  <c r="C137" i="42"/>
  <c r="B137" i="42"/>
  <c r="O136" i="42"/>
  <c r="E136" i="42"/>
  <c r="I136" i="42" s="1"/>
  <c r="D136" i="42"/>
  <c r="C136" i="42"/>
  <c r="B136" i="42"/>
  <c r="E135" i="42"/>
  <c r="I135" i="42" s="1"/>
  <c r="D135" i="42"/>
  <c r="C135" i="42"/>
  <c r="B135" i="42"/>
  <c r="E134" i="42"/>
  <c r="I134" i="42" s="1"/>
  <c r="D134" i="42"/>
  <c r="C134" i="42"/>
  <c r="B134" i="42"/>
  <c r="E133" i="42"/>
  <c r="I133" i="42" s="1"/>
  <c r="D133" i="42"/>
  <c r="C133" i="42"/>
  <c r="B133" i="42"/>
  <c r="E132" i="42"/>
  <c r="I132" i="42" s="1"/>
  <c r="D132" i="42"/>
  <c r="C132" i="42"/>
  <c r="B132" i="42"/>
  <c r="E131" i="42"/>
  <c r="I131" i="42" s="1"/>
  <c r="D131" i="42"/>
  <c r="C131" i="42"/>
  <c r="B131" i="42"/>
  <c r="E130" i="42"/>
  <c r="I130" i="42" s="1"/>
  <c r="D130" i="42"/>
  <c r="C130" i="42"/>
  <c r="B130" i="42"/>
  <c r="E129" i="42"/>
  <c r="I129" i="42" s="1"/>
  <c r="D129" i="42"/>
  <c r="C129" i="42"/>
  <c r="B129" i="42"/>
  <c r="E128" i="42"/>
  <c r="I128" i="42" s="1"/>
  <c r="D128" i="42"/>
  <c r="C128" i="42"/>
  <c r="B128" i="42"/>
  <c r="B127" i="42"/>
  <c r="E126" i="42"/>
  <c r="I126" i="42" s="1"/>
  <c r="D126" i="42"/>
  <c r="C126" i="42"/>
  <c r="B126" i="42"/>
  <c r="E125" i="42"/>
  <c r="I125" i="42" s="1"/>
  <c r="D125" i="42"/>
  <c r="C125" i="42"/>
  <c r="B125" i="42"/>
  <c r="E124" i="42"/>
  <c r="I124" i="42" s="1"/>
  <c r="D124" i="42"/>
  <c r="C124" i="42"/>
  <c r="B124" i="42"/>
  <c r="E123" i="42"/>
  <c r="I123" i="42" s="1"/>
  <c r="D123" i="42"/>
  <c r="C123" i="42"/>
  <c r="B123" i="42"/>
  <c r="E122" i="42"/>
  <c r="I122" i="42" s="1"/>
  <c r="D122" i="42"/>
  <c r="C122" i="42"/>
  <c r="B122" i="42"/>
  <c r="O121" i="42"/>
  <c r="E121" i="42"/>
  <c r="I121" i="42" s="1"/>
  <c r="D121" i="42"/>
  <c r="C121" i="42"/>
  <c r="B121" i="42"/>
  <c r="E120" i="42"/>
  <c r="I120" i="42" s="1"/>
  <c r="D120" i="42"/>
  <c r="C120" i="42"/>
  <c r="B120" i="42"/>
  <c r="E119" i="42"/>
  <c r="I119" i="42" s="1"/>
  <c r="D119" i="42"/>
  <c r="C119" i="42"/>
  <c r="B119" i="42"/>
  <c r="E118" i="42"/>
  <c r="I118" i="42" s="1"/>
  <c r="D118" i="42"/>
  <c r="C118" i="42"/>
  <c r="B118" i="42"/>
  <c r="O117" i="42"/>
  <c r="E117" i="42"/>
  <c r="I117" i="42" s="1"/>
  <c r="D117" i="42"/>
  <c r="C117" i="42"/>
  <c r="B117" i="42"/>
  <c r="E116" i="42"/>
  <c r="I116" i="42" s="1"/>
  <c r="D116" i="42"/>
  <c r="C116" i="42"/>
  <c r="B116" i="42"/>
  <c r="E115" i="42"/>
  <c r="I115" i="42" s="1"/>
  <c r="D115" i="42"/>
  <c r="C115" i="42"/>
  <c r="B115" i="42"/>
  <c r="E114" i="42"/>
  <c r="I114" i="42" s="1"/>
  <c r="D114" i="42"/>
  <c r="C114" i="42"/>
  <c r="B114" i="42"/>
  <c r="E113" i="42"/>
  <c r="I113" i="42" s="1"/>
  <c r="D113" i="42"/>
  <c r="C113" i="42"/>
  <c r="B113" i="42"/>
  <c r="E112" i="42"/>
  <c r="I112" i="42" s="1"/>
  <c r="D112" i="42"/>
  <c r="C112" i="42"/>
  <c r="B112" i="42"/>
  <c r="E111" i="42"/>
  <c r="I111" i="42" s="1"/>
  <c r="D111" i="42"/>
  <c r="C111" i="42"/>
  <c r="B111" i="42"/>
  <c r="E110" i="42"/>
  <c r="I110" i="42" s="1"/>
  <c r="D110" i="42"/>
  <c r="C110" i="42"/>
  <c r="B110" i="42"/>
  <c r="E109" i="42"/>
  <c r="I109" i="42" s="1"/>
  <c r="D109" i="42"/>
  <c r="C109" i="42"/>
  <c r="B109" i="42"/>
  <c r="E108" i="42"/>
  <c r="I108" i="42" s="1"/>
  <c r="D108" i="42"/>
  <c r="C108" i="42"/>
  <c r="B108" i="42"/>
  <c r="E107" i="42"/>
  <c r="I107" i="42" s="1"/>
  <c r="D107" i="42"/>
  <c r="C107" i="42"/>
  <c r="B107" i="42"/>
  <c r="E106" i="42"/>
  <c r="I106" i="42" s="1"/>
  <c r="D106" i="42"/>
  <c r="C106" i="42"/>
  <c r="B106" i="42"/>
  <c r="D105" i="42"/>
  <c r="C105" i="42"/>
  <c r="B105" i="42"/>
  <c r="D104" i="42"/>
  <c r="C104" i="42"/>
  <c r="B104" i="42"/>
  <c r="D103" i="42"/>
  <c r="C103" i="42"/>
  <c r="B103" i="42"/>
  <c r="D102" i="42"/>
  <c r="C102" i="42"/>
  <c r="B102" i="42"/>
  <c r="D101" i="42"/>
  <c r="C101" i="42"/>
  <c r="B101" i="42"/>
  <c r="D100" i="42"/>
  <c r="C100" i="42"/>
  <c r="B100" i="42"/>
  <c r="D99" i="42"/>
  <c r="C99" i="42"/>
  <c r="B99" i="42"/>
  <c r="O98" i="42"/>
  <c r="D98" i="42"/>
  <c r="C98" i="42"/>
  <c r="B98" i="42"/>
  <c r="D97" i="42"/>
  <c r="C97" i="42"/>
  <c r="B97" i="42"/>
  <c r="D96" i="42"/>
  <c r="C96" i="42"/>
  <c r="B96" i="42"/>
  <c r="D95" i="42"/>
  <c r="C95" i="42"/>
  <c r="B95" i="42"/>
  <c r="D94" i="42"/>
  <c r="C94" i="42"/>
  <c r="B94" i="42"/>
  <c r="E93" i="42"/>
  <c r="I93" i="42" s="1"/>
  <c r="D93" i="42"/>
  <c r="C93" i="42"/>
  <c r="B93" i="42"/>
  <c r="E92" i="42"/>
  <c r="I92" i="42" s="1"/>
  <c r="D92" i="42"/>
  <c r="C92" i="42"/>
  <c r="B92" i="42"/>
  <c r="E91" i="42"/>
  <c r="I91" i="42" s="1"/>
  <c r="D91" i="42"/>
  <c r="C91" i="42"/>
  <c r="B91" i="42"/>
  <c r="E90" i="42"/>
  <c r="I90" i="42" s="1"/>
  <c r="D90" i="42"/>
  <c r="C90" i="42"/>
  <c r="B90" i="42"/>
  <c r="E89" i="42"/>
  <c r="I89" i="42" s="1"/>
  <c r="D89" i="42"/>
  <c r="C89" i="42"/>
  <c r="B89" i="42"/>
  <c r="B88" i="42"/>
  <c r="O87" i="42"/>
  <c r="E87" i="42"/>
  <c r="I87" i="42" s="1"/>
  <c r="D87" i="42"/>
  <c r="C87" i="42"/>
  <c r="B87" i="42"/>
  <c r="E86" i="42"/>
  <c r="I86" i="42" s="1"/>
  <c r="D86" i="42"/>
  <c r="C86" i="42"/>
  <c r="B86" i="42"/>
  <c r="E85" i="42"/>
  <c r="I85" i="42" s="1"/>
  <c r="D85" i="42"/>
  <c r="C85" i="42"/>
  <c r="B85" i="42"/>
  <c r="E84" i="42"/>
  <c r="I84" i="42" s="1"/>
  <c r="D84" i="42"/>
  <c r="C84" i="42"/>
  <c r="B84" i="42"/>
  <c r="E83" i="42"/>
  <c r="I83" i="42" s="1"/>
  <c r="D83" i="42"/>
  <c r="C83" i="42"/>
  <c r="B83" i="42"/>
  <c r="E82" i="42"/>
  <c r="I82" i="42" s="1"/>
  <c r="D82" i="42"/>
  <c r="C82" i="42"/>
  <c r="B82" i="42"/>
  <c r="O81" i="42"/>
  <c r="E81" i="42"/>
  <c r="I81" i="42" s="1"/>
  <c r="D81" i="42"/>
  <c r="C81" i="42"/>
  <c r="B81" i="42"/>
  <c r="E80" i="42"/>
  <c r="I80" i="42" s="1"/>
  <c r="D80" i="42"/>
  <c r="C80" i="42"/>
  <c r="B80" i="42"/>
  <c r="E79" i="42"/>
  <c r="I79" i="42" s="1"/>
  <c r="D79" i="42"/>
  <c r="C79" i="42"/>
  <c r="B79" i="42"/>
  <c r="E78" i="42"/>
  <c r="I78" i="42" s="1"/>
  <c r="D78" i="42"/>
  <c r="C78" i="42"/>
  <c r="B78" i="42"/>
  <c r="O77" i="42"/>
  <c r="D77" i="42"/>
  <c r="C77" i="42"/>
  <c r="B77" i="42"/>
  <c r="D76" i="42"/>
  <c r="C76" i="42"/>
  <c r="B76" i="42"/>
  <c r="D75" i="42"/>
  <c r="C75" i="42"/>
  <c r="B75" i="42"/>
  <c r="D74" i="42"/>
  <c r="C74" i="42"/>
  <c r="B74" i="42"/>
  <c r="D73" i="42"/>
  <c r="C73" i="42"/>
  <c r="B73" i="42"/>
  <c r="D72" i="42"/>
  <c r="C72" i="42"/>
  <c r="B72" i="42"/>
  <c r="D71" i="42"/>
  <c r="C71" i="42"/>
  <c r="B71" i="42"/>
  <c r="D70" i="42"/>
  <c r="C70" i="42"/>
  <c r="B70" i="42"/>
  <c r="O69" i="42"/>
  <c r="D69" i="42"/>
  <c r="C69" i="42"/>
  <c r="B69" i="42"/>
  <c r="D68" i="42"/>
  <c r="C68" i="42"/>
  <c r="B68" i="42"/>
  <c r="B67" i="42"/>
  <c r="O66" i="42"/>
  <c r="E66" i="42"/>
  <c r="I66" i="42" s="1"/>
  <c r="D66" i="42"/>
  <c r="C66" i="42"/>
  <c r="B66" i="42"/>
  <c r="E65" i="42"/>
  <c r="I65" i="42" s="1"/>
  <c r="D65" i="42"/>
  <c r="C65" i="42"/>
  <c r="B65" i="42"/>
  <c r="E64" i="42"/>
  <c r="I64" i="42" s="1"/>
  <c r="D64" i="42"/>
  <c r="C64" i="42"/>
  <c r="B64" i="42"/>
  <c r="O63" i="42"/>
  <c r="E63" i="42"/>
  <c r="I63" i="42" s="1"/>
  <c r="D63" i="42"/>
  <c r="C63" i="42"/>
  <c r="B63" i="42"/>
  <c r="E62" i="42"/>
  <c r="I62" i="42" s="1"/>
  <c r="D62" i="42"/>
  <c r="C62" i="42"/>
  <c r="B62" i="42"/>
  <c r="B61" i="42"/>
  <c r="E60" i="42"/>
  <c r="I60" i="42" s="1"/>
  <c r="D60" i="42"/>
  <c r="C60" i="42"/>
  <c r="B60" i="42"/>
  <c r="E59" i="42"/>
  <c r="I59" i="42" s="1"/>
  <c r="D59" i="42"/>
  <c r="C59" i="42"/>
  <c r="B59" i="42"/>
  <c r="E58" i="42"/>
  <c r="I58" i="42" s="1"/>
  <c r="D58" i="42"/>
  <c r="C58" i="42"/>
  <c r="B58" i="42"/>
  <c r="E57" i="42"/>
  <c r="I57" i="42" s="1"/>
  <c r="D57" i="42"/>
  <c r="C57" i="42"/>
  <c r="B57" i="42"/>
  <c r="O56" i="42"/>
  <c r="E56" i="42"/>
  <c r="I56" i="42" s="1"/>
  <c r="D56" i="42"/>
  <c r="C56" i="42"/>
  <c r="B56" i="42"/>
  <c r="E55" i="42"/>
  <c r="I55" i="42" s="1"/>
  <c r="D55" i="42"/>
  <c r="C55" i="42"/>
  <c r="B55" i="42"/>
  <c r="E54" i="42"/>
  <c r="I54" i="42" s="1"/>
  <c r="D54" i="42"/>
  <c r="C54" i="42"/>
  <c r="B54" i="42"/>
  <c r="E53" i="42"/>
  <c r="I53" i="42" s="1"/>
  <c r="D53" i="42"/>
  <c r="C53" i="42"/>
  <c r="B53" i="42"/>
  <c r="O52" i="42"/>
  <c r="E52" i="42"/>
  <c r="I52" i="42" s="1"/>
  <c r="D52" i="42"/>
  <c r="C52" i="42"/>
  <c r="B52" i="42"/>
  <c r="B51" i="42"/>
  <c r="E50" i="42"/>
  <c r="I50" i="42" s="1"/>
  <c r="D50" i="42"/>
  <c r="C50" i="42"/>
  <c r="B50" i="42"/>
  <c r="I49" i="42"/>
  <c r="D49" i="42"/>
  <c r="C49" i="42"/>
  <c r="B49" i="42"/>
  <c r="I48" i="42"/>
  <c r="D48" i="42"/>
  <c r="C48" i="42"/>
  <c r="B48" i="42"/>
  <c r="E47" i="42"/>
  <c r="I47" i="42" s="1"/>
  <c r="D47" i="42"/>
  <c r="C47" i="42"/>
  <c r="B47" i="42"/>
  <c r="E46" i="42"/>
  <c r="I46" i="42" s="1"/>
  <c r="D46" i="42"/>
  <c r="C46" i="42"/>
  <c r="B46" i="42"/>
  <c r="O45" i="42"/>
  <c r="E45" i="42"/>
  <c r="I45" i="42" s="1"/>
  <c r="D45" i="42"/>
  <c r="C45" i="42"/>
  <c r="B45" i="42"/>
  <c r="E44" i="42"/>
  <c r="I44" i="42" s="1"/>
  <c r="D44" i="42"/>
  <c r="C44" i="42"/>
  <c r="B44" i="42"/>
  <c r="E43" i="42"/>
  <c r="I43" i="42" s="1"/>
  <c r="D43" i="42"/>
  <c r="C43" i="42"/>
  <c r="B43" i="42"/>
  <c r="E42" i="42"/>
  <c r="I42" i="42" s="1"/>
  <c r="D42" i="42"/>
  <c r="C42" i="42"/>
  <c r="B42" i="42"/>
  <c r="B41" i="42"/>
  <c r="E40" i="42"/>
  <c r="I40" i="42" s="1"/>
  <c r="D40" i="42"/>
  <c r="C40" i="42"/>
  <c r="B40" i="42"/>
  <c r="E39" i="42"/>
  <c r="I39" i="42" s="1"/>
  <c r="D39" i="42"/>
  <c r="C39" i="42"/>
  <c r="B39" i="42"/>
  <c r="O38" i="42"/>
  <c r="E38" i="42"/>
  <c r="I38" i="42" s="1"/>
  <c r="D38" i="42"/>
  <c r="C38" i="42"/>
  <c r="B38" i="42"/>
  <c r="E37" i="42"/>
  <c r="I37" i="42" s="1"/>
  <c r="D37" i="42"/>
  <c r="C37" i="42"/>
  <c r="B37" i="42"/>
  <c r="B36" i="42"/>
  <c r="E35" i="42"/>
  <c r="I35" i="42" s="1"/>
  <c r="D35" i="42"/>
  <c r="C35" i="42"/>
  <c r="B35" i="42"/>
  <c r="O34" i="42"/>
  <c r="E34" i="42"/>
  <c r="I34" i="42" s="1"/>
  <c r="D34" i="42"/>
  <c r="C34" i="42"/>
  <c r="B34" i="42"/>
  <c r="E33" i="42"/>
  <c r="I33" i="42" s="1"/>
  <c r="D33" i="42"/>
  <c r="C33" i="42"/>
  <c r="B33" i="42"/>
  <c r="E32" i="42"/>
  <c r="I32" i="42" s="1"/>
  <c r="D32" i="42"/>
  <c r="C32" i="42"/>
  <c r="B32" i="42"/>
  <c r="E31" i="42"/>
  <c r="I31" i="42" s="1"/>
  <c r="D31" i="42"/>
  <c r="C31" i="42"/>
  <c r="B31" i="42"/>
  <c r="O30" i="42"/>
  <c r="E30" i="42"/>
  <c r="I30" i="42" s="1"/>
  <c r="D30" i="42"/>
  <c r="C30" i="42"/>
  <c r="B30" i="42"/>
  <c r="E29" i="42"/>
  <c r="I29" i="42" s="1"/>
  <c r="D29" i="42"/>
  <c r="C29" i="42"/>
  <c r="B29" i="42"/>
  <c r="E28" i="42"/>
  <c r="I28" i="42" s="1"/>
  <c r="D28" i="42"/>
  <c r="C28" i="42"/>
  <c r="B28" i="42"/>
  <c r="E27" i="42"/>
  <c r="I27" i="42" s="1"/>
  <c r="D27" i="42"/>
  <c r="C27" i="42"/>
  <c r="B27" i="42"/>
  <c r="I25" i="42"/>
  <c r="D25" i="42"/>
  <c r="C25" i="42"/>
  <c r="B25" i="42"/>
  <c r="E24" i="42"/>
  <c r="I24" i="42" s="1"/>
  <c r="D24" i="42"/>
  <c r="C24" i="42"/>
  <c r="B24" i="42"/>
  <c r="E23" i="42"/>
  <c r="I23" i="42" s="1"/>
  <c r="D23" i="42"/>
  <c r="C23" i="42"/>
  <c r="B23" i="42"/>
  <c r="E22" i="42"/>
  <c r="I22" i="42" s="1"/>
  <c r="D22" i="42"/>
  <c r="C22" i="42"/>
  <c r="B22" i="42"/>
  <c r="B21" i="42"/>
  <c r="E20" i="42"/>
  <c r="I20" i="42" s="1"/>
  <c r="D20" i="42"/>
  <c r="C20" i="42"/>
  <c r="B20" i="42"/>
  <c r="E19" i="42"/>
  <c r="I19" i="42" s="1"/>
  <c r="D19" i="42"/>
  <c r="C19" i="42"/>
  <c r="B19" i="42"/>
  <c r="O18" i="42"/>
  <c r="E18" i="42"/>
  <c r="I18" i="42" s="1"/>
  <c r="D18" i="42"/>
  <c r="C18" i="42"/>
  <c r="B18" i="42"/>
  <c r="E17" i="42"/>
  <c r="I17" i="42" s="1"/>
  <c r="D17" i="42"/>
  <c r="C17" i="42"/>
  <c r="B17" i="42"/>
  <c r="E16" i="42"/>
  <c r="I16" i="42" s="1"/>
  <c r="D16" i="42"/>
  <c r="C16" i="42"/>
  <c r="B16" i="42"/>
  <c r="E15" i="42"/>
  <c r="I15" i="42" s="1"/>
  <c r="D15" i="42"/>
  <c r="C15" i="42"/>
  <c r="B15" i="42"/>
  <c r="E14" i="42"/>
  <c r="I14" i="42" s="1"/>
  <c r="D14" i="42"/>
  <c r="C14" i="42"/>
  <c r="B14" i="42"/>
  <c r="B13" i="42"/>
  <c r="I12" i="42"/>
  <c r="C12" i="42"/>
  <c r="M4" i="42"/>
  <c r="M3" i="42"/>
  <c r="J29" i="42" s="1"/>
  <c r="J62" i="46" l="1"/>
  <c r="O68" i="42"/>
  <c r="O74" i="42"/>
  <c r="O85" i="42"/>
  <c r="O130" i="42"/>
  <c r="O44" i="42"/>
  <c r="O48" i="42"/>
  <c r="O71" i="42"/>
  <c r="O84" i="42"/>
  <c r="O112" i="42"/>
  <c r="O116" i="42"/>
  <c r="O12" i="42"/>
  <c r="O23" i="42"/>
  <c r="O89" i="42"/>
  <c r="O115" i="42"/>
  <c r="O22" i="42"/>
  <c r="O27" i="42"/>
  <c r="O35" i="42"/>
  <c r="O50" i="42"/>
  <c r="O75" i="42"/>
  <c r="O103" i="42"/>
  <c r="O106" i="42"/>
  <c r="O122" i="42"/>
  <c r="O16" i="42"/>
  <c r="O100" i="42"/>
  <c r="O135" i="42"/>
  <c r="O17" i="42"/>
  <c r="O28" i="42"/>
  <c r="O43" i="42"/>
  <c r="O49" i="42"/>
  <c r="O57" i="42"/>
  <c r="O58" i="42"/>
  <c r="O82" i="42"/>
  <c r="O90" i="42"/>
  <c r="O97" i="42"/>
  <c r="O102" i="42"/>
  <c r="O109" i="42"/>
  <c r="O125" i="42"/>
  <c r="O133" i="42"/>
  <c r="J93" i="45"/>
  <c r="J26" i="45"/>
  <c r="O95" i="42"/>
  <c r="O96" i="42"/>
  <c r="J14" i="43"/>
  <c r="O15" i="42"/>
  <c r="O25" i="42"/>
  <c r="O33" i="42"/>
  <c r="O40" i="42"/>
  <c r="O42" i="42"/>
  <c r="O47" i="42"/>
  <c r="O55" i="42"/>
  <c r="O65" i="42"/>
  <c r="O73" i="42"/>
  <c r="O80" i="42"/>
  <c r="O86" i="42"/>
  <c r="O94" i="42"/>
  <c r="O101" i="42"/>
  <c r="O108" i="42"/>
  <c r="O114" i="42"/>
  <c r="O123" i="42"/>
  <c r="O124" i="42"/>
  <c r="O132" i="42"/>
  <c r="J18" i="48"/>
  <c r="J33" i="48"/>
  <c r="J26" i="46"/>
  <c r="O14" i="42"/>
  <c r="O24" i="42"/>
  <c r="O31" i="42"/>
  <c r="O32" i="42"/>
  <c r="O39" i="42"/>
  <c r="O46" i="42"/>
  <c r="O54" i="42"/>
  <c r="O64" i="42"/>
  <c r="O72" i="42"/>
  <c r="O78" i="42"/>
  <c r="O79" i="42"/>
  <c r="O93" i="42"/>
  <c r="O107" i="42"/>
  <c r="O113" i="42"/>
  <c r="O131" i="42"/>
  <c r="O137" i="42"/>
  <c r="J46" i="43"/>
  <c r="J26" i="47"/>
  <c r="O26" i="42"/>
  <c r="O20" i="42"/>
  <c r="O53" i="42"/>
  <c r="O60" i="42"/>
  <c r="O62" i="42"/>
  <c r="O70" i="42"/>
  <c r="O92" i="42"/>
  <c r="O99" i="42"/>
  <c r="O105" i="42"/>
  <c r="O111" i="42"/>
  <c r="O120" i="42"/>
  <c r="O129" i="42"/>
  <c r="J38" i="47"/>
  <c r="J26" i="48"/>
  <c r="J26" i="43"/>
  <c r="J26" i="42"/>
  <c r="O19" i="42"/>
  <c r="O29" i="42"/>
  <c r="O37" i="42"/>
  <c r="O59" i="42"/>
  <c r="O76" i="42"/>
  <c r="O83" i="42"/>
  <c r="O91" i="42"/>
  <c r="O104" i="42"/>
  <c r="O110" i="42"/>
  <c r="O118" i="42"/>
  <c r="O119" i="42"/>
  <c r="O126" i="42"/>
  <c r="O128" i="42"/>
  <c r="O134" i="42"/>
  <c r="J24" i="43"/>
  <c r="J26" i="44"/>
  <c r="J18" i="42"/>
  <c r="J14" i="42"/>
  <c r="J19" i="42"/>
  <c r="J16" i="42"/>
  <c r="J12" i="44"/>
  <c r="J17" i="44"/>
  <c r="J16" i="43"/>
  <c r="J22" i="42"/>
  <c r="J33" i="42"/>
  <c r="J35" i="42"/>
  <c r="J18" i="43"/>
  <c r="J115" i="45"/>
  <c r="J15" i="43"/>
  <c r="J50" i="44"/>
  <c r="J28" i="42"/>
  <c r="J15" i="45"/>
  <c r="J84" i="45"/>
  <c r="J24" i="42"/>
  <c r="J56" i="46"/>
  <c r="J22" i="47"/>
  <c r="J14" i="47"/>
  <c r="J30" i="47"/>
  <c r="J18" i="47"/>
  <c r="J14" i="48"/>
  <c r="J15" i="48"/>
  <c r="J29" i="48"/>
  <c r="J20" i="48"/>
  <c r="J16" i="46"/>
  <c r="J46" i="46"/>
  <c r="J19" i="48"/>
  <c r="J28" i="48"/>
  <c r="J46" i="45"/>
  <c r="J64" i="45"/>
  <c r="J128" i="45"/>
  <c r="J132" i="45"/>
  <c r="J97" i="45"/>
  <c r="J112" i="45"/>
  <c r="J124" i="45"/>
  <c r="J103" i="45"/>
  <c r="J118" i="45"/>
  <c r="J130" i="45"/>
  <c r="J109" i="45"/>
  <c r="J85" i="45"/>
  <c r="J79" i="45"/>
  <c r="J29" i="45"/>
  <c r="J135" i="45"/>
  <c r="J121" i="45"/>
  <c r="J100" i="45"/>
  <c r="J70" i="45"/>
  <c r="J28" i="45"/>
  <c r="J19" i="45"/>
  <c r="J94" i="45"/>
  <c r="J35" i="45"/>
  <c r="J27" i="45"/>
  <c r="J82" i="45"/>
  <c r="J76" i="45"/>
  <c r="J60" i="45"/>
  <c r="J34" i="45"/>
  <c r="J25" i="45"/>
  <c r="J33" i="45"/>
  <c r="J24" i="45"/>
  <c r="J22" i="45"/>
  <c r="J48" i="45"/>
  <c r="J72" i="45"/>
  <c r="J20" i="45"/>
  <c r="J23" i="45"/>
  <c r="J30" i="45"/>
  <c r="J40" i="45"/>
  <c r="J74" i="45"/>
  <c r="J39" i="45"/>
  <c r="J56" i="45"/>
  <c r="J66" i="45"/>
  <c r="J14" i="45"/>
  <c r="J47" i="45"/>
  <c r="J65" i="45"/>
  <c r="J12" i="45"/>
  <c r="J32" i="45"/>
  <c r="J50" i="45"/>
  <c r="J73" i="45"/>
  <c r="J133" i="45"/>
  <c r="J125" i="45"/>
  <c r="J131" i="45"/>
  <c r="J136" i="45"/>
  <c r="J120" i="45"/>
  <c r="J113" i="45"/>
  <c r="J105" i="45"/>
  <c r="J89" i="45"/>
  <c r="J81" i="45"/>
  <c r="J104" i="45"/>
  <c r="J96" i="45"/>
  <c r="J111" i="45"/>
  <c r="J95" i="45"/>
  <c r="J87" i="45"/>
  <c r="J126" i="45"/>
  <c r="J129" i="45"/>
  <c r="J122" i="45"/>
  <c r="J119" i="45"/>
  <c r="J117" i="45"/>
  <c r="J137" i="45"/>
  <c r="J116" i="45"/>
  <c r="J108" i="45"/>
  <c r="J114" i="45"/>
  <c r="J101" i="45"/>
  <c r="J90" i="45"/>
  <c r="J80" i="45"/>
  <c r="J71" i="45"/>
  <c r="J63" i="45"/>
  <c r="J55" i="45"/>
  <c r="J45" i="45"/>
  <c r="J37" i="45"/>
  <c r="J102" i="45"/>
  <c r="J83" i="45"/>
  <c r="J78" i="45"/>
  <c r="J62" i="45"/>
  <c r="J54" i="45"/>
  <c r="J44" i="45"/>
  <c r="J123" i="45"/>
  <c r="J99" i="45"/>
  <c r="J98" i="45"/>
  <c r="J92" i="45"/>
  <c r="J77" i="45"/>
  <c r="J69" i="45"/>
  <c r="J53" i="45"/>
  <c r="J43" i="45"/>
  <c r="J18" i="45"/>
  <c r="J134" i="45"/>
  <c r="J110" i="45"/>
  <c r="J106" i="45"/>
  <c r="J68" i="45"/>
  <c r="J52" i="45"/>
  <c r="J42" i="45"/>
  <c r="J17" i="45"/>
  <c r="J86" i="45"/>
  <c r="J75" i="45"/>
  <c r="J59" i="45"/>
  <c r="J16" i="45"/>
  <c r="J107" i="45"/>
  <c r="J31" i="45"/>
  <c r="J49" i="45"/>
  <c r="J58" i="45"/>
  <c r="J91" i="45"/>
  <c r="J130" i="46"/>
  <c r="J121" i="46"/>
  <c r="J135" i="46"/>
  <c r="J132" i="46"/>
  <c r="J128" i="46"/>
  <c r="J124" i="46"/>
  <c r="J115" i="46"/>
  <c r="J97" i="46"/>
  <c r="J112" i="46"/>
  <c r="J103" i="46"/>
  <c r="J79" i="46"/>
  <c r="J109" i="46"/>
  <c r="J85" i="46"/>
  <c r="J100" i="46"/>
  <c r="J91" i="46"/>
  <c r="J66" i="46"/>
  <c r="J50" i="46"/>
  <c r="J118" i="46"/>
  <c r="J94" i="46"/>
  <c r="J76" i="46"/>
  <c r="J73" i="46"/>
  <c r="J28" i="46"/>
  <c r="J19" i="46"/>
  <c r="J60" i="46"/>
  <c r="J35" i="46"/>
  <c r="J27" i="46"/>
  <c r="J34" i="46"/>
  <c r="J25" i="46"/>
  <c r="J40" i="46"/>
  <c r="J33" i="46"/>
  <c r="J24" i="46"/>
  <c r="J70" i="46"/>
  <c r="J31" i="46"/>
  <c r="J22" i="46"/>
  <c r="J30" i="46"/>
  <c r="J32" i="46"/>
  <c r="J20" i="46"/>
  <c r="J29" i="46"/>
  <c r="J82" i="46"/>
  <c r="J45" i="46"/>
  <c r="J12" i="46"/>
  <c r="J15" i="46"/>
  <c r="J134" i="46"/>
  <c r="J126" i="46"/>
  <c r="J133" i="46"/>
  <c r="J125" i="46"/>
  <c r="J131" i="46"/>
  <c r="J122" i="46"/>
  <c r="J137" i="46"/>
  <c r="J129" i="46"/>
  <c r="J123" i="46"/>
  <c r="J114" i="46"/>
  <c r="J136" i="46"/>
  <c r="J119" i="46"/>
  <c r="J117" i="46"/>
  <c r="J113" i="46"/>
  <c r="J105" i="46"/>
  <c r="J104" i="46"/>
  <c r="J96" i="46"/>
  <c r="J80" i="46"/>
  <c r="J120" i="46"/>
  <c r="J111" i="46"/>
  <c r="J95" i="46"/>
  <c r="J87" i="46"/>
  <c r="J101" i="46"/>
  <c r="J93" i="46"/>
  <c r="J107" i="46"/>
  <c r="J98" i="46"/>
  <c r="J69" i="46"/>
  <c r="J53" i="46"/>
  <c r="J43" i="46"/>
  <c r="J108" i="46"/>
  <c r="J99" i="46"/>
  <c r="J90" i="46"/>
  <c r="J78" i="46"/>
  <c r="J68" i="46"/>
  <c r="J116" i="46"/>
  <c r="J110" i="46"/>
  <c r="J81" i="46"/>
  <c r="J59" i="46"/>
  <c r="J102" i="46"/>
  <c r="J92" i="46"/>
  <c r="J84" i="46"/>
  <c r="J74" i="46"/>
  <c r="J58" i="46"/>
  <c r="J83" i="46"/>
  <c r="J65" i="46"/>
  <c r="J57" i="46"/>
  <c r="J49" i="46"/>
  <c r="J48" i="46"/>
  <c r="J47" i="46"/>
  <c r="J39" i="46"/>
  <c r="J72" i="46"/>
  <c r="J71" i="46"/>
  <c r="J63" i="46"/>
  <c r="J55" i="46"/>
  <c r="J89" i="46"/>
  <c r="J44" i="46"/>
  <c r="J18" i="46"/>
  <c r="J75" i="46"/>
  <c r="J17" i="46"/>
  <c r="J106" i="46"/>
  <c r="J86" i="46"/>
  <c r="J64" i="46"/>
  <c r="J42" i="46"/>
  <c r="J14" i="46"/>
  <c r="J77" i="46"/>
  <c r="J52" i="46"/>
  <c r="J38" i="46"/>
  <c r="J37" i="46"/>
  <c r="J130" i="47"/>
  <c r="J128" i="47"/>
  <c r="J135" i="47"/>
  <c r="J118" i="47"/>
  <c r="J94" i="47"/>
  <c r="J109" i="47"/>
  <c r="J100" i="47"/>
  <c r="J124" i="47"/>
  <c r="J115" i="47"/>
  <c r="J132" i="47"/>
  <c r="J121" i="47"/>
  <c r="J97" i="47"/>
  <c r="J82" i="47"/>
  <c r="J66" i="47"/>
  <c r="J50" i="47"/>
  <c r="J103" i="47"/>
  <c r="J73" i="47"/>
  <c r="J79" i="47"/>
  <c r="J70" i="47"/>
  <c r="J85" i="47"/>
  <c r="J76" i="47"/>
  <c r="J60" i="47"/>
  <c r="J29" i="47"/>
  <c r="J20" i="47"/>
  <c r="J28" i="47"/>
  <c r="J19" i="47"/>
  <c r="J91" i="47"/>
  <c r="J35" i="47"/>
  <c r="J34" i="47"/>
  <c r="J25" i="47"/>
  <c r="J112" i="47"/>
  <c r="J33" i="47"/>
  <c r="J24" i="47"/>
  <c r="J40" i="47"/>
  <c r="J32" i="47"/>
  <c r="J23" i="47"/>
  <c r="J27" i="47"/>
  <c r="J31" i="47"/>
  <c r="J15" i="47"/>
  <c r="J42" i="47"/>
  <c r="J59" i="47"/>
  <c r="J16" i="47"/>
  <c r="J45" i="47"/>
  <c r="J17" i="47"/>
  <c r="J131" i="47"/>
  <c r="J137" i="47"/>
  <c r="J136" i="47"/>
  <c r="J134" i="47"/>
  <c r="J126" i="47"/>
  <c r="J133" i="47"/>
  <c r="J110" i="47"/>
  <c r="J102" i="47"/>
  <c r="J117" i="47"/>
  <c r="J101" i="47"/>
  <c r="J93" i="47"/>
  <c r="J116" i="47"/>
  <c r="J108" i="47"/>
  <c r="J125" i="47"/>
  <c r="J123" i="47"/>
  <c r="J107" i="47"/>
  <c r="J99" i="47"/>
  <c r="J129" i="47"/>
  <c r="J122" i="47"/>
  <c r="J114" i="47"/>
  <c r="J106" i="47"/>
  <c r="J98" i="47"/>
  <c r="J113" i="47"/>
  <c r="J105" i="47"/>
  <c r="J90" i="47"/>
  <c r="J74" i="47"/>
  <c r="J58" i="47"/>
  <c r="J120" i="47"/>
  <c r="J89" i="47"/>
  <c r="J81" i="47"/>
  <c r="J65" i="47"/>
  <c r="J57" i="47"/>
  <c r="J49" i="47"/>
  <c r="J48" i="47"/>
  <c r="J47" i="47"/>
  <c r="J111" i="47"/>
  <c r="J80" i="47"/>
  <c r="J72" i="47"/>
  <c r="J64" i="47"/>
  <c r="J56" i="47"/>
  <c r="J96" i="47"/>
  <c r="J95" i="47"/>
  <c r="J87" i="47"/>
  <c r="J71" i="47"/>
  <c r="J63" i="47"/>
  <c r="J55" i="47"/>
  <c r="J119" i="47"/>
  <c r="J86" i="47"/>
  <c r="J78" i="47"/>
  <c r="J62" i="47"/>
  <c r="J54" i="47"/>
  <c r="J77" i="47"/>
  <c r="J69" i="47"/>
  <c r="J53" i="47"/>
  <c r="J43" i="47"/>
  <c r="J104" i="47"/>
  <c r="J92" i="47"/>
  <c r="J84" i="47"/>
  <c r="J68" i="47"/>
  <c r="J52" i="47"/>
  <c r="J12" i="47"/>
  <c r="J37" i="47"/>
  <c r="J44" i="47"/>
  <c r="J46" i="47"/>
  <c r="J83" i="47"/>
  <c r="J122" i="48"/>
  <c r="J114" i="48"/>
  <c r="J137" i="48"/>
  <c r="J129" i="48"/>
  <c r="J113" i="48"/>
  <c r="J136" i="48"/>
  <c r="J119" i="48"/>
  <c r="J111" i="48"/>
  <c r="J134" i="48"/>
  <c r="J126" i="48"/>
  <c r="J110" i="48"/>
  <c r="J116" i="48"/>
  <c r="J108" i="48"/>
  <c r="J123" i="48"/>
  <c r="J120" i="48"/>
  <c r="J99" i="48"/>
  <c r="J131" i="48"/>
  <c r="J117" i="48"/>
  <c r="J106" i="48"/>
  <c r="J98" i="48"/>
  <c r="J90" i="48"/>
  <c r="J105" i="48"/>
  <c r="J104" i="48"/>
  <c r="J133" i="48"/>
  <c r="J107" i="48"/>
  <c r="J95" i="48"/>
  <c r="J102" i="48"/>
  <c r="J96" i="48"/>
  <c r="J84" i="48"/>
  <c r="J68" i="48"/>
  <c r="J83" i="48"/>
  <c r="J75" i="48"/>
  <c r="J101" i="48"/>
  <c r="J93" i="48"/>
  <c r="J89" i="48"/>
  <c r="J81" i="48"/>
  <c r="J65" i="48"/>
  <c r="J71" i="48"/>
  <c r="J86" i="48"/>
  <c r="J74" i="48"/>
  <c r="J92" i="48"/>
  <c r="J77" i="48"/>
  <c r="J59" i="48"/>
  <c r="J58" i="48"/>
  <c r="J125" i="48"/>
  <c r="J78" i="48"/>
  <c r="J69" i="48"/>
  <c r="J57" i="48"/>
  <c r="J49" i="48"/>
  <c r="J48" i="48"/>
  <c r="J47" i="48"/>
  <c r="J64" i="48"/>
  <c r="J56" i="48"/>
  <c r="J46" i="48"/>
  <c r="J87" i="48"/>
  <c r="J80" i="48"/>
  <c r="J62" i="48"/>
  <c r="J54" i="48"/>
  <c r="J44" i="48"/>
  <c r="J72" i="48"/>
  <c r="J53" i="48"/>
  <c r="J45" i="48"/>
  <c r="J43" i="48"/>
  <c r="J39" i="48"/>
  <c r="J63" i="48"/>
  <c r="J55" i="48"/>
  <c r="J38" i="48"/>
  <c r="J42" i="48"/>
  <c r="J12" i="48"/>
  <c r="J27" i="48"/>
  <c r="J130" i="48"/>
  <c r="J121" i="48"/>
  <c r="J135" i="48"/>
  <c r="J118" i="48"/>
  <c r="J132" i="48"/>
  <c r="J124" i="48"/>
  <c r="J100" i="48"/>
  <c r="J128" i="48"/>
  <c r="J91" i="48"/>
  <c r="J97" i="48"/>
  <c r="J115" i="48"/>
  <c r="J112" i="48"/>
  <c r="J109" i="48"/>
  <c r="J103" i="48"/>
  <c r="J94" i="48"/>
  <c r="J76" i="48"/>
  <c r="J73" i="48"/>
  <c r="J79" i="48"/>
  <c r="J66" i="48"/>
  <c r="J85" i="48"/>
  <c r="J50" i="48"/>
  <c r="J70" i="48"/>
  <c r="J34" i="48"/>
  <c r="J25" i="48"/>
  <c r="J32" i="48"/>
  <c r="J23" i="48"/>
  <c r="J40" i="48"/>
  <c r="J31" i="48"/>
  <c r="J30" i="48"/>
  <c r="J60" i="48"/>
  <c r="J22" i="48"/>
  <c r="J82" i="48"/>
  <c r="J16" i="48"/>
  <c r="J24" i="48"/>
  <c r="J37" i="48"/>
  <c r="J17" i="48"/>
  <c r="J17" i="43"/>
  <c r="J25" i="43"/>
  <c r="J72" i="43"/>
  <c r="J27" i="43"/>
  <c r="J19" i="43"/>
  <c r="J28" i="43"/>
  <c r="J56" i="43"/>
  <c r="J137" i="43"/>
  <c r="J129" i="43"/>
  <c r="J136" i="43"/>
  <c r="J133" i="43"/>
  <c r="J120" i="43"/>
  <c r="J104" i="43"/>
  <c r="J131" i="43"/>
  <c r="J119" i="43"/>
  <c r="J111" i="43"/>
  <c r="J95" i="43"/>
  <c r="J87" i="43"/>
  <c r="J126" i="43"/>
  <c r="J110" i="43"/>
  <c r="J102" i="43"/>
  <c r="J86" i="43"/>
  <c r="J125" i="43"/>
  <c r="J117" i="43"/>
  <c r="J101" i="43"/>
  <c r="J93" i="43"/>
  <c r="J116" i="43"/>
  <c r="J108" i="43"/>
  <c r="J92" i="43"/>
  <c r="J84" i="43"/>
  <c r="J123" i="43"/>
  <c r="J107" i="43"/>
  <c r="J134" i="43"/>
  <c r="J122" i="43"/>
  <c r="J114" i="43"/>
  <c r="J106" i="43"/>
  <c r="J98" i="43"/>
  <c r="J90" i="43"/>
  <c r="J96" i="43"/>
  <c r="J71" i="43"/>
  <c r="J63" i="43"/>
  <c r="J55" i="43"/>
  <c r="J45" i="43"/>
  <c r="J37" i="43"/>
  <c r="J89" i="43"/>
  <c r="J78" i="43"/>
  <c r="J62" i="43"/>
  <c r="J54" i="43"/>
  <c r="J44" i="43"/>
  <c r="J113" i="43"/>
  <c r="J77" i="43"/>
  <c r="J69" i="43"/>
  <c r="J53" i="43"/>
  <c r="J43" i="43"/>
  <c r="J83" i="43"/>
  <c r="J68" i="43"/>
  <c r="J52" i="43"/>
  <c r="J42" i="43"/>
  <c r="J105" i="43"/>
  <c r="J99" i="43"/>
  <c r="J75" i="43"/>
  <c r="J59" i="43"/>
  <c r="J74" i="43"/>
  <c r="J58" i="43"/>
  <c r="J81" i="43"/>
  <c r="J65" i="43"/>
  <c r="J57" i="43"/>
  <c r="J49" i="43"/>
  <c r="J48" i="43"/>
  <c r="J47" i="43"/>
  <c r="J39" i="43"/>
  <c r="J12" i="43"/>
  <c r="J20" i="43"/>
  <c r="J64" i="43"/>
  <c r="J135" i="43"/>
  <c r="J132" i="43"/>
  <c r="J112" i="43"/>
  <c r="J103" i="43"/>
  <c r="J128" i="43"/>
  <c r="J118" i="43"/>
  <c r="J94" i="43"/>
  <c r="J109" i="43"/>
  <c r="J85" i="43"/>
  <c r="J124" i="43"/>
  <c r="J100" i="43"/>
  <c r="J115" i="43"/>
  <c r="J130" i="43"/>
  <c r="J82" i="43"/>
  <c r="J91" i="43"/>
  <c r="J79" i="43"/>
  <c r="J70" i="43"/>
  <c r="J121" i="43"/>
  <c r="J35" i="43"/>
  <c r="J76" i="43"/>
  <c r="J60" i="43"/>
  <c r="J34" i="43"/>
  <c r="J33" i="43"/>
  <c r="J97" i="43"/>
  <c r="J66" i="43"/>
  <c r="J50" i="43"/>
  <c r="J40" i="43"/>
  <c r="J32" i="43"/>
  <c r="J73" i="43"/>
  <c r="J30" i="43"/>
  <c r="J22" i="43"/>
  <c r="J31" i="43"/>
  <c r="J23" i="43"/>
  <c r="J38" i="43"/>
  <c r="J122" i="44"/>
  <c r="J114" i="44"/>
  <c r="J137" i="44"/>
  <c r="J129" i="44"/>
  <c r="J136" i="44"/>
  <c r="J119" i="44"/>
  <c r="J111" i="44"/>
  <c r="J134" i="44"/>
  <c r="J126" i="44"/>
  <c r="J110" i="44"/>
  <c r="J133" i="44"/>
  <c r="J125" i="44"/>
  <c r="J117" i="44"/>
  <c r="J116" i="44"/>
  <c r="J108" i="44"/>
  <c r="J99" i="44"/>
  <c r="J106" i="44"/>
  <c r="J98" i="44"/>
  <c r="J90" i="44"/>
  <c r="J120" i="44"/>
  <c r="J123" i="44"/>
  <c r="J107" i="44"/>
  <c r="J104" i="44"/>
  <c r="J96" i="44"/>
  <c r="J113" i="44"/>
  <c r="J95" i="44"/>
  <c r="J101" i="44"/>
  <c r="J93" i="44"/>
  <c r="J105" i="44"/>
  <c r="J89" i="44"/>
  <c r="J87" i="44"/>
  <c r="J71" i="44"/>
  <c r="J102" i="44"/>
  <c r="J86" i="44"/>
  <c r="J77" i="44"/>
  <c r="J84" i="44"/>
  <c r="J83" i="44"/>
  <c r="J75" i="44"/>
  <c r="J80" i="44"/>
  <c r="J72" i="44"/>
  <c r="J59" i="44"/>
  <c r="J74" i="44"/>
  <c r="J68" i="44"/>
  <c r="J58" i="44"/>
  <c r="J81" i="44"/>
  <c r="J78" i="44"/>
  <c r="J65" i="44"/>
  <c r="J57" i="44"/>
  <c r="J49" i="44"/>
  <c r="J131" i="44"/>
  <c r="J92" i="44"/>
  <c r="J64" i="44"/>
  <c r="J56" i="44"/>
  <c r="J63" i="44"/>
  <c r="J55" i="44"/>
  <c r="J45" i="44"/>
  <c r="J52" i="44"/>
  <c r="J44" i="44"/>
  <c r="J69" i="44"/>
  <c r="J43" i="44"/>
  <c r="J53" i="44"/>
  <c r="J42" i="44"/>
  <c r="J62" i="44"/>
  <c r="J54" i="44"/>
  <c r="J47" i="44"/>
  <c r="J15" i="44"/>
  <c r="J46" i="44"/>
  <c r="J14" i="44"/>
  <c r="J37" i="44"/>
  <c r="J48" i="44"/>
  <c r="J18" i="44"/>
  <c r="J39" i="44"/>
  <c r="J38" i="44"/>
  <c r="J16" i="44"/>
  <c r="J27" i="44"/>
  <c r="J19" i="44"/>
  <c r="J30" i="44"/>
  <c r="J130" i="44"/>
  <c r="J121" i="44"/>
  <c r="J128" i="44"/>
  <c r="J135" i="44"/>
  <c r="J118" i="44"/>
  <c r="J109" i="44"/>
  <c r="J132" i="44"/>
  <c r="J124" i="44"/>
  <c r="J115" i="44"/>
  <c r="J103" i="44"/>
  <c r="J79" i="44"/>
  <c r="J85" i="44"/>
  <c r="J100" i="44"/>
  <c r="J76" i="44"/>
  <c r="J97" i="44"/>
  <c r="J112" i="44"/>
  <c r="J82" i="44"/>
  <c r="J70" i="44"/>
  <c r="J66" i="44"/>
  <c r="J94" i="44"/>
  <c r="J73" i="44"/>
  <c r="J91" i="44"/>
  <c r="J28" i="44"/>
  <c r="J60" i="44"/>
  <c r="J34" i="44"/>
  <c r="J25" i="44"/>
  <c r="J33" i="44"/>
  <c r="J24" i="44"/>
  <c r="J40" i="44"/>
  <c r="J32" i="44"/>
  <c r="J23" i="44"/>
  <c r="J29" i="44"/>
  <c r="J31" i="44"/>
  <c r="J22" i="44"/>
  <c r="J17" i="42"/>
  <c r="J25" i="42"/>
  <c r="J27" i="42"/>
  <c r="J137" i="42"/>
  <c r="J129" i="42"/>
  <c r="J136" i="42"/>
  <c r="J120" i="42"/>
  <c r="J119" i="42"/>
  <c r="J111" i="42"/>
  <c r="J134" i="42"/>
  <c r="J116" i="42"/>
  <c r="J131" i="42"/>
  <c r="J126" i="42"/>
  <c r="J117" i="42"/>
  <c r="J106" i="42"/>
  <c r="J98" i="42"/>
  <c r="J105" i="42"/>
  <c r="J125" i="42"/>
  <c r="J107" i="42"/>
  <c r="J104" i="42"/>
  <c r="J96" i="42"/>
  <c r="J133" i="42"/>
  <c r="J110" i="42"/>
  <c r="J102" i="42"/>
  <c r="J123" i="42"/>
  <c r="J89" i="42"/>
  <c r="J81" i="42"/>
  <c r="J80" i="42"/>
  <c r="J122" i="42"/>
  <c r="J108" i="42"/>
  <c r="J87" i="42"/>
  <c r="J99" i="42"/>
  <c r="J86" i="42"/>
  <c r="J93" i="42"/>
  <c r="J77" i="42"/>
  <c r="J101" i="42"/>
  <c r="J84" i="42"/>
  <c r="J114" i="42"/>
  <c r="J113" i="42"/>
  <c r="J83" i="42"/>
  <c r="J59" i="42"/>
  <c r="J90" i="42"/>
  <c r="J75" i="42"/>
  <c r="J74" i="42"/>
  <c r="J58" i="42"/>
  <c r="J78" i="42"/>
  <c r="J65" i="42"/>
  <c r="J72" i="42"/>
  <c r="J64" i="42"/>
  <c r="J56" i="42"/>
  <c r="J92" i="42"/>
  <c r="J62" i="42"/>
  <c r="J46" i="42"/>
  <c r="J38" i="42"/>
  <c r="J57" i="42"/>
  <c r="J45" i="42"/>
  <c r="J37" i="42"/>
  <c r="J71" i="42"/>
  <c r="J44" i="42"/>
  <c r="J54" i="42"/>
  <c r="J53" i="42"/>
  <c r="J43" i="42"/>
  <c r="J69" i="42"/>
  <c r="J63" i="42"/>
  <c r="J52" i="42"/>
  <c r="J42" i="42"/>
  <c r="J95" i="42"/>
  <c r="J68" i="42"/>
  <c r="J55" i="42"/>
  <c r="J49" i="42"/>
  <c r="J48" i="42"/>
  <c r="J47" i="42"/>
  <c r="J39" i="42"/>
  <c r="J12" i="42"/>
  <c r="J20" i="42"/>
  <c r="J130" i="42"/>
  <c r="J128" i="42"/>
  <c r="J112" i="42"/>
  <c r="J135" i="42"/>
  <c r="J132" i="42"/>
  <c r="J124" i="42"/>
  <c r="J118" i="42"/>
  <c r="J121" i="42"/>
  <c r="J115" i="42"/>
  <c r="J97" i="42"/>
  <c r="J109" i="42"/>
  <c r="J94" i="42"/>
  <c r="J79" i="42"/>
  <c r="J100" i="42"/>
  <c r="J85" i="42"/>
  <c r="J66" i="42"/>
  <c r="J82" i="42"/>
  <c r="J73" i="42"/>
  <c r="J103" i="42"/>
  <c r="J76" i="42"/>
  <c r="J70" i="42"/>
  <c r="J91" i="42"/>
  <c r="J60" i="42"/>
  <c r="J34" i="42"/>
  <c r="J50" i="42"/>
  <c r="J40" i="42"/>
  <c r="J30" i="42"/>
  <c r="J31" i="42"/>
  <c r="J15" i="42"/>
  <c r="J23" i="42"/>
  <c r="J32" i="42"/>
  <c r="T36" i="40" l="1"/>
  <c r="H4" i="44" s="1"/>
  <c r="S36" i="40"/>
  <c r="G4" i="44" s="1"/>
  <c r="R36" i="40"/>
  <c r="I4" i="44" s="1"/>
  <c r="Q36" i="40"/>
  <c r="F4" i="44" s="1"/>
  <c r="P36" i="40"/>
  <c r="H6" i="44" s="1"/>
  <c r="O36" i="40"/>
  <c r="G6" i="44" s="1"/>
  <c r="N36" i="40"/>
  <c r="I6" i="44" s="1"/>
  <c r="M36" i="40"/>
  <c r="F6" i="44" s="1"/>
  <c r="T40" i="40"/>
  <c r="H4" i="43" s="1"/>
  <c r="S40" i="40"/>
  <c r="G4" i="43" s="1"/>
  <c r="R40" i="40"/>
  <c r="I4" i="43" s="1"/>
  <c r="Q40" i="40"/>
  <c r="F4" i="43" s="1"/>
  <c r="P40" i="40"/>
  <c r="H6" i="43" s="1"/>
  <c r="O40" i="40"/>
  <c r="G6" i="43" s="1"/>
  <c r="N40" i="40"/>
  <c r="I6" i="43" s="1"/>
  <c r="M40" i="40"/>
  <c r="F6" i="43" s="1"/>
  <c r="T35" i="40"/>
  <c r="H4" i="33" s="1"/>
  <c r="S35" i="40"/>
  <c r="G4" i="33" s="1"/>
  <c r="R35" i="40"/>
  <c r="I4" i="33" s="1"/>
  <c r="Q35" i="40"/>
  <c r="F4" i="33" s="1"/>
  <c r="P35" i="40"/>
  <c r="H6" i="33" s="1"/>
  <c r="O35" i="40"/>
  <c r="G6" i="33" s="1"/>
  <c r="N35" i="40"/>
  <c r="I6" i="33" s="1"/>
  <c r="M35" i="40"/>
  <c r="F6" i="33" s="1"/>
  <c r="L38" i="40"/>
  <c r="K38" i="40"/>
  <c r="J38" i="40"/>
  <c r="I38" i="40"/>
  <c r="H38" i="40"/>
  <c r="G38" i="40"/>
  <c r="F38" i="40"/>
  <c r="L42" i="40"/>
  <c r="K42" i="40"/>
  <c r="J42" i="40"/>
  <c r="I42" i="40"/>
  <c r="H42" i="40"/>
  <c r="G42" i="40"/>
  <c r="F42" i="40"/>
  <c r="L37" i="40"/>
  <c r="K37" i="40"/>
  <c r="J37" i="40"/>
  <c r="I37" i="40"/>
  <c r="H37" i="40"/>
  <c r="G37" i="40"/>
  <c r="F37" i="40"/>
  <c r="L41" i="40"/>
  <c r="K41" i="40"/>
  <c r="J41" i="40"/>
  <c r="I41" i="40"/>
  <c r="H41" i="40"/>
  <c r="G41" i="40"/>
  <c r="F41" i="40"/>
  <c r="E41" i="40"/>
  <c r="E41" i="41"/>
  <c r="E38" i="40"/>
  <c r="E38" i="41"/>
  <c r="E42" i="40"/>
  <c r="E42" i="41"/>
  <c r="E37" i="40"/>
  <c r="E37" i="41"/>
  <c r="E35" i="41"/>
  <c r="E39" i="41"/>
  <c r="M16" i="41"/>
  <c r="N16" i="41"/>
  <c r="O16" i="41"/>
  <c r="P16" i="41"/>
  <c r="Q16" i="41"/>
  <c r="R16" i="41"/>
  <c r="S16" i="41"/>
  <c r="T16" i="41"/>
  <c r="M6" i="41"/>
  <c r="N6" i="41"/>
  <c r="O6" i="41"/>
  <c r="P6" i="41"/>
  <c r="Q6" i="41"/>
  <c r="R6" i="41"/>
  <c r="S6" i="41"/>
  <c r="T6" i="41"/>
  <c r="M17" i="41"/>
  <c r="N17" i="41"/>
  <c r="O17" i="41"/>
  <c r="P17" i="41"/>
  <c r="Q17" i="41"/>
  <c r="R17" i="41"/>
  <c r="S17" i="41"/>
  <c r="T17" i="41"/>
  <c r="M7" i="41"/>
  <c r="N7" i="41"/>
  <c r="O7" i="41"/>
  <c r="P7" i="41"/>
  <c r="Q7" i="41"/>
  <c r="R7" i="41"/>
  <c r="S7" i="41"/>
  <c r="T7" i="41"/>
  <c r="M18" i="41"/>
  <c r="N18" i="41"/>
  <c r="O18" i="41"/>
  <c r="P18" i="41"/>
  <c r="Q18" i="41"/>
  <c r="R18" i="41"/>
  <c r="S18" i="41"/>
  <c r="T18" i="41"/>
  <c r="M8" i="41"/>
  <c r="N8" i="41"/>
  <c r="O8" i="41"/>
  <c r="P8" i="41"/>
  <c r="Q8" i="41"/>
  <c r="R8" i="41"/>
  <c r="S8" i="41"/>
  <c r="T8" i="41"/>
  <c r="M19" i="41"/>
  <c r="N19" i="41"/>
  <c r="O19" i="41"/>
  <c r="P19" i="41"/>
  <c r="Q19" i="41"/>
  <c r="R19" i="41"/>
  <c r="S19" i="41"/>
  <c r="T19" i="41"/>
  <c r="M9" i="41"/>
  <c r="N9" i="41"/>
  <c r="O9" i="41"/>
  <c r="P9" i="41"/>
  <c r="Q9" i="41"/>
  <c r="R9" i="41"/>
  <c r="S9" i="41"/>
  <c r="T9" i="41"/>
  <c r="M20" i="41"/>
  <c r="N20" i="41"/>
  <c r="O20" i="41"/>
  <c r="P20" i="41"/>
  <c r="Q20" i="41"/>
  <c r="R20" i="41"/>
  <c r="S20" i="41"/>
  <c r="T20" i="41"/>
  <c r="M10" i="41"/>
  <c r="N10" i="41"/>
  <c r="O10" i="41"/>
  <c r="P10" i="41"/>
  <c r="Q10" i="41"/>
  <c r="R10" i="41"/>
  <c r="S10" i="41"/>
  <c r="T10" i="41"/>
  <c r="M21" i="41"/>
  <c r="N21" i="41"/>
  <c r="O21" i="41"/>
  <c r="P21" i="41"/>
  <c r="Q21" i="41"/>
  <c r="R21" i="41"/>
  <c r="S21" i="41"/>
  <c r="T21" i="41"/>
  <c r="M11" i="41"/>
  <c r="N11" i="41"/>
  <c r="O11" i="41"/>
  <c r="P11" i="41"/>
  <c r="Q11" i="41"/>
  <c r="R11" i="41"/>
  <c r="S11" i="41"/>
  <c r="T11" i="41"/>
  <c r="M22" i="41"/>
  <c r="N22" i="41"/>
  <c r="O22" i="41"/>
  <c r="P22" i="41"/>
  <c r="Q22" i="41"/>
  <c r="R22" i="41"/>
  <c r="S22" i="41"/>
  <c r="T22" i="41"/>
  <c r="M23" i="41"/>
  <c r="N23" i="41"/>
  <c r="O23" i="41"/>
  <c r="P23" i="41"/>
  <c r="Q23" i="41"/>
  <c r="R23" i="41"/>
  <c r="S23" i="41"/>
  <c r="T23" i="41"/>
  <c r="M12" i="41"/>
  <c r="N12" i="41"/>
  <c r="O12" i="41"/>
  <c r="P12" i="41"/>
  <c r="Q12" i="41"/>
  <c r="R12" i="41"/>
  <c r="S12" i="41"/>
  <c r="T12" i="41"/>
  <c r="M24" i="41"/>
  <c r="N24" i="41"/>
  <c r="O24" i="41"/>
  <c r="P24" i="41"/>
  <c r="Q24" i="41"/>
  <c r="R24" i="41"/>
  <c r="S24" i="41"/>
  <c r="T24" i="41"/>
  <c r="M25" i="41"/>
  <c r="N25" i="41"/>
  <c r="O25" i="41"/>
  <c r="P25" i="41"/>
  <c r="Q25" i="41"/>
  <c r="R25" i="41"/>
  <c r="S25" i="41"/>
  <c r="T25" i="41"/>
  <c r="M13" i="41"/>
  <c r="N13" i="41"/>
  <c r="O13" i="41"/>
  <c r="P13" i="41"/>
  <c r="Q13" i="41"/>
  <c r="R13" i="41"/>
  <c r="S13" i="41"/>
  <c r="T13" i="41"/>
  <c r="M26" i="41"/>
  <c r="N26" i="41"/>
  <c r="O26" i="41"/>
  <c r="P26" i="41"/>
  <c r="Q26" i="41"/>
  <c r="R26" i="41"/>
  <c r="S26" i="41"/>
  <c r="T26" i="41"/>
  <c r="M14" i="41"/>
  <c r="N14" i="41"/>
  <c r="O14" i="41"/>
  <c r="P14" i="41"/>
  <c r="Q14" i="41"/>
  <c r="R14" i="41"/>
  <c r="S14" i="41"/>
  <c r="T14" i="41"/>
  <c r="M27" i="41"/>
  <c r="N27" i="41"/>
  <c r="O27" i="41"/>
  <c r="P27" i="41"/>
  <c r="Q27" i="41"/>
  <c r="R27" i="41"/>
  <c r="S27" i="41"/>
  <c r="T27" i="41"/>
  <c r="M28" i="41"/>
  <c r="N28" i="41"/>
  <c r="O28" i="41"/>
  <c r="P28" i="41"/>
  <c r="Q28" i="41"/>
  <c r="R28" i="41"/>
  <c r="S28" i="41"/>
  <c r="T28" i="41"/>
  <c r="M15" i="41"/>
  <c r="N15" i="41"/>
  <c r="O15" i="41"/>
  <c r="P15" i="41"/>
  <c r="Q15" i="41"/>
  <c r="R15" i="41"/>
  <c r="S15" i="41"/>
  <c r="T15" i="41"/>
  <c r="M30" i="41"/>
  <c r="N30" i="41"/>
  <c r="O30" i="41"/>
  <c r="P30" i="41"/>
  <c r="Q30" i="41"/>
  <c r="R30" i="41"/>
  <c r="S30" i="41"/>
  <c r="T30" i="41"/>
  <c r="M17" i="40"/>
  <c r="N17" i="40"/>
  <c r="O17" i="40"/>
  <c r="P17" i="40"/>
  <c r="Q17" i="40"/>
  <c r="R17" i="40"/>
  <c r="S17" i="40"/>
  <c r="T17" i="40"/>
  <c r="M7" i="40"/>
  <c r="N7" i="40"/>
  <c r="O7" i="40"/>
  <c r="P7" i="40"/>
  <c r="Q7" i="40"/>
  <c r="R7" i="40"/>
  <c r="S7" i="40"/>
  <c r="T7" i="40"/>
  <c r="M18" i="40"/>
  <c r="N18" i="40"/>
  <c r="O18" i="40"/>
  <c r="P18" i="40"/>
  <c r="Q18" i="40"/>
  <c r="R18" i="40"/>
  <c r="S18" i="40"/>
  <c r="T18" i="40"/>
  <c r="M8" i="40"/>
  <c r="N8" i="40"/>
  <c r="O8" i="40"/>
  <c r="P8" i="40"/>
  <c r="Q8" i="40"/>
  <c r="R8" i="40"/>
  <c r="S8" i="40"/>
  <c r="T8" i="40"/>
  <c r="M19" i="40"/>
  <c r="N19" i="40"/>
  <c r="O19" i="40"/>
  <c r="P19" i="40"/>
  <c r="Q19" i="40"/>
  <c r="R19" i="40"/>
  <c r="S19" i="40"/>
  <c r="T19" i="40"/>
  <c r="M9" i="40"/>
  <c r="N9" i="40"/>
  <c r="O9" i="40"/>
  <c r="P9" i="40"/>
  <c r="Q9" i="40"/>
  <c r="R9" i="40"/>
  <c r="S9" i="40"/>
  <c r="T9" i="40"/>
  <c r="M20" i="40"/>
  <c r="N20" i="40"/>
  <c r="O20" i="40"/>
  <c r="P20" i="40"/>
  <c r="Q20" i="40"/>
  <c r="R20" i="40"/>
  <c r="S20" i="40"/>
  <c r="T20" i="40"/>
  <c r="M10" i="40"/>
  <c r="N10" i="40"/>
  <c r="O10" i="40"/>
  <c r="P10" i="40"/>
  <c r="Q10" i="40"/>
  <c r="R10" i="40"/>
  <c r="S10" i="40"/>
  <c r="T10" i="40"/>
  <c r="M21" i="40"/>
  <c r="N21" i="40"/>
  <c r="O21" i="40"/>
  <c r="P21" i="40"/>
  <c r="Q21" i="40"/>
  <c r="R21" i="40"/>
  <c r="S21" i="40"/>
  <c r="T21" i="40"/>
  <c r="M11" i="40"/>
  <c r="N11" i="40"/>
  <c r="O11" i="40"/>
  <c r="P11" i="40"/>
  <c r="Q11" i="40"/>
  <c r="R11" i="40"/>
  <c r="S11" i="40"/>
  <c r="T11" i="40"/>
  <c r="M22" i="40"/>
  <c r="N22" i="40"/>
  <c r="O22" i="40"/>
  <c r="P22" i="40"/>
  <c r="Q22" i="40"/>
  <c r="R22" i="40"/>
  <c r="S22" i="40"/>
  <c r="T22" i="40"/>
  <c r="M12" i="40"/>
  <c r="N12" i="40"/>
  <c r="O12" i="40"/>
  <c r="P12" i="40"/>
  <c r="Q12" i="40"/>
  <c r="R12" i="40"/>
  <c r="S12" i="40"/>
  <c r="T12" i="40"/>
  <c r="M23" i="40"/>
  <c r="N23" i="40"/>
  <c r="O23" i="40"/>
  <c r="P23" i="40"/>
  <c r="Q23" i="40"/>
  <c r="R23" i="40"/>
  <c r="S23" i="40"/>
  <c r="T23" i="40"/>
  <c r="M24" i="40"/>
  <c r="N24" i="40"/>
  <c r="O24" i="40"/>
  <c r="P24" i="40"/>
  <c r="Q24" i="40"/>
  <c r="R24" i="40"/>
  <c r="S24" i="40"/>
  <c r="T24" i="40"/>
  <c r="M13" i="40"/>
  <c r="N13" i="40"/>
  <c r="O13" i="40"/>
  <c r="P13" i="40"/>
  <c r="Q13" i="40"/>
  <c r="R13" i="40"/>
  <c r="S13" i="40"/>
  <c r="T13" i="40"/>
  <c r="M25" i="40"/>
  <c r="N25" i="40"/>
  <c r="O25" i="40"/>
  <c r="P25" i="40"/>
  <c r="Q25" i="40"/>
  <c r="R25" i="40"/>
  <c r="S25" i="40"/>
  <c r="T25" i="40"/>
  <c r="M26" i="40"/>
  <c r="N26" i="40"/>
  <c r="O26" i="40"/>
  <c r="P26" i="40"/>
  <c r="Q26" i="40"/>
  <c r="R26" i="40"/>
  <c r="S26" i="40"/>
  <c r="T26" i="40"/>
  <c r="M14" i="40"/>
  <c r="N14" i="40"/>
  <c r="O14" i="40"/>
  <c r="P14" i="40"/>
  <c r="Q14" i="40"/>
  <c r="R14" i="40"/>
  <c r="S14" i="40"/>
  <c r="T14" i="40"/>
  <c r="M27" i="40"/>
  <c r="N27" i="40"/>
  <c r="O27" i="40"/>
  <c r="P27" i="40"/>
  <c r="Q27" i="40"/>
  <c r="R27" i="40"/>
  <c r="S27" i="40"/>
  <c r="T27" i="40"/>
  <c r="M15" i="40"/>
  <c r="N15" i="40"/>
  <c r="O15" i="40"/>
  <c r="P15" i="40"/>
  <c r="Q15" i="40"/>
  <c r="R15" i="40"/>
  <c r="S15" i="40"/>
  <c r="T15" i="40"/>
  <c r="M28" i="40"/>
  <c r="N28" i="40"/>
  <c r="O28" i="40"/>
  <c r="P28" i="40"/>
  <c r="Q28" i="40"/>
  <c r="R28" i="40"/>
  <c r="S28" i="40"/>
  <c r="T28" i="40"/>
  <c r="M29" i="40"/>
  <c r="N29" i="40"/>
  <c r="O29" i="40"/>
  <c r="P29" i="40"/>
  <c r="Q29" i="40"/>
  <c r="R29" i="40"/>
  <c r="S29" i="40"/>
  <c r="T29" i="40"/>
  <c r="M16" i="40"/>
  <c r="N16" i="40"/>
  <c r="O16" i="40"/>
  <c r="P16" i="40"/>
  <c r="Q16" i="40"/>
  <c r="R16" i="40"/>
  <c r="S16" i="40"/>
  <c r="T16" i="40"/>
  <c r="M30" i="40"/>
  <c r="N30" i="40"/>
  <c r="O30" i="40"/>
  <c r="P30" i="40"/>
  <c r="Q30" i="40"/>
  <c r="R30" i="40"/>
  <c r="S30" i="40"/>
  <c r="T30" i="40"/>
  <c r="Q40" i="41" l="1"/>
  <c r="F5" i="43" s="1"/>
  <c r="K97" i="43" s="1"/>
  <c r="Q38" i="41"/>
  <c r="F5" i="48" s="1"/>
  <c r="K17" i="48" s="1"/>
  <c r="O36" i="41"/>
  <c r="G7" i="44" s="1"/>
  <c r="P39" i="41"/>
  <c r="H7" i="33" s="1"/>
  <c r="N42" i="41"/>
  <c r="I7" i="47" s="1"/>
  <c r="O38" i="41"/>
  <c r="G7" i="48" s="1"/>
  <c r="O42" i="41"/>
  <c r="G7" i="47" s="1"/>
  <c r="M35" i="41"/>
  <c r="F9" i="62" s="1"/>
  <c r="M42" i="41"/>
  <c r="F7" i="47" s="1"/>
  <c r="N37" i="41"/>
  <c r="I7" i="46" s="1"/>
  <c r="O39" i="41"/>
  <c r="G7" i="33" s="1"/>
  <c r="P38" i="41"/>
  <c r="H7" i="48" s="1"/>
  <c r="M36" i="41"/>
  <c r="F7" i="44" s="1"/>
  <c r="N41" i="41"/>
  <c r="I7" i="45" s="1"/>
  <c r="P42" i="41"/>
  <c r="H7" i="47" s="1"/>
  <c r="R42" i="41"/>
  <c r="I5" i="47" s="1"/>
  <c r="Q41" i="41"/>
  <c r="F5" i="45" s="1"/>
  <c r="K65" i="45" s="1"/>
  <c r="R40" i="41"/>
  <c r="I5" i="43" s="1"/>
  <c r="M37" i="41"/>
  <c r="F7" i="46" s="1"/>
  <c r="M41" i="41"/>
  <c r="F7" i="45" s="1"/>
  <c r="R37" i="41"/>
  <c r="I5" i="46" s="1"/>
  <c r="S35" i="41"/>
  <c r="G5" i="42" s="1"/>
  <c r="N36" i="41"/>
  <c r="I7" i="44" s="1"/>
  <c r="O41" i="41"/>
  <c r="G7" i="45" s="1"/>
  <c r="P37" i="41"/>
  <c r="H7" i="46" s="1"/>
  <c r="M39" i="41"/>
  <c r="F7" i="33" s="1"/>
  <c r="T41" i="41"/>
  <c r="H5" i="45" s="1"/>
  <c r="M40" i="41"/>
  <c r="F7" i="43" s="1"/>
  <c r="Q36" i="41"/>
  <c r="F5" i="44" s="1"/>
  <c r="K131" i="44" s="1"/>
  <c r="R35" i="41"/>
  <c r="I7" i="62" s="1"/>
  <c r="S40" i="41"/>
  <c r="G5" i="43" s="1"/>
  <c r="T36" i="41"/>
  <c r="H5" i="44" s="1"/>
  <c r="O40" i="41"/>
  <c r="G7" i="43" s="1"/>
  <c r="T40" i="41"/>
  <c r="H5" i="43" s="1"/>
  <c r="J5" i="43" s="1"/>
  <c r="T35" i="41"/>
  <c r="H7" i="62" s="1"/>
  <c r="R38" i="41"/>
  <c r="I5" i="48" s="1"/>
  <c r="N40" i="41"/>
  <c r="I7" i="43" s="1"/>
  <c r="P41" i="41"/>
  <c r="H7" i="45" s="1"/>
  <c r="S38" i="41"/>
  <c r="G5" i="48" s="1"/>
  <c r="N35" i="41"/>
  <c r="I7" i="42" s="1"/>
  <c r="P36" i="41"/>
  <c r="H7" i="44" s="1"/>
  <c r="S42" i="41"/>
  <c r="G5" i="47" s="1"/>
  <c r="T38" i="41"/>
  <c r="H5" i="48" s="1"/>
  <c r="R39" i="41"/>
  <c r="I5" i="33" s="1"/>
  <c r="J45" i="41"/>
  <c r="O35" i="41"/>
  <c r="G9" i="62" s="1"/>
  <c r="P40" i="41"/>
  <c r="H7" i="43" s="1"/>
  <c r="R41" i="41"/>
  <c r="I5" i="45" s="1"/>
  <c r="S37" i="41"/>
  <c r="G5" i="46" s="1"/>
  <c r="T42" i="41"/>
  <c r="H5" i="47" s="1"/>
  <c r="M38" i="41"/>
  <c r="F7" i="48" s="1"/>
  <c r="P35" i="41"/>
  <c r="H9" i="62" s="1"/>
  <c r="R36" i="41"/>
  <c r="I5" i="44" s="1"/>
  <c r="S41" i="41"/>
  <c r="G5" i="45" s="1"/>
  <c r="T37" i="41"/>
  <c r="H5" i="46" s="1"/>
  <c r="N38" i="41"/>
  <c r="I7" i="48" s="1"/>
  <c r="K120" i="43"/>
  <c r="K125" i="44"/>
  <c r="K50" i="48"/>
  <c r="K43" i="48"/>
  <c r="P117" i="48"/>
  <c r="Q117" i="48" s="1"/>
  <c r="K69" i="48"/>
  <c r="P52" i="48"/>
  <c r="Q52" i="48" s="1"/>
  <c r="K57" i="48"/>
  <c r="K106" i="48"/>
  <c r="K58" i="48"/>
  <c r="P78" i="48"/>
  <c r="Q78" i="48" s="1"/>
  <c r="K65" i="48"/>
  <c r="P87" i="48"/>
  <c r="Q87" i="48" s="1"/>
  <c r="K122" i="48"/>
  <c r="K66" i="48"/>
  <c r="K97" i="48"/>
  <c r="K124" i="48"/>
  <c r="K133" i="48"/>
  <c r="K48" i="48"/>
  <c r="E45" i="41"/>
  <c r="K45" i="41"/>
  <c r="N39" i="41"/>
  <c r="I7" i="33" s="1"/>
  <c r="O37" i="41"/>
  <c r="G7" i="46" s="1"/>
  <c r="L45" i="41"/>
  <c r="F45" i="41"/>
  <c r="Q39" i="41"/>
  <c r="F5" i="33" s="1"/>
  <c r="Q35" i="41"/>
  <c r="Q37" i="41"/>
  <c r="F5" i="46" s="1"/>
  <c r="Q42" i="41"/>
  <c r="F5" i="47" s="1"/>
  <c r="G45" i="41"/>
  <c r="H45" i="41"/>
  <c r="S39" i="41"/>
  <c r="G5" i="33" s="1"/>
  <c r="S36" i="41"/>
  <c r="G5" i="44" s="1"/>
  <c r="I45" i="41"/>
  <c r="T39" i="41"/>
  <c r="H5" i="33" s="1"/>
  <c r="N37" i="40"/>
  <c r="I6" i="46" s="1"/>
  <c r="O42" i="40"/>
  <c r="G6" i="47" s="1"/>
  <c r="M41" i="40"/>
  <c r="F6" i="45" s="1"/>
  <c r="P38" i="40"/>
  <c r="H6" i="48" s="1"/>
  <c r="L45" i="40"/>
  <c r="Q38" i="40"/>
  <c r="F4" i="48" s="1"/>
  <c r="S38" i="40"/>
  <c r="G4" i="48" s="1"/>
  <c r="Q41" i="40"/>
  <c r="F4" i="45" s="1"/>
  <c r="Q37" i="40"/>
  <c r="F4" i="46" s="1"/>
  <c r="K31" i="46" s="1"/>
  <c r="S42" i="40"/>
  <c r="G4" i="47" s="1"/>
  <c r="T35" i="47" s="1"/>
  <c r="M38" i="40"/>
  <c r="F6" i="48" s="1"/>
  <c r="N38" i="40"/>
  <c r="I6" i="48" s="1"/>
  <c r="S39" i="40"/>
  <c r="G6" i="62" s="1"/>
  <c r="J45" i="40"/>
  <c r="K45" i="40"/>
  <c r="R37" i="40"/>
  <c r="I4" i="46" s="1"/>
  <c r="F45" i="40"/>
  <c r="S41" i="40"/>
  <c r="G4" i="45" s="1"/>
  <c r="T37" i="40"/>
  <c r="H4" i="46" s="1"/>
  <c r="M42" i="40"/>
  <c r="F6" i="47" s="1"/>
  <c r="H45" i="40"/>
  <c r="T41" i="40"/>
  <c r="H4" i="45" s="1"/>
  <c r="E45" i="40"/>
  <c r="M39" i="40"/>
  <c r="F8" i="62" s="1"/>
  <c r="N41" i="40"/>
  <c r="I6" i="45" s="1"/>
  <c r="O37" i="40"/>
  <c r="G6" i="46" s="1"/>
  <c r="P42" i="40"/>
  <c r="H6" i="47" s="1"/>
  <c r="Q39" i="40"/>
  <c r="F6" i="62" s="1"/>
  <c r="I45" i="40"/>
  <c r="N39" i="40"/>
  <c r="I8" i="62" s="1"/>
  <c r="O41" i="40"/>
  <c r="G6" i="45" s="1"/>
  <c r="P37" i="40"/>
  <c r="H6" i="46" s="1"/>
  <c r="P41" i="40"/>
  <c r="H6" i="45" s="1"/>
  <c r="R38" i="40"/>
  <c r="I4" i="48" s="1"/>
  <c r="O39" i="40"/>
  <c r="G6" i="42" s="1"/>
  <c r="P39" i="40"/>
  <c r="H6" i="42" s="1"/>
  <c r="T38" i="40"/>
  <c r="H4" i="48" s="1"/>
  <c r="Q42" i="40"/>
  <c r="F4" i="47" s="1"/>
  <c r="R41" i="40"/>
  <c r="I4" i="45" s="1"/>
  <c r="G45" i="40"/>
  <c r="T39" i="40"/>
  <c r="T42" i="40"/>
  <c r="H4" i="47" s="1"/>
  <c r="M37" i="40"/>
  <c r="F6" i="46" s="1"/>
  <c r="R39" i="40"/>
  <c r="S37" i="40"/>
  <c r="G4" i="46" s="1"/>
  <c r="N42" i="40"/>
  <c r="I6" i="47" s="1"/>
  <c r="R42" i="40"/>
  <c r="I4" i="47" s="1"/>
  <c r="O38" i="40"/>
  <c r="G6" i="48" s="1"/>
  <c r="T26" i="33"/>
  <c r="T39" i="44"/>
  <c r="T24" i="44"/>
  <c r="T38" i="44"/>
  <c r="T27" i="44"/>
  <c r="T32" i="44"/>
  <c r="T37" i="44"/>
  <c r="T26" i="44"/>
  <c r="T33" i="44"/>
  <c r="T23" i="44"/>
  <c r="T30" i="44"/>
  <c r="T25" i="44"/>
  <c r="T40" i="44"/>
  <c r="T35" i="44"/>
  <c r="T31" i="44"/>
  <c r="T29" i="44"/>
  <c r="T28" i="44"/>
  <c r="T22" i="44"/>
  <c r="T34" i="44"/>
  <c r="J4" i="44"/>
  <c r="J6" i="44" s="1"/>
  <c r="W38" i="44" s="1"/>
  <c r="K26" i="44"/>
  <c r="K32" i="44"/>
  <c r="K22" i="44"/>
  <c r="P33" i="44"/>
  <c r="Q33" i="44" s="1"/>
  <c r="P29" i="44"/>
  <c r="Q29" i="44" s="1"/>
  <c r="K23" i="44"/>
  <c r="K29" i="44"/>
  <c r="P25" i="44"/>
  <c r="Q25" i="44" s="1"/>
  <c r="P40" i="44"/>
  <c r="Q40" i="44" s="1"/>
  <c r="P32" i="44"/>
  <c r="Q32" i="44" s="1"/>
  <c r="K25" i="44"/>
  <c r="P31" i="44"/>
  <c r="Q31" i="44" s="1"/>
  <c r="P35" i="44"/>
  <c r="Q35" i="44" s="1"/>
  <c r="P24" i="44"/>
  <c r="Q24" i="44" s="1"/>
  <c r="P39" i="44"/>
  <c r="Q39" i="44" s="1"/>
  <c r="K40" i="44"/>
  <c r="K35" i="44"/>
  <c r="K31" i="44"/>
  <c r="P23" i="44"/>
  <c r="Q23" i="44" s="1"/>
  <c r="P38" i="44"/>
  <c r="Q38" i="44" s="1"/>
  <c r="K27" i="44"/>
  <c r="P30" i="44"/>
  <c r="Q30" i="44" s="1"/>
  <c r="K30" i="44"/>
  <c r="K37" i="44"/>
  <c r="P27" i="44"/>
  <c r="Q27" i="44" s="1"/>
  <c r="P37" i="44"/>
  <c r="Q37" i="44" s="1"/>
  <c r="K34" i="44"/>
  <c r="K33" i="44"/>
  <c r="K28" i="44"/>
  <c r="K39" i="44"/>
  <c r="K38" i="44"/>
  <c r="P26" i="44"/>
  <c r="Q26" i="44" s="1"/>
  <c r="K24" i="44"/>
  <c r="P34" i="44"/>
  <c r="Q34" i="44" s="1"/>
  <c r="P22" i="44"/>
  <c r="Q22" i="44" s="1"/>
  <c r="P28" i="44"/>
  <c r="Q28" i="44" s="1"/>
  <c r="T40" i="43"/>
  <c r="T25" i="43"/>
  <c r="T31" i="43"/>
  <c r="T24" i="43"/>
  <c r="T26" i="43"/>
  <c r="T32" i="43"/>
  <c r="T30" i="43"/>
  <c r="T37" i="43"/>
  <c r="T34" i="43"/>
  <c r="T38" i="43"/>
  <c r="T33" i="43"/>
  <c r="T22" i="43"/>
  <c r="T35" i="43"/>
  <c r="T23" i="43"/>
  <c r="T29" i="43"/>
  <c r="T39" i="43"/>
  <c r="T28" i="43"/>
  <c r="T27" i="43"/>
  <c r="J4" i="43"/>
  <c r="K29" i="43"/>
  <c r="P24" i="43"/>
  <c r="Q24" i="43" s="1"/>
  <c r="P26" i="43"/>
  <c r="Q26" i="43" s="1"/>
  <c r="P32" i="43"/>
  <c r="Q32" i="43" s="1"/>
  <c r="K25" i="43"/>
  <c r="K24" i="43"/>
  <c r="K27" i="43"/>
  <c r="P40" i="43"/>
  <c r="Q40" i="43" s="1"/>
  <c r="P25" i="43"/>
  <c r="Q25" i="43" s="1"/>
  <c r="P31" i="43"/>
  <c r="Q31" i="43" s="1"/>
  <c r="K31" i="43"/>
  <c r="K38" i="43"/>
  <c r="K28" i="43"/>
  <c r="P38" i="43"/>
  <c r="Q38" i="43" s="1"/>
  <c r="K30" i="43"/>
  <c r="K40" i="43"/>
  <c r="K37" i="43"/>
  <c r="P39" i="43"/>
  <c r="Q39" i="43" s="1"/>
  <c r="P30" i="43"/>
  <c r="Q30" i="43" s="1"/>
  <c r="P37" i="43"/>
  <c r="Q37" i="43" s="1"/>
  <c r="K26" i="43"/>
  <c r="P35" i="43"/>
  <c r="Q35" i="43" s="1"/>
  <c r="K23" i="43"/>
  <c r="K35" i="43"/>
  <c r="K32" i="43"/>
  <c r="P29" i="43"/>
  <c r="Q29" i="43" s="1"/>
  <c r="P33" i="43"/>
  <c r="Q33" i="43" s="1"/>
  <c r="P22" i="43"/>
  <c r="Q22" i="43" s="1"/>
  <c r="P23" i="43"/>
  <c r="Q23" i="43" s="1"/>
  <c r="P34" i="43"/>
  <c r="Q34" i="43" s="1"/>
  <c r="P27" i="43"/>
  <c r="Q27" i="43" s="1"/>
  <c r="K34" i="43"/>
  <c r="K39" i="43"/>
  <c r="P28" i="43"/>
  <c r="Q28" i="43" s="1"/>
  <c r="K22" i="43"/>
  <c r="K33" i="43"/>
  <c r="J4" i="33"/>
  <c r="J6" i="33" s="1"/>
  <c r="K26" i="33"/>
  <c r="P26" i="33"/>
  <c r="B48" i="33"/>
  <c r="C48" i="33"/>
  <c r="D48" i="33"/>
  <c r="I48" i="33"/>
  <c r="B49" i="33"/>
  <c r="C49" i="33"/>
  <c r="D49" i="33"/>
  <c r="I49" i="33"/>
  <c r="B50" i="33"/>
  <c r="C50" i="33"/>
  <c r="D50" i="33"/>
  <c r="E50" i="33"/>
  <c r="I50" i="33" s="1"/>
  <c r="F35" i="34"/>
  <c r="E35" i="34"/>
  <c r="F34" i="34"/>
  <c r="E34" i="34"/>
  <c r="B128" i="33"/>
  <c r="C128" i="33"/>
  <c r="D128" i="33"/>
  <c r="E128" i="33"/>
  <c r="I128" i="33" s="1"/>
  <c r="C137" i="33"/>
  <c r="D137" i="33"/>
  <c r="E137" i="33"/>
  <c r="I137" i="33" s="1"/>
  <c r="B137" i="33"/>
  <c r="F118" i="34"/>
  <c r="E118" i="34"/>
  <c r="K119" i="44" l="1"/>
  <c r="K77" i="48"/>
  <c r="K102" i="48"/>
  <c r="K103" i="48"/>
  <c r="K49" i="48"/>
  <c r="K115" i="48"/>
  <c r="K129" i="48"/>
  <c r="P124" i="48"/>
  <c r="Q124" i="48" s="1"/>
  <c r="P109" i="48"/>
  <c r="Q109" i="48" s="1"/>
  <c r="K84" i="48"/>
  <c r="P14" i="48"/>
  <c r="Q14" i="48" s="1"/>
  <c r="P120" i="48"/>
  <c r="Q120" i="48" s="1"/>
  <c r="K113" i="48"/>
  <c r="K80" i="48"/>
  <c r="K108" i="48"/>
  <c r="K114" i="48"/>
  <c r="P113" i="48"/>
  <c r="Q113" i="48" s="1"/>
  <c r="K82" i="48"/>
  <c r="K14" i="48"/>
  <c r="J5" i="33"/>
  <c r="K87" i="48"/>
  <c r="K128" i="48"/>
  <c r="K125" i="48"/>
  <c r="K52" i="48"/>
  <c r="P80" i="48"/>
  <c r="Q80" i="48" s="1"/>
  <c r="P85" i="48"/>
  <c r="Q85" i="48" s="1"/>
  <c r="K54" i="48"/>
  <c r="K12" i="48"/>
  <c r="K130" i="48"/>
  <c r="K96" i="48"/>
  <c r="K79" i="48"/>
  <c r="K77" i="44"/>
  <c r="K120" i="44"/>
  <c r="P17" i="44"/>
  <c r="Q17" i="44" s="1"/>
  <c r="K94" i="44"/>
  <c r="P60" i="44"/>
  <c r="Q60" i="44" s="1"/>
  <c r="K52" i="44"/>
  <c r="P18" i="44"/>
  <c r="Q18" i="44" s="1"/>
  <c r="P83" i="44"/>
  <c r="Q83" i="44" s="1"/>
  <c r="K126" i="44"/>
  <c r="P58" i="44"/>
  <c r="Q58" i="44" s="1"/>
  <c r="P87" i="44"/>
  <c r="Q87" i="44" s="1"/>
  <c r="P89" i="44"/>
  <c r="Q89" i="44" s="1"/>
  <c r="P129" i="44"/>
  <c r="Q129" i="44" s="1"/>
  <c r="K73" i="44"/>
  <c r="P135" i="44"/>
  <c r="Q135" i="44" s="1"/>
  <c r="K98" i="44"/>
  <c r="P131" i="44"/>
  <c r="Q131" i="44" s="1"/>
  <c r="K132" i="44"/>
  <c r="K71" i="44"/>
  <c r="P52" i="44"/>
  <c r="Q52" i="44" s="1"/>
  <c r="P123" i="44"/>
  <c r="Q123" i="44" s="1"/>
  <c r="K63" i="44"/>
  <c r="K111" i="44"/>
  <c r="K133" i="44"/>
  <c r="P43" i="44"/>
  <c r="Q43" i="44" s="1"/>
  <c r="K121" i="43"/>
  <c r="K68" i="43"/>
  <c r="K48" i="43"/>
  <c r="K42" i="43"/>
  <c r="K96" i="43"/>
  <c r="K55" i="43"/>
  <c r="K73" i="43"/>
  <c r="K17" i="43"/>
  <c r="K123" i="43"/>
  <c r="K53" i="43"/>
  <c r="K134" i="43"/>
  <c r="K62" i="43"/>
  <c r="K91" i="43"/>
  <c r="K72" i="43"/>
  <c r="K71" i="43"/>
  <c r="K12" i="43"/>
  <c r="K112" i="43"/>
  <c r="K99" i="43"/>
  <c r="K94" i="43"/>
  <c r="K44" i="43"/>
  <c r="K117" i="43"/>
  <c r="K59" i="43"/>
  <c r="K92" i="43"/>
  <c r="K104" i="43"/>
  <c r="P126" i="44"/>
  <c r="Q126" i="44" s="1"/>
  <c r="K122" i="44"/>
  <c r="K12" i="44"/>
  <c r="P128" i="44"/>
  <c r="Q128" i="44" s="1"/>
  <c r="P59" i="44"/>
  <c r="Q59" i="44" s="1"/>
  <c r="P42" i="44"/>
  <c r="Q42" i="44" s="1"/>
  <c r="K86" i="43"/>
  <c r="K131" i="43"/>
  <c r="K69" i="43"/>
  <c r="K130" i="43"/>
  <c r="K78" i="43"/>
  <c r="K85" i="43"/>
  <c r="K130" i="44"/>
  <c r="K108" i="43"/>
  <c r="K43" i="43"/>
  <c r="K129" i="43"/>
  <c r="K65" i="43"/>
  <c r="K117" i="44"/>
  <c r="K64" i="44"/>
  <c r="K86" i="44"/>
  <c r="P93" i="44"/>
  <c r="Q93" i="44" s="1"/>
  <c r="K46" i="44"/>
  <c r="K91" i="44"/>
  <c r="K113" i="43"/>
  <c r="K98" i="43"/>
  <c r="K45" i="43"/>
  <c r="K122" i="43"/>
  <c r="K124" i="43"/>
  <c r="K125" i="43"/>
  <c r="P124" i="44"/>
  <c r="Q124" i="44" s="1"/>
  <c r="K89" i="44"/>
  <c r="P132" i="44"/>
  <c r="Q132" i="44" s="1"/>
  <c r="K129" i="44"/>
  <c r="K68" i="44"/>
  <c r="K87" i="43"/>
  <c r="K133" i="43"/>
  <c r="K19" i="43"/>
  <c r="K52" i="43"/>
  <c r="K63" i="43"/>
  <c r="K57" i="43"/>
  <c r="K119" i="43"/>
  <c r="K113" i="44"/>
  <c r="K60" i="43"/>
  <c r="K75" i="43"/>
  <c r="K20" i="43"/>
  <c r="K131" i="48"/>
  <c r="P82" i="48"/>
  <c r="Q82" i="48" s="1"/>
  <c r="P45" i="48"/>
  <c r="Q45" i="48" s="1"/>
  <c r="K64" i="48"/>
  <c r="K112" i="48"/>
  <c r="P115" i="48"/>
  <c r="Q115" i="48" s="1"/>
  <c r="K55" i="48"/>
  <c r="P110" i="48"/>
  <c r="Q110" i="48" s="1"/>
  <c r="K83" i="48"/>
  <c r="K59" i="48"/>
  <c r="K46" i="48"/>
  <c r="K118" i="48"/>
  <c r="K117" i="48"/>
  <c r="P57" i="48"/>
  <c r="Q57" i="48" s="1"/>
  <c r="K92" i="48"/>
  <c r="K20" i="48"/>
  <c r="K99" i="48"/>
  <c r="K86" i="48"/>
  <c r="K111" i="48"/>
  <c r="K72" i="48"/>
  <c r="K81" i="48"/>
  <c r="P50" i="48"/>
  <c r="Q50" i="48" s="1"/>
  <c r="K85" i="48"/>
  <c r="K74" i="48"/>
  <c r="K135" i="48"/>
  <c r="K19" i="48"/>
  <c r="K47" i="48"/>
  <c r="K16" i="48"/>
  <c r="K75" i="48"/>
  <c r="K91" i="48"/>
  <c r="P132" i="48"/>
  <c r="Q132" i="48" s="1"/>
  <c r="K116" i="48"/>
  <c r="K89" i="48"/>
  <c r="K101" i="48"/>
  <c r="K44" i="48"/>
  <c r="P121" i="48"/>
  <c r="Q121" i="48" s="1"/>
  <c r="K15" i="48"/>
  <c r="P131" i="48"/>
  <c r="Q131" i="48" s="1"/>
  <c r="K45" i="48"/>
  <c r="P134" i="48"/>
  <c r="Q134" i="48" s="1"/>
  <c r="K95" i="48"/>
  <c r="K70" i="48"/>
  <c r="K119" i="48"/>
  <c r="K132" i="48"/>
  <c r="P119" i="48"/>
  <c r="Q119" i="48" s="1"/>
  <c r="K120" i="48"/>
  <c r="K107" i="48"/>
  <c r="K105" i="48"/>
  <c r="K18" i="48"/>
  <c r="K98" i="48"/>
  <c r="K137" i="48"/>
  <c r="K53" i="48"/>
  <c r="P93" i="48"/>
  <c r="Q93" i="48" s="1"/>
  <c r="K73" i="48"/>
  <c r="K90" i="48"/>
  <c r="K121" i="48"/>
  <c r="K126" i="48"/>
  <c r="K63" i="48"/>
  <c r="K100" i="48"/>
  <c r="K76" i="48"/>
  <c r="P106" i="48"/>
  <c r="Q106" i="48" s="1"/>
  <c r="K42" i="48"/>
  <c r="K134" i="48"/>
  <c r="K68" i="48"/>
  <c r="P86" i="48"/>
  <c r="Q86" i="48" s="1"/>
  <c r="K93" i="48"/>
  <c r="K94" i="48"/>
  <c r="K123" i="48"/>
  <c r="P18" i="48"/>
  <c r="Q18" i="48" s="1"/>
  <c r="K118" i="44"/>
  <c r="K93" i="44"/>
  <c r="K82" i="44"/>
  <c r="K101" i="43"/>
  <c r="K74" i="43"/>
  <c r="K114" i="43"/>
  <c r="K46" i="43"/>
  <c r="K18" i="43"/>
  <c r="K102" i="43"/>
  <c r="K126" i="43"/>
  <c r="K137" i="43"/>
  <c r="K77" i="43"/>
  <c r="K107" i="43"/>
  <c r="P136" i="48"/>
  <c r="Q136" i="48" s="1"/>
  <c r="K109" i="48"/>
  <c r="K136" i="48"/>
  <c r="K56" i="48"/>
  <c r="P19" i="48"/>
  <c r="Q19" i="48" s="1"/>
  <c r="P44" i="48"/>
  <c r="Q44" i="48" s="1"/>
  <c r="P122" i="44"/>
  <c r="Q122" i="44" s="1"/>
  <c r="P137" i="44"/>
  <c r="Q137" i="44" s="1"/>
  <c r="K136" i="44"/>
  <c r="K84" i="44"/>
  <c r="K48" i="44"/>
  <c r="P14" i="44"/>
  <c r="Q14" i="44" s="1"/>
  <c r="K81" i="44"/>
  <c r="K49" i="43"/>
  <c r="K103" i="43"/>
  <c r="K83" i="43"/>
  <c r="K66" i="43"/>
  <c r="K80" i="43"/>
  <c r="K118" i="43"/>
  <c r="K132" i="43"/>
  <c r="K76" i="43"/>
  <c r="K16" i="43"/>
  <c r="K82" i="43"/>
  <c r="K78" i="48"/>
  <c r="K60" i="48"/>
  <c r="K104" i="48"/>
  <c r="K62" i="48"/>
  <c r="P43" i="48"/>
  <c r="Q43" i="48" s="1"/>
  <c r="K71" i="48"/>
  <c r="K110" i="48"/>
  <c r="P136" i="44"/>
  <c r="Q136" i="44" s="1"/>
  <c r="P55" i="44"/>
  <c r="Q55" i="44" s="1"/>
  <c r="K76" i="44"/>
  <c r="K123" i="44"/>
  <c r="K108" i="44"/>
  <c r="K60" i="44"/>
  <c r="K20" i="44"/>
  <c r="K54" i="43"/>
  <c r="K81" i="43"/>
  <c r="K136" i="43"/>
  <c r="K110" i="43"/>
  <c r="K58" i="43"/>
  <c r="K47" i="43"/>
  <c r="K14" i="43"/>
  <c r="K135" i="43"/>
  <c r="K70" i="43"/>
  <c r="P54" i="44"/>
  <c r="Q54" i="44" s="1"/>
  <c r="K45" i="44"/>
  <c r="K134" i="44"/>
  <c r="P112" i="44"/>
  <c r="Q112" i="44" s="1"/>
  <c r="K96" i="44"/>
  <c r="P113" i="44"/>
  <c r="Q113" i="44" s="1"/>
  <c r="K78" i="44"/>
  <c r="P109" i="44"/>
  <c r="Q109" i="44" s="1"/>
  <c r="K99" i="44"/>
  <c r="K56" i="44"/>
  <c r="P45" i="44"/>
  <c r="Q45" i="44" s="1"/>
  <c r="P85" i="44"/>
  <c r="Q85" i="44" s="1"/>
  <c r="K107" i="44"/>
  <c r="K50" i="44"/>
  <c r="P115" i="44"/>
  <c r="Q115" i="44" s="1"/>
  <c r="K102" i="44"/>
  <c r="K80" i="44"/>
  <c r="P65" i="44"/>
  <c r="Q65" i="44" s="1"/>
  <c r="K137" i="44"/>
  <c r="K44" i="44"/>
  <c r="P64" i="44"/>
  <c r="Q64" i="44" s="1"/>
  <c r="K100" i="44"/>
  <c r="K19" i="44"/>
  <c r="K72" i="44"/>
  <c r="P50" i="44"/>
  <c r="Q50" i="44" s="1"/>
  <c r="P82" i="44"/>
  <c r="Q82" i="44" s="1"/>
  <c r="P62" i="44"/>
  <c r="Q62" i="44" s="1"/>
  <c r="P49" i="44"/>
  <c r="Q49" i="44" s="1"/>
  <c r="P12" i="44"/>
  <c r="Q12" i="44" s="1"/>
  <c r="P80" i="44"/>
  <c r="Q80" i="44" s="1"/>
  <c r="K110" i="44"/>
  <c r="P133" i="44"/>
  <c r="Q133" i="44" s="1"/>
  <c r="K92" i="44"/>
  <c r="P46" i="44"/>
  <c r="Q46" i="44" s="1"/>
  <c r="P130" i="44"/>
  <c r="Q130" i="44" s="1"/>
  <c r="P81" i="44"/>
  <c r="Q81" i="44" s="1"/>
  <c r="P66" i="44"/>
  <c r="Q66" i="44" s="1"/>
  <c r="P16" i="44"/>
  <c r="Q16" i="44" s="1"/>
  <c r="P120" i="44"/>
  <c r="Q120" i="44" s="1"/>
  <c r="K69" i="44"/>
  <c r="P106" i="44"/>
  <c r="Q106" i="44" s="1"/>
  <c r="K104" i="44"/>
  <c r="K85" i="44"/>
  <c r="P15" i="44"/>
  <c r="Q15" i="44" s="1"/>
  <c r="K135" i="44"/>
  <c r="K75" i="44"/>
  <c r="K103" i="44"/>
  <c r="G7" i="62"/>
  <c r="U18" i="62" s="1"/>
  <c r="P111" i="44"/>
  <c r="Q111" i="44" s="1"/>
  <c r="P19" i="44"/>
  <c r="Q19" i="44" s="1"/>
  <c r="K17" i="44"/>
  <c r="K79" i="44"/>
  <c r="P57" i="44"/>
  <c r="Q57" i="44" s="1"/>
  <c r="P118" i="44"/>
  <c r="Q118" i="44" s="1"/>
  <c r="P125" i="44"/>
  <c r="Q125" i="44" s="1"/>
  <c r="K74" i="44"/>
  <c r="K14" i="44"/>
  <c r="P134" i="44"/>
  <c r="Q134" i="44" s="1"/>
  <c r="P107" i="44"/>
  <c r="Q107" i="44" s="1"/>
  <c r="K47" i="44"/>
  <c r="K15" i="44"/>
  <c r="P117" i="44"/>
  <c r="Q117" i="44" s="1"/>
  <c r="K58" i="44"/>
  <c r="P90" i="44"/>
  <c r="Q90" i="44" s="1"/>
  <c r="K101" i="44"/>
  <c r="K115" i="44"/>
  <c r="K66" i="44"/>
  <c r="P86" i="44"/>
  <c r="Q86" i="44" s="1"/>
  <c r="K87" i="44"/>
  <c r="K128" i="44"/>
  <c r="I5" i="42"/>
  <c r="K59" i="44"/>
  <c r="K97" i="44"/>
  <c r="K42" i="44"/>
  <c r="K124" i="44"/>
  <c r="K49" i="44"/>
  <c r="K121" i="44"/>
  <c r="P79" i="44"/>
  <c r="Q79" i="44" s="1"/>
  <c r="K114" i="44"/>
  <c r="K57" i="44"/>
  <c r="P53" i="44"/>
  <c r="Q53" i="44" s="1"/>
  <c r="K54" i="44"/>
  <c r="K62" i="44"/>
  <c r="K70" i="44"/>
  <c r="P91" i="44"/>
  <c r="Q91" i="44" s="1"/>
  <c r="P92" i="44"/>
  <c r="Q92" i="44" s="1"/>
  <c r="P63" i="44"/>
  <c r="Q63" i="44" s="1"/>
  <c r="K105" i="44"/>
  <c r="P48" i="44"/>
  <c r="Q48" i="44" s="1"/>
  <c r="K112" i="44"/>
  <c r="P84" i="44"/>
  <c r="Q84" i="44" s="1"/>
  <c r="P116" i="44"/>
  <c r="Q116" i="44" s="1"/>
  <c r="K16" i="44"/>
  <c r="P44" i="44"/>
  <c r="Q44" i="44" s="1"/>
  <c r="K55" i="44"/>
  <c r="P119" i="44"/>
  <c r="Q119" i="44" s="1"/>
  <c r="K90" i="44"/>
  <c r="K18" i="44"/>
  <c r="K43" i="44"/>
  <c r="P114" i="44"/>
  <c r="Q114" i="44" s="1"/>
  <c r="P78" i="44"/>
  <c r="Q78" i="44" s="1"/>
  <c r="K106" i="44"/>
  <c r="K83" i="44"/>
  <c r="K53" i="44"/>
  <c r="P121" i="44"/>
  <c r="Q121" i="44" s="1"/>
  <c r="K65" i="44"/>
  <c r="P110" i="44"/>
  <c r="Q110" i="44" s="1"/>
  <c r="P108" i="44"/>
  <c r="Q108" i="44" s="1"/>
  <c r="K95" i="44"/>
  <c r="P56" i="44"/>
  <c r="Q56" i="44" s="1"/>
  <c r="K116" i="44"/>
  <c r="P20" i="44"/>
  <c r="Q20" i="44" s="1"/>
  <c r="K109" i="44"/>
  <c r="P47" i="44"/>
  <c r="Q47" i="44" s="1"/>
  <c r="P57" i="43"/>
  <c r="Q57" i="43" s="1"/>
  <c r="K50" i="43"/>
  <c r="K116" i="43"/>
  <c r="K95" i="43"/>
  <c r="K100" i="43"/>
  <c r="K89" i="43"/>
  <c r="K64" i="43"/>
  <c r="K79" i="43"/>
  <c r="T56" i="47"/>
  <c r="K128" i="43"/>
  <c r="K111" i="43"/>
  <c r="K84" i="43"/>
  <c r="K109" i="43"/>
  <c r="P16" i="43"/>
  <c r="Q16" i="43" s="1"/>
  <c r="K106" i="43"/>
  <c r="K90" i="43"/>
  <c r="K115" i="43"/>
  <c r="K93" i="43"/>
  <c r="K56" i="43"/>
  <c r="K15" i="43"/>
  <c r="K105" i="43"/>
  <c r="P16" i="48"/>
  <c r="Q16" i="48" s="1"/>
  <c r="P17" i="48"/>
  <c r="Q17" i="48" s="1"/>
  <c r="P114" i="48"/>
  <c r="Q114" i="48" s="1"/>
  <c r="P64" i="48"/>
  <c r="Q64" i="48" s="1"/>
  <c r="P129" i="48"/>
  <c r="Q129" i="48" s="1"/>
  <c r="P12" i="48"/>
  <c r="Q12" i="48" s="1"/>
  <c r="P107" i="48"/>
  <c r="Q107" i="48" s="1"/>
  <c r="P123" i="48"/>
  <c r="Q123" i="48" s="1"/>
  <c r="P60" i="48"/>
  <c r="Q60" i="48" s="1"/>
  <c r="P91" i="48"/>
  <c r="Q91" i="48" s="1"/>
  <c r="P42" i="48"/>
  <c r="Q42" i="48" s="1"/>
  <c r="T83" i="45"/>
  <c r="G7" i="42"/>
  <c r="T45" i="42" s="1"/>
  <c r="P89" i="48"/>
  <c r="Q89" i="48" s="1"/>
  <c r="P15" i="48"/>
  <c r="Q15" i="48" s="1"/>
  <c r="P135" i="48"/>
  <c r="Q135" i="48" s="1"/>
  <c r="P137" i="48"/>
  <c r="Q137" i="48" s="1"/>
  <c r="P122" i="48"/>
  <c r="Q122" i="48" s="1"/>
  <c r="P55" i="48"/>
  <c r="Q55" i="48" s="1"/>
  <c r="P49" i="48"/>
  <c r="Q49" i="48" s="1"/>
  <c r="P126" i="48"/>
  <c r="Q126" i="48" s="1"/>
  <c r="P59" i="48"/>
  <c r="Q59" i="48" s="1"/>
  <c r="P128" i="48"/>
  <c r="Q128" i="48" s="1"/>
  <c r="P20" i="48"/>
  <c r="Q20" i="48" s="1"/>
  <c r="P92" i="48"/>
  <c r="Q92" i="48" s="1"/>
  <c r="P46" i="48"/>
  <c r="Q46" i="48" s="1"/>
  <c r="P53" i="48"/>
  <c r="Q53" i="48" s="1"/>
  <c r="P118" i="48"/>
  <c r="Q118" i="48" s="1"/>
  <c r="P63" i="48"/>
  <c r="Q63" i="48" s="1"/>
  <c r="P130" i="48"/>
  <c r="Q130" i="48" s="1"/>
  <c r="P116" i="48"/>
  <c r="Q116" i="48" s="1"/>
  <c r="P79" i="48"/>
  <c r="Q79" i="48" s="1"/>
  <c r="P65" i="48"/>
  <c r="Q65" i="48" s="1"/>
  <c r="P81" i="48"/>
  <c r="Q81" i="48" s="1"/>
  <c r="P125" i="48"/>
  <c r="Q125" i="48" s="1"/>
  <c r="P66" i="48"/>
  <c r="Q66" i="48" s="1"/>
  <c r="P90" i="48"/>
  <c r="Q90" i="48" s="1"/>
  <c r="P133" i="48"/>
  <c r="Q133" i="48" s="1"/>
  <c r="P84" i="48"/>
  <c r="Q84" i="48" s="1"/>
  <c r="P47" i="48"/>
  <c r="Q47" i="48" s="1"/>
  <c r="H5" i="42"/>
  <c r="J5" i="42" s="1"/>
  <c r="P58" i="48"/>
  <c r="Q58" i="48" s="1"/>
  <c r="P54" i="48"/>
  <c r="Q54" i="48" s="1"/>
  <c r="P83" i="48"/>
  <c r="Q83" i="48" s="1"/>
  <c r="P108" i="48"/>
  <c r="Q108" i="48" s="1"/>
  <c r="P62" i="48"/>
  <c r="Q62" i="48" s="1"/>
  <c r="P56" i="48"/>
  <c r="Q56" i="48" s="1"/>
  <c r="P112" i="48"/>
  <c r="Q112" i="48" s="1"/>
  <c r="P111" i="48"/>
  <c r="Q111" i="48" s="1"/>
  <c r="P48" i="48"/>
  <c r="Q48" i="48" s="1"/>
  <c r="J7" i="33"/>
  <c r="W48" i="33" s="1"/>
  <c r="F7" i="42"/>
  <c r="K12" i="45"/>
  <c r="T128" i="45"/>
  <c r="K86" i="45"/>
  <c r="T59" i="45"/>
  <c r="T112" i="47"/>
  <c r="K94" i="45"/>
  <c r="K63" i="45"/>
  <c r="K84" i="45"/>
  <c r="T44" i="48"/>
  <c r="T60" i="43"/>
  <c r="K134" i="45"/>
  <c r="K136" i="45"/>
  <c r="P43" i="45"/>
  <c r="Q43" i="45" s="1"/>
  <c r="T111" i="47"/>
  <c r="K123" i="45"/>
  <c r="K117" i="45"/>
  <c r="K73" i="45"/>
  <c r="P56" i="45"/>
  <c r="Q56" i="45" s="1"/>
  <c r="T15" i="45"/>
  <c r="K18" i="45"/>
  <c r="K62" i="45"/>
  <c r="T114" i="48"/>
  <c r="T115" i="48"/>
  <c r="T121" i="48"/>
  <c r="T130" i="43"/>
  <c r="T106" i="45"/>
  <c r="T62" i="43"/>
  <c r="T118" i="45"/>
  <c r="T91" i="48"/>
  <c r="T17" i="48"/>
  <c r="T50" i="48"/>
  <c r="T115" i="43"/>
  <c r="T66" i="43"/>
  <c r="T18" i="48"/>
  <c r="T113" i="48"/>
  <c r="T93" i="43"/>
  <c r="T128" i="43"/>
  <c r="T58" i="43"/>
  <c r="T131" i="48"/>
  <c r="T124" i="48"/>
  <c r="T111" i="43"/>
  <c r="T83" i="43"/>
  <c r="T108" i="43"/>
  <c r="T57" i="48"/>
  <c r="T78" i="48"/>
  <c r="T48" i="43"/>
  <c r="T81" i="43"/>
  <c r="T136" i="43"/>
  <c r="T117" i="48"/>
  <c r="T55" i="48"/>
  <c r="T92" i="43"/>
  <c r="T124" i="43"/>
  <c r="T109" i="48"/>
  <c r="T53" i="48"/>
  <c r="T84" i="43"/>
  <c r="T119" i="43"/>
  <c r="T12" i="46"/>
  <c r="T90" i="48"/>
  <c r="T85" i="48"/>
  <c r="T58" i="48"/>
  <c r="T132" i="43"/>
  <c r="T64" i="43"/>
  <c r="T46" i="45"/>
  <c r="K42" i="45"/>
  <c r="K121" i="45"/>
  <c r="K85" i="45"/>
  <c r="K126" i="45"/>
  <c r="K103" i="45"/>
  <c r="K105" i="45"/>
  <c r="K64" i="45"/>
  <c r="K46" i="45"/>
  <c r="P78" i="45"/>
  <c r="Q78" i="45" s="1"/>
  <c r="P137" i="45"/>
  <c r="Q137" i="45" s="1"/>
  <c r="K17" i="45"/>
  <c r="T42" i="48"/>
  <c r="T92" i="48"/>
  <c r="T118" i="48"/>
  <c r="T45" i="48"/>
  <c r="T122" i="48"/>
  <c r="T46" i="48"/>
  <c r="T106" i="48"/>
  <c r="T137" i="48"/>
  <c r="T14" i="48"/>
  <c r="T116" i="43"/>
  <c r="T42" i="43"/>
  <c r="T14" i="43"/>
  <c r="T45" i="43"/>
  <c r="T43" i="43"/>
  <c r="T46" i="43"/>
  <c r="T123" i="43"/>
  <c r="T17" i="43"/>
  <c r="T82" i="43"/>
  <c r="T55" i="43"/>
  <c r="K129" i="45"/>
  <c r="K75" i="45"/>
  <c r="K96" i="45"/>
  <c r="K69" i="45"/>
  <c r="P18" i="45"/>
  <c r="Q18" i="45" s="1"/>
  <c r="K110" i="45"/>
  <c r="K120" i="45"/>
  <c r="K74" i="45"/>
  <c r="K97" i="45"/>
  <c r="K135" i="45"/>
  <c r="K48" i="45"/>
  <c r="P58" i="45"/>
  <c r="Q58" i="45" s="1"/>
  <c r="K49" i="45"/>
  <c r="K114" i="45"/>
  <c r="T131" i="45"/>
  <c r="K108" i="45"/>
  <c r="T79" i="48"/>
  <c r="T43" i="48"/>
  <c r="T60" i="48"/>
  <c r="T119" i="48"/>
  <c r="T135" i="48"/>
  <c r="T15" i="48"/>
  <c r="T82" i="48"/>
  <c r="T63" i="48"/>
  <c r="T59" i="48"/>
  <c r="T49" i="48"/>
  <c r="T121" i="43"/>
  <c r="T87" i="43"/>
  <c r="T109" i="43"/>
  <c r="T16" i="43"/>
  <c r="T49" i="43"/>
  <c r="T78" i="43"/>
  <c r="T19" i="43"/>
  <c r="T85" i="43"/>
  <c r="T59" i="43"/>
  <c r="T134" i="43"/>
  <c r="K60" i="45"/>
  <c r="K102" i="45"/>
  <c r="K19" i="45"/>
  <c r="K68" i="45"/>
  <c r="K16" i="45"/>
  <c r="K104" i="45"/>
  <c r="K109" i="45"/>
  <c r="K137" i="45"/>
  <c r="K106" i="45"/>
  <c r="K50" i="45"/>
  <c r="K56" i="45"/>
  <c r="K79" i="45"/>
  <c r="K54" i="45"/>
  <c r="T133" i="48"/>
  <c r="T128" i="48"/>
  <c r="T64" i="48"/>
  <c r="T48" i="48"/>
  <c r="T120" i="48"/>
  <c r="T80" i="48"/>
  <c r="T56" i="48"/>
  <c r="T132" i="48"/>
  <c r="T89" i="48"/>
  <c r="T126" i="48"/>
  <c r="T112" i="43"/>
  <c r="T114" i="43"/>
  <c r="T65" i="43"/>
  <c r="T89" i="43"/>
  <c r="T129" i="43"/>
  <c r="T122" i="43"/>
  <c r="T91" i="43"/>
  <c r="T20" i="43"/>
  <c r="T107" i="43"/>
  <c r="T137" i="43"/>
  <c r="K15" i="45"/>
  <c r="K92" i="45"/>
  <c r="K53" i="45"/>
  <c r="K115" i="45"/>
  <c r="K128" i="45"/>
  <c r="K91" i="45"/>
  <c r="P17" i="45"/>
  <c r="Q17" i="45" s="1"/>
  <c r="K95" i="45"/>
  <c r="K89" i="45"/>
  <c r="K122" i="45"/>
  <c r="P129" i="45"/>
  <c r="Q129" i="45" s="1"/>
  <c r="K83" i="45"/>
  <c r="K44" i="45"/>
  <c r="T12" i="48"/>
  <c r="T84" i="48"/>
  <c r="T110" i="48"/>
  <c r="T116" i="48"/>
  <c r="T66" i="48"/>
  <c r="T129" i="48"/>
  <c r="T87" i="48"/>
  <c r="T93" i="48"/>
  <c r="T52" i="48"/>
  <c r="T47" i="48"/>
  <c r="T53" i="43"/>
  <c r="T15" i="43"/>
  <c r="T56" i="43"/>
  <c r="T126" i="43"/>
  <c r="T54" i="43"/>
  <c r="T106" i="43"/>
  <c r="T117" i="43"/>
  <c r="T80" i="43"/>
  <c r="T110" i="43"/>
  <c r="K100" i="45"/>
  <c r="K59" i="45"/>
  <c r="K130" i="45"/>
  <c r="K124" i="45"/>
  <c r="K43" i="45"/>
  <c r="K20" i="45"/>
  <c r="K55" i="45"/>
  <c r="K119" i="45"/>
  <c r="K112" i="45"/>
  <c r="K131" i="45"/>
  <c r="K45" i="45"/>
  <c r="K78" i="45"/>
  <c r="P89" i="45"/>
  <c r="Q89" i="45" s="1"/>
  <c r="T58" i="45"/>
  <c r="K125" i="45"/>
  <c r="K81" i="45"/>
  <c r="T107" i="46"/>
  <c r="T111" i="48"/>
  <c r="T136" i="48"/>
  <c r="T81" i="48"/>
  <c r="T62" i="48"/>
  <c r="T123" i="48"/>
  <c r="T108" i="48"/>
  <c r="T83" i="48"/>
  <c r="T107" i="48"/>
  <c r="T125" i="48"/>
  <c r="T65" i="48"/>
  <c r="T57" i="43"/>
  <c r="T90" i="43"/>
  <c r="T12" i="43"/>
  <c r="T63" i="43"/>
  <c r="T86" i="43"/>
  <c r="T50" i="43"/>
  <c r="T125" i="43"/>
  <c r="T135" i="43"/>
  <c r="T133" i="43"/>
  <c r="K76" i="45"/>
  <c r="K133" i="45"/>
  <c r="K72" i="45"/>
  <c r="K107" i="45"/>
  <c r="K52" i="45"/>
  <c r="K118" i="45"/>
  <c r="K98" i="45"/>
  <c r="K66" i="45"/>
  <c r="K58" i="45"/>
  <c r="K47" i="45"/>
  <c r="K57" i="45"/>
  <c r="K14" i="45"/>
  <c r="K70" i="45"/>
  <c r="T110" i="45"/>
  <c r="J5" i="47"/>
  <c r="T112" i="48"/>
  <c r="T54" i="48"/>
  <c r="T16" i="48"/>
  <c r="T19" i="48"/>
  <c r="T134" i="48"/>
  <c r="T130" i="48"/>
  <c r="T86" i="48"/>
  <c r="T20" i="48"/>
  <c r="T52" i="43"/>
  <c r="T118" i="43"/>
  <c r="T79" i="43"/>
  <c r="T47" i="43"/>
  <c r="T113" i="43"/>
  <c r="T18" i="43"/>
  <c r="T131" i="43"/>
  <c r="T44" i="43"/>
  <c r="T120" i="43"/>
  <c r="K82" i="45"/>
  <c r="K99" i="45"/>
  <c r="K77" i="45"/>
  <c r="K132" i="45"/>
  <c r="K80" i="45"/>
  <c r="K93" i="45"/>
  <c r="K116" i="45"/>
  <c r="K113" i="45"/>
  <c r="K90" i="45"/>
  <c r="K111" i="45"/>
  <c r="K71" i="45"/>
  <c r="K87" i="45"/>
  <c r="K101" i="45"/>
  <c r="T63" i="47"/>
  <c r="T80" i="47"/>
  <c r="T43" i="47"/>
  <c r="T45" i="47"/>
  <c r="J5" i="44"/>
  <c r="J7" i="44" s="1"/>
  <c r="W137" i="44" s="1"/>
  <c r="T48" i="47"/>
  <c r="T89" i="47"/>
  <c r="T87" i="47"/>
  <c r="T92" i="47"/>
  <c r="T114" i="47"/>
  <c r="T62" i="47"/>
  <c r="T107" i="47"/>
  <c r="T119" i="47"/>
  <c r="T42" i="47"/>
  <c r="T44" i="47"/>
  <c r="T122" i="47"/>
  <c r="J5" i="48"/>
  <c r="J7" i="48" s="1"/>
  <c r="W91" i="48" s="1"/>
  <c r="P47" i="45"/>
  <c r="Q47" i="45" s="1"/>
  <c r="T85" i="47"/>
  <c r="T91" i="47"/>
  <c r="P50" i="43"/>
  <c r="Q50" i="43" s="1"/>
  <c r="P92" i="43"/>
  <c r="Q92" i="43" s="1"/>
  <c r="P46" i="43"/>
  <c r="Q46" i="43" s="1"/>
  <c r="P82" i="43"/>
  <c r="Q82" i="43" s="1"/>
  <c r="P44" i="43"/>
  <c r="Q44" i="43" s="1"/>
  <c r="P113" i="43"/>
  <c r="Q113" i="43" s="1"/>
  <c r="P63" i="45"/>
  <c r="Q63" i="45" s="1"/>
  <c r="P136" i="45"/>
  <c r="Q136" i="45" s="1"/>
  <c r="P46" i="45"/>
  <c r="Q46" i="45" s="1"/>
  <c r="P111" i="45"/>
  <c r="Q111" i="45" s="1"/>
  <c r="P116" i="45"/>
  <c r="Q116" i="45" s="1"/>
  <c r="P80" i="45"/>
  <c r="Q80" i="45" s="1"/>
  <c r="P125" i="45"/>
  <c r="Q125" i="45" s="1"/>
  <c r="P60" i="45"/>
  <c r="Q60" i="45" s="1"/>
  <c r="P15" i="45"/>
  <c r="Q15" i="45" s="1"/>
  <c r="P80" i="43"/>
  <c r="Q80" i="43" s="1"/>
  <c r="P79" i="43"/>
  <c r="Q79" i="43" s="1"/>
  <c r="P111" i="43"/>
  <c r="Q111" i="43" s="1"/>
  <c r="P124" i="43"/>
  <c r="Q124" i="43" s="1"/>
  <c r="P132" i="43"/>
  <c r="Q132" i="43" s="1"/>
  <c r="P84" i="43"/>
  <c r="Q84" i="43" s="1"/>
  <c r="P91" i="43"/>
  <c r="Q91" i="43" s="1"/>
  <c r="P78" i="43"/>
  <c r="Q78" i="43" s="1"/>
  <c r="P130" i="43"/>
  <c r="Q130" i="43" s="1"/>
  <c r="P62" i="43"/>
  <c r="Q62" i="43" s="1"/>
  <c r="P14" i="43"/>
  <c r="Q14" i="43" s="1"/>
  <c r="P19" i="43"/>
  <c r="Q19" i="43" s="1"/>
  <c r="H7" i="42"/>
  <c r="P84" i="45"/>
  <c r="Q84" i="45" s="1"/>
  <c r="P107" i="45"/>
  <c r="Q107" i="45" s="1"/>
  <c r="P83" i="45"/>
  <c r="Q83" i="45" s="1"/>
  <c r="P54" i="45"/>
  <c r="Q54" i="45" s="1"/>
  <c r="P82" i="45"/>
  <c r="Q82" i="45" s="1"/>
  <c r="P108" i="45"/>
  <c r="Q108" i="45" s="1"/>
  <c r="P59" i="43"/>
  <c r="Q59" i="43" s="1"/>
  <c r="P49" i="43"/>
  <c r="Q49" i="43" s="1"/>
  <c r="P47" i="43"/>
  <c r="Q47" i="43" s="1"/>
  <c r="P93" i="43"/>
  <c r="Q93" i="43" s="1"/>
  <c r="P114" i="43"/>
  <c r="Q114" i="43" s="1"/>
  <c r="P122" i="43"/>
  <c r="Q122" i="43" s="1"/>
  <c r="P45" i="43"/>
  <c r="Q45" i="43" s="1"/>
  <c r="P137" i="43"/>
  <c r="Q137" i="43" s="1"/>
  <c r="P64" i="45"/>
  <c r="Q64" i="45" s="1"/>
  <c r="P126" i="45"/>
  <c r="Q126" i="45" s="1"/>
  <c r="P81" i="45"/>
  <c r="Q81" i="45" s="1"/>
  <c r="P48" i="45"/>
  <c r="Q48" i="45" s="1"/>
  <c r="P117" i="45"/>
  <c r="Q117" i="45" s="1"/>
  <c r="P118" i="45"/>
  <c r="Q118" i="45" s="1"/>
  <c r="P110" i="43"/>
  <c r="Q110" i="43" s="1"/>
  <c r="P17" i="43"/>
  <c r="Q17" i="43" s="1"/>
  <c r="P43" i="43"/>
  <c r="Q43" i="43" s="1"/>
  <c r="P136" i="43"/>
  <c r="Q136" i="43" s="1"/>
  <c r="P128" i="43"/>
  <c r="Q128" i="43" s="1"/>
  <c r="P53" i="43"/>
  <c r="Q53" i="43" s="1"/>
  <c r="P48" i="43"/>
  <c r="Q48" i="43" s="1"/>
  <c r="P106" i="43"/>
  <c r="Q106" i="43" s="1"/>
  <c r="P107" i="43"/>
  <c r="Q107" i="43" s="1"/>
  <c r="P126" i="43"/>
  <c r="Q126" i="43" s="1"/>
  <c r="P135" i="45"/>
  <c r="Q135" i="45" s="1"/>
  <c r="P93" i="45"/>
  <c r="Q93" i="45" s="1"/>
  <c r="P124" i="45"/>
  <c r="Q124" i="45" s="1"/>
  <c r="P131" i="45"/>
  <c r="Q131" i="45" s="1"/>
  <c r="P120" i="45"/>
  <c r="Q120" i="45" s="1"/>
  <c r="P44" i="45"/>
  <c r="Q44" i="45" s="1"/>
  <c r="P52" i="45"/>
  <c r="Q52" i="45" s="1"/>
  <c r="P12" i="45"/>
  <c r="Q12" i="45" s="1"/>
  <c r="P108" i="43"/>
  <c r="Q108" i="43" s="1"/>
  <c r="P116" i="43"/>
  <c r="Q116" i="43" s="1"/>
  <c r="P12" i="43"/>
  <c r="Q12" i="43" s="1"/>
  <c r="P89" i="43"/>
  <c r="Q89" i="43" s="1"/>
  <c r="P121" i="43"/>
  <c r="Q121" i="43" s="1"/>
  <c r="P118" i="43"/>
  <c r="Q118" i="43" s="1"/>
  <c r="P86" i="43"/>
  <c r="Q86" i="43" s="1"/>
  <c r="P135" i="43"/>
  <c r="Q135" i="43" s="1"/>
  <c r="P115" i="43"/>
  <c r="Q115" i="43" s="1"/>
  <c r="P20" i="43"/>
  <c r="Q20" i="43" s="1"/>
  <c r="P55" i="45"/>
  <c r="Q55" i="45" s="1"/>
  <c r="P57" i="45"/>
  <c r="Q57" i="45" s="1"/>
  <c r="P121" i="45"/>
  <c r="Q121" i="45" s="1"/>
  <c r="P106" i="45"/>
  <c r="Q106" i="45" s="1"/>
  <c r="P65" i="45"/>
  <c r="Q65" i="45" s="1"/>
  <c r="P109" i="45"/>
  <c r="Q109" i="45" s="1"/>
  <c r="P86" i="45"/>
  <c r="Q86" i="45" s="1"/>
  <c r="P85" i="45"/>
  <c r="Q85" i="45" s="1"/>
  <c r="P19" i="45"/>
  <c r="Q19" i="45" s="1"/>
  <c r="P53" i="45"/>
  <c r="Q53" i="45" s="1"/>
  <c r="P112" i="45"/>
  <c r="Q112" i="45" s="1"/>
  <c r="P91" i="45"/>
  <c r="Q91" i="45" s="1"/>
  <c r="P90" i="45"/>
  <c r="Q90" i="45" s="1"/>
  <c r="P42" i="43"/>
  <c r="Q42" i="43" s="1"/>
  <c r="P60" i="43"/>
  <c r="Q60" i="43" s="1"/>
  <c r="P63" i="43"/>
  <c r="Q63" i="43" s="1"/>
  <c r="P56" i="43"/>
  <c r="Q56" i="43" s="1"/>
  <c r="P131" i="43"/>
  <c r="Q131" i="43" s="1"/>
  <c r="P83" i="43"/>
  <c r="Q83" i="43" s="1"/>
  <c r="P66" i="43"/>
  <c r="Q66" i="43" s="1"/>
  <c r="P117" i="43"/>
  <c r="Q117" i="43" s="1"/>
  <c r="P112" i="43"/>
  <c r="Q112" i="43" s="1"/>
  <c r="P134" i="45"/>
  <c r="Q134" i="45" s="1"/>
  <c r="P50" i="45"/>
  <c r="Q50" i="45" s="1"/>
  <c r="P130" i="45"/>
  <c r="Q130" i="45" s="1"/>
  <c r="P14" i="45"/>
  <c r="Q14" i="45" s="1"/>
  <c r="P49" i="45"/>
  <c r="Q49" i="45" s="1"/>
  <c r="P62" i="45"/>
  <c r="Q62" i="45" s="1"/>
  <c r="P128" i="45"/>
  <c r="Q128" i="45" s="1"/>
  <c r="P122" i="45"/>
  <c r="Q122" i="45" s="1"/>
  <c r="P20" i="45"/>
  <c r="Q20" i="45" s="1"/>
  <c r="P123" i="45"/>
  <c r="Q123" i="45" s="1"/>
  <c r="P16" i="45"/>
  <c r="Q16" i="45" s="1"/>
  <c r="P115" i="45"/>
  <c r="Q115" i="45" s="1"/>
  <c r="P114" i="45"/>
  <c r="Q114" i="45" s="1"/>
  <c r="P87" i="43"/>
  <c r="Q87" i="43" s="1"/>
  <c r="P15" i="43"/>
  <c r="Q15" i="43" s="1"/>
  <c r="P55" i="43"/>
  <c r="Q55" i="43" s="1"/>
  <c r="P109" i="43"/>
  <c r="Q109" i="43" s="1"/>
  <c r="P133" i="43"/>
  <c r="Q133" i="43" s="1"/>
  <c r="P54" i="43"/>
  <c r="Q54" i="43" s="1"/>
  <c r="P119" i="43"/>
  <c r="Q119" i="43" s="1"/>
  <c r="P18" i="43"/>
  <c r="Q18" i="43" s="1"/>
  <c r="P120" i="43"/>
  <c r="Q120" i="43" s="1"/>
  <c r="P125" i="43"/>
  <c r="Q125" i="43" s="1"/>
  <c r="P52" i="43"/>
  <c r="Q52" i="43" s="1"/>
  <c r="P132" i="45"/>
  <c r="Q132" i="45" s="1"/>
  <c r="P133" i="45"/>
  <c r="Q133" i="45" s="1"/>
  <c r="P42" i="45"/>
  <c r="Q42" i="45" s="1"/>
  <c r="P66" i="45"/>
  <c r="Q66" i="45" s="1"/>
  <c r="P92" i="45"/>
  <c r="Q92" i="45" s="1"/>
  <c r="P45" i="45"/>
  <c r="Q45" i="45" s="1"/>
  <c r="P59" i="45"/>
  <c r="Q59" i="45" s="1"/>
  <c r="P79" i="45"/>
  <c r="Q79" i="45" s="1"/>
  <c r="P119" i="45"/>
  <c r="Q119" i="45" s="1"/>
  <c r="P113" i="45"/>
  <c r="Q113" i="45" s="1"/>
  <c r="P87" i="45"/>
  <c r="Q87" i="45" s="1"/>
  <c r="P110" i="45"/>
  <c r="Q110" i="45" s="1"/>
  <c r="P85" i="43"/>
  <c r="Q85" i="43" s="1"/>
  <c r="P134" i="43"/>
  <c r="Q134" i="43" s="1"/>
  <c r="P65" i="43"/>
  <c r="Q65" i="43" s="1"/>
  <c r="P129" i="43"/>
  <c r="Q129" i="43" s="1"/>
  <c r="P90" i="43"/>
  <c r="Q90" i="43" s="1"/>
  <c r="P123" i="43"/>
  <c r="Q123" i="43" s="1"/>
  <c r="P81" i="43"/>
  <c r="Q81" i="43" s="1"/>
  <c r="P58" i="43"/>
  <c r="Q58" i="43" s="1"/>
  <c r="P64" i="43"/>
  <c r="Q64" i="43" s="1"/>
  <c r="T121" i="45"/>
  <c r="T64" i="45"/>
  <c r="T130" i="45"/>
  <c r="T65" i="45"/>
  <c r="T134" i="45"/>
  <c r="T125" i="45"/>
  <c r="T109" i="45"/>
  <c r="T123" i="45"/>
  <c r="T12" i="45"/>
  <c r="J5" i="46"/>
  <c r="T47" i="45"/>
  <c r="T132" i="45"/>
  <c r="T114" i="45"/>
  <c r="T14" i="45"/>
  <c r="T133" i="45"/>
  <c r="T82" i="45"/>
  <c r="T122" i="45"/>
  <c r="T113" i="45"/>
  <c r="T136" i="45"/>
  <c r="T137" i="45"/>
  <c r="T86" i="45"/>
  <c r="T66" i="45"/>
  <c r="T108" i="45"/>
  <c r="T78" i="45"/>
  <c r="T18" i="45"/>
  <c r="T48" i="45"/>
  <c r="T79" i="45"/>
  <c r="T60" i="45"/>
  <c r="T55" i="45"/>
  <c r="T20" i="45"/>
  <c r="T50" i="45"/>
  <c r="T17" i="45"/>
  <c r="T126" i="45"/>
  <c r="T112" i="45"/>
  <c r="T42" i="45"/>
  <c r="T120" i="45"/>
  <c r="T16" i="45"/>
  <c r="T91" i="45"/>
  <c r="T107" i="45"/>
  <c r="T124" i="45"/>
  <c r="T62" i="45"/>
  <c r="T117" i="45"/>
  <c r="T93" i="45"/>
  <c r="T57" i="45"/>
  <c r="T92" i="45"/>
  <c r="T19" i="45"/>
  <c r="T80" i="45"/>
  <c r="T63" i="45"/>
  <c r="T49" i="45"/>
  <c r="T85" i="45"/>
  <c r="T84" i="45"/>
  <c r="T90" i="45"/>
  <c r="T111" i="45"/>
  <c r="T52" i="45"/>
  <c r="T45" i="45"/>
  <c r="T56" i="45"/>
  <c r="T87" i="45"/>
  <c r="T44" i="45"/>
  <c r="T43" i="45"/>
  <c r="I9" i="62"/>
  <c r="AA18" i="62" s="1"/>
  <c r="AC18" i="62" s="1"/>
  <c r="T119" i="45"/>
  <c r="T54" i="45"/>
  <c r="T135" i="45"/>
  <c r="T81" i="45"/>
  <c r="T89" i="45"/>
  <c r="T129" i="45"/>
  <c r="T116" i="45"/>
  <c r="T115" i="45"/>
  <c r="T53" i="45"/>
  <c r="T137" i="46"/>
  <c r="T113" i="46"/>
  <c r="T54" i="46"/>
  <c r="T55" i="46"/>
  <c r="T116" i="46"/>
  <c r="T125" i="47"/>
  <c r="T132" i="47"/>
  <c r="T81" i="47"/>
  <c r="T110" i="47"/>
  <c r="T18" i="47"/>
  <c r="T54" i="47"/>
  <c r="T58" i="47"/>
  <c r="T52" i="47"/>
  <c r="T55" i="47"/>
  <c r="T16" i="46"/>
  <c r="T80" i="46"/>
  <c r="T119" i="46"/>
  <c r="T52" i="46"/>
  <c r="T14" i="46"/>
  <c r="T83" i="46"/>
  <c r="T15" i="46"/>
  <c r="T20" i="46"/>
  <c r="J7" i="43"/>
  <c r="W65" i="43" s="1"/>
  <c r="T47" i="47"/>
  <c r="T59" i="47"/>
  <c r="T12" i="47"/>
  <c r="T123" i="47"/>
  <c r="T128" i="47"/>
  <c r="T50" i="47"/>
  <c r="T83" i="47"/>
  <c r="T90" i="47"/>
  <c r="T84" i="47"/>
  <c r="T56" i="46"/>
  <c r="T117" i="46"/>
  <c r="T111" i="46"/>
  <c r="T79" i="46"/>
  <c r="T59" i="46"/>
  <c r="T49" i="46"/>
  <c r="T124" i="46"/>
  <c r="T136" i="47"/>
  <c r="T117" i="47"/>
  <c r="T126" i="47"/>
  <c r="T137" i="47"/>
  <c r="T64" i="47"/>
  <c r="T79" i="47"/>
  <c r="T60" i="47"/>
  <c r="T15" i="47"/>
  <c r="T19" i="47"/>
  <c r="T108" i="47"/>
  <c r="J7" i="62"/>
  <c r="T109" i="46"/>
  <c r="T57" i="46"/>
  <c r="T134" i="47"/>
  <c r="T53" i="47"/>
  <c r="T113" i="47"/>
  <c r="T124" i="47"/>
  <c r="T46" i="47"/>
  <c r="T106" i="47"/>
  <c r="T93" i="47"/>
  <c r="T133" i="47"/>
  <c r="T66" i="47"/>
  <c r="T131" i="47"/>
  <c r="T110" i="46"/>
  <c r="T60" i="46"/>
  <c r="T112" i="46"/>
  <c r="T85" i="46"/>
  <c r="T125" i="46"/>
  <c r="T78" i="47"/>
  <c r="T65" i="47"/>
  <c r="T116" i="47"/>
  <c r="T86" i="47"/>
  <c r="T121" i="47"/>
  <c r="T129" i="47"/>
  <c r="T16" i="47"/>
  <c r="T17" i="47"/>
  <c r="T14" i="47"/>
  <c r="T49" i="47"/>
  <c r="T47" i="46"/>
  <c r="T78" i="46"/>
  <c r="T123" i="46"/>
  <c r="T17" i="46"/>
  <c r="T66" i="46"/>
  <c r="T62" i="46"/>
  <c r="T81" i="46"/>
  <c r="T135" i="46"/>
  <c r="T92" i="46"/>
  <c r="T58" i="46"/>
  <c r="T45" i="46"/>
  <c r="T115" i="47"/>
  <c r="T135" i="47"/>
  <c r="T82" i="47"/>
  <c r="T130" i="47"/>
  <c r="T20" i="47"/>
  <c r="T57" i="47"/>
  <c r="T120" i="47"/>
  <c r="T109" i="47"/>
  <c r="T118" i="47"/>
  <c r="J5" i="45"/>
  <c r="T118" i="46"/>
  <c r="T126" i="46"/>
  <c r="T133" i="46"/>
  <c r="T90" i="46"/>
  <c r="T89" i="46"/>
  <c r="T136" i="46"/>
  <c r="T134" i="46"/>
  <c r="T87" i="46"/>
  <c r="T93" i="46"/>
  <c r="T84" i="46"/>
  <c r="T134" i="42"/>
  <c r="T66" i="42"/>
  <c r="W133" i="43"/>
  <c r="T87" i="44"/>
  <c r="T125" i="44"/>
  <c r="T92" i="44"/>
  <c r="T79" i="44"/>
  <c r="T81" i="44"/>
  <c r="T121" i="44"/>
  <c r="T15" i="44"/>
  <c r="T91" i="44"/>
  <c r="T20" i="44"/>
  <c r="T129" i="44"/>
  <c r="T107" i="44"/>
  <c r="T84" i="44"/>
  <c r="T109" i="44"/>
  <c r="T126" i="44"/>
  <c r="T18" i="44"/>
  <c r="T108" i="44"/>
  <c r="T43" i="44"/>
  <c r="T137" i="44"/>
  <c r="T112" i="44"/>
  <c r="T52" i="44"/>
  <c r="T113" i="44"/>
  <c r="T48" i="44"/>
  <c r="T50" i="44"/>
  <c r="T14" i="44"/>
  <c r="T117" i="44"/>
  <c r="T115" i="44"/>
  <c r="T124" i="44"/>
  <c r="T44" i="44"/>
  <c r="T57" i="44"/>
  <c r="T118" i="44"/>
  <c r="T93" i="44"/>
  <c r="T54" i="44"/>
  <c r="T17" i="44"/>
  <c r="T119" i="44"/>
  <c r="T128" i="44"/>
  <c r="T16" i="44"/>
  <c r="T136" i="44"/>
  <c r="T53" i="44"/>
  <c r="T130" i="44"/>
  <c r="T63" i="44"/>
  <c r="T133" i="44"/>
  <c r="T110" i="44"/>
  <c r="T59" i="44"/>
  <c r="T42" i="44"/>
  <c r="T132" i="44"/>
  <c r="T45" i="44"/>
  <c r="T19" i="44"/>
  <c r="T55" i="44"/>
  <c r="T85" i="44"/>
  <c r="T116" i="44"/>
  <c r="T106" i="44"/>
  <c r="T135" i="44"/>
  <c r="T47" i="44"/>
  <c r="T62" i="44"/>
  <c r="T56" i="44"/>
  <c r="T49" i="44"/>
  <c r="T12" i="44"/>
  <c r="T120" i="44"/>
  <c r="T86" i="44"/>
  <c r="T90" i="44"/>
  <c r="T58" i="44"/>
  <c r="T60" i="44"/>
  <c r="T46" i="44"/>
  <c r="T131" i="44"/>
  <c r="T123" i="44"/>
  <c r="T134" i="44"/>
  <c r="T64" i="44"/>
  <c r="T89" i="44"/>
  <c r="T66" i="44"/>
  <c r="T65" i="44"/>
  <c r="T83" i="44"/>
  <c r="T111" i="44"/>
  <c r="T122" i="44"/>
  <c r="T82" i="44"/>
  <c r="T78" i="44"/>
  <c r="T80" i="44"/>
  <c r="T114" i="44"/>
  <c r="W113" i="43"/>
  <c r="K44" i="47"/>
  <c r="K12" i="47"/>
  <c r="K16" i="47"/>
  <c r="P44" i="47"/>
  <c r="Q44" i="47" s="1"/>
  <c r="P92" i="47"/>
  <c r="Q92" i="47" s="1"/>
  <c r="P55" i="47"/>
  <c r="Q55" i="47" s="1"/>
  <c r="P87" i="47"/>
  <c r="Q87" i="47" s="1"/>
  <c r="P118" i="47"/>
  <c r="Q118" i="47" s="1"/>
  <c r="P14" i="47"/>
  <c r="Q14" i="47" s="1"/>
  <c r="P66" i="47"/>
  <c r="Q66" i="47" s="1"/>
  <c r="P19" i="47"/>
  <c r="Q19" i="47" s="1"/>
  <c r="P12" i="47"/>
  <c r="Q12" i="47" s="1"/>
  <c r="K50" i="47"/>
  <c r="P42" i="47"/>
  <c r="Q42" i="47" s="1"/>
  <c r="P52" i="47"/>
  <c r="Q52" i="47" s="1"/>
  <c r="P80" i="47"/>
  <c r="Q80" i="47" s="1"/>
  <c r="P109" i="47"/>
  <c r="Q109" i="47" s="1"/>
  <c r="P131" i="47"/>
  <c r="Q131" i="47" s="1"/>
  <c r="P108" i="47"/>
  <c r="Q108" i="47" s="1"/>
  <c r="P117" i="47"/>
  <c r="Q117" i="47" s="1"/>
  <c r="P132" i="47"/>
  <c r="Q132" i="47" s="1"/>
  <c r="P62" i="47"/>
  <c r="Q62" i="47" s="1"/>
  <c r="P58" i="47"/>
  <c r="Q58" i="47" s="1"/>
  <c r="P91" i="47"/>
  <c r="Q91" i="47" s="1"/>
  <c r="P120" i="47"/>
  <c r="Q120" i="47" s="1"/>
  <c r="P16" i="47"/>
  <c r="Q16" i="47" s="1"/>
  <c r="K17" i="47"/>
  <c r="P57" i="47"/>
  <c r="Q57" i="47" s="1"/>
  <c r="P129" i="47"/>
  <c r="Q129" i="47" s="1"/>
  <c r="P17" i="47"/>
  <c r="Q17" i="47" s="1"/>
  <c r="P133" i="47"/>
  <c r="Q133" i="47" s="1"/>
  <c r="P113" i="47"/>
  <c r="Q113" i="47" s="1"/>
  <c r="P15" i="47"/>
  <c r="Q15" i="47" s="1"/>
  <c r="P83" i="47"/>
  <c r="Q83" i="47" s="1"/>
  <c r="P111" i="47"/>
  <c r="Q111" i="47" s="1"/>
  <c r="P46" i="47"/>
  <c r="Q46" i="47" s="1"/>
  <c r="P64" i="47"/>
  <c r="Q64" i="47" s="1"/>
  <c r="P123" i="47"/>
  <c r="Q123" i="47" s="1"/>
  <c r="P43" i="47"/>
  <c r="Q43" i="47" s="1"/>
  <c r="P110" i="47"/>
  <c r="Q110" i="47" s="1"/>
  <c r="P106" i="47"/>
  <c r="Q106" i="47" s="1"/>
  <c r="P79" i="47"/>
  <c r="Q79" i="47" s="1"/>
  <c r="P128" i="47"/>
  <c r="Q128" i="47" s="1"/>
  <c r="P112" i="47"/>
  <c r="Q112" i="47" s="1"/>
  <c r="P85" i="47"/>
  <c r="Q85" i="47" s="1"/>
  <c r="P82" i="47"/>
  <c r="Q82" i="47" s="1"/>
  <c r="P90" i="47"/>
  <c r="Q90" i="47" s="1"/>
  <c r="P124" i="47"/>
  <c r="Q124" i="47" s="1"/>
  <c r="P122" i="47"/>
  <c r="Q122" i="47" s="1"/>
  <c r="P45" i="47"/>
  <c r="Q45" i="47" s="1"/>
  <c r="P126" i="47"/>
  <c r="Q126" i="47" s="1"/>
  <c r="P56" i="47"/>
  <c r="Q56" i="47" s="1"/>
  <c r="P81" i="47"/>
  <c r="Q81" i="47" s="1"/>
  <c r="K137" i="47"/>
  <c r="K101" i="47"/>
  <c r="K106" i="47"/>
  <c r="K81" i="47"/>
  <c r="K80" i="47"/>
  <c r="K87" i="47"/>
  <c r="K62" i="47"/>
  <c r="K52" i="47"/>
  <c r="K58" i="47"/>
  <c r="K132" i="47"/>
  <c r="K70" i="47"/>
  <c r="K43" i="47"/>
  <c r="P18" i="47"/>
  <c r="Q18" i="47" s="1"/>
  <c r="P130" i="47"/>
  <c r="Q130" i="47" s="1"/>
  <c r="P54" i="47"/>
  <c r="Q54" i="47" s="1"/>
  <c r="P107" i="47"/>
  <c r="Q107" i="47" s="1"/>
  <c r="P114" i="47"/>
  <c r="Q114" i="47" s="1"/>
  <c r="P20" i="47"/>
  <c r="Q20" i="47" s="1"/>
  <c r="P116" i="47"/>
  <c r="Q116" i="47" s="1"/>
  <c r="P135" i="47"/>
  <c r="Q135" i="47" s="1"/>
  <c r="P86" i="47"/>
  <c r="Q86" i="47" s="1"/>
  <c r="P59" i="47"/>
  <c r="Q59" i="47" s="1"/>
  <c r="P89" i="47"/>
  <c r="Q89" i="47" s="1"/>
  <c r="P49" i="47"/>
  <c r="Q49" i="47" s="1"/>
  <c r="P125" i="47"/>
  <c r="Q125" i="47" s="1"/>
  <c r="P48" i="47"/>
  <c r="Q48" i="47" s="1"/>
  <c r="P115" i="47"/>
  <c r="Q115" i="47" s="1"/>
  <c r="P134" i="47"/>
  <c r="Q134" i="47" s="1"/>
  <c r="P93" i="47"/>
  <c r="Q93" i="47" s="1"/>
  <c r="P63" i="47"/>
  <c r="Q63" i="47" s="1"/>
  <c r="P78" i="47"/>
  <c r="Q78" i="47" s="1"/>
  <c r="P136" i="47"/>
  <c r="Q136" i="47" s="1"/>
  <c r="K82" i="47"/>
  <c r="K133" i="47"/>
  <c r="K107" i="47"/>
  <c r="K96" i="47"/>
  <c r="K47" i="47"/>
  <c r="K110" i="47"/>
  <c r="K99" i="47"/>
  <c r="K131" i="47"/>
  <c r="K15" i="47"/>
  <c r="K100" i="47"/>
  <c r="K94" i="47"/>
  <c r="K91" i="47"/>
  <c r="P53" i="47"/>
  <c r="Q53" i="47" s="1"/>
  <c r="P50" i="47"/>
  <c r="Q50" i="47" s="1"/>
  <c r="K20" i="47"/>
  <c r="K126" i="47"/>
  <c r="K114" i="47"/>
  <c r="K57" i="47"/>
  <c r="K46" i="47"/>
  <c r="K78" i="47"/>
  <c r="K83" i="47"/>
  <c r="K109" i="47"/>
  <c r="K79" i="47"/>
  <c r="K18" i="47"/>
  <c r="P60" i="47"/>
  <c r="Q60" i="47" s="1"/>
  <c r="P84" i="47"/>
  <c r="Q84" i="47" s="1"/>
  <c r="P47" i="47"/>
  <c r="Q47" i="47" s="1"/>
  <c r="K66" i="47"/>
  <c r="K14" i="47"/>
  <c r="K125" i="47"/>
  <c r="K113" i="47"/>
  <c r="K49" i="47"/>
  <c r="K95" i="47"/>
  <c r="K54" i="47"/>
  <c r="K75" i="47"/>
  <c r="K124" i="47"/>
  <c r="K118" i="47"/>
  <c r="K90" i="47"/>
  <c r="P121" i="47"/>
  <c r="Q121" i="47" s="1"/>
  <c r="P137" i="47"/>
  <c r="Q137" i="47" s="1"/>
  <c r="P65" i="47"/>
  <c r="Q65" i="47" s="1"/>
  <c r="K117" i="47"/>
  <c r="K105" i="47"/>
  <c r="K48" i="47"/>
  <c r="K93" i="47"/>
  <c r="K77" i="47"/>
  <c r="K59" i="47"/>
  <c r="K115" i="47"/>
  <c r="K85" i="47"/>
  <c r="K116" i="47"/>
  <c r="K120" i="47"/>
  <c r="K111" i="47"/>
  <c r="K71" i="47"/>
  <c r="K69" i="47"/>
  <c r="K121" i="47"/>
  <c r="K76" i="47"/>
  <c r="P119" i="47"/>
  <c r="Q119" i="47" s="1"/>
  <c r="K108" i="47"/>
  <c r="K104" i="47"/>
  <c r="K102" i="47"/>
  <c r="K63" i="47"/>
  <c r="K53" i="47"/>
  <c r="K97" i="47"/>
  <c r="K60" i="47"/>
  <c r="K136" i="47"/>
  <c r="K123" i="47"/>
  <c r="K89" i="47"/>
  <c r="K64" i="47"/>
  <c r="K119" i="47"/>
  <c r="K68" i="47"/>
  <c r="K135" i="47"/>
  <c r="K103" i="47"/>
  <c r="K45" i="47"/>
  <c r="K65" i="47"/>
  <c r="K72" i="47"/>
  <c r="K130" i="47"/>
  <c r="K92" i="47"/>
  <c r="K56" i="47"/>
  <c r="K128" i="47"/>
  <c r="K129" i="47"/>
  <c r="K55" i="47"/>
  <c r="K112" i="47"/>
  <c r="K84" i="47"/>
  <c r="K134" i="47"/>
  <c r="K86" i="47"/>
  <c r="K73" i="47"/>
  <c r="K19" i="47"/>
  <c r="K122" i="47"/>
  <c r="K42" i="47"/>
  <c r="K74" i="47"/>
  <c r="K98" i="47"/>
  <c r="T19" i="46"/>
  <c r="T121" i="46"/>
  <c r="T106" i="46"/>
  <c r="T82" i="46"/>
  <c r="T86" i="46"/>
  <c r="T48" i="46"/>
  <c r="T18" i="46"/>
  <c r="T131" i="46"/>
  <c r="T46" i="46"/>
  <c r="T43" i="46"/>
  <c r="W116" i="43"/>
  <c r="W66" i="43"/>
  <c r="W91" i="43"/>
  <c r="W117" i="43"/>
  <c r="W125" i="43"/>
  <c r="W46" i="43"/>
  <c r="AA17" i="62"/>
  <c r="AC17" i="62" s="1"/>
  <c r="AA15" i="62"/>
  <c r="AC15" i="62" s="1"/>
  <c r="AA19" i="62"/>
  <c r="AC19" i="62" s="1"/>
  <c r="W44" i="43"/>
  <c r="W92" i="43"/>
  <c r="K15" i="46"/>
  <c r="P89" i="46"/>
  <c r="Q89" i="46" s="1"/>
  <c r="K19" i="46"/>
  <c r="P17" i="46"/>
  <c r="Q17" i="46" s="1"/>
  <c r="K20" i="46"/>
  <c r="P52" i="46"/>
  <c r="Q52" i="46" s="1"/>
  <c r="K129" i="46"/>
  <c r="K113" i="46"/>
  <c r="K110" i="46"/>
  <c r="K99" i="46"/>
  <c r="P119" i="46"/>
  <c r="Q119" i="46" s="1"/>
  <c r="K93" i="46"/>
  <c r="K106" i="46"/>
  <c r="K63" i="46"/>
  <c r="K59" i="46"/>
  <c r="K107" i="46"/>
  <c r="P43" i="46"/>
  <c r="Q43" i="46" s="1"/>
  <c r="P62" i="46"/>
  <c r="Q62" i="46" s="1"/>
  <c r="K132" i="46"/>
  <c r="K94" i="46"/>
  <c r="K109" i="46"/>
  <c r="P78" i="46"/>
  <c r="Q78" i="46" s="1"/>
  <c r="P110" i="46"/>
  <c r="Q110" i="46" s="1"/>
  <c r="P108" i="46"/>
  <c r="Q108" i="46" s="1"/>
  <c r="P124" i="46"/>
  <c r="Q124" i="46" s="1"/>
  <c r="P18" i="46"/>
  <c r="Q18" i="46" s="1"/>
  <c r="P12" i="46"/>
  <c r="Q12" i="46" s="1"/>
  <c r="P66" i="46"/>
  <c r="Q66" i="46" s="1"/>
  <c r="P19" i="46"/>
  <c r="Q19" i="46" s="1"/>
  <c r="P46" i="46"/>
  <c r="Q46" i="46" s="1"/>
  <c r="K123" i="46"/>
  <c r="K96" i="46"/>
  <c r="K78" i="46"/>
  <c r="K52" i="46"/>
  <c r="K83" i="46"/>
  <c r="K56" i="46"/>
  <c r="K75" i="46"/>
  <c r="K48" i="46"/>
  <c r="K12" i="46"/>
  <c r="K47" i="46"/>
  <c r="P64" i="46"/>
  <c r="Q64" i="46" s="1"/>
  <c r="P54" i="46"/>
  <c r="Q54" i="46" s="1"/>
  <c r="P16" i="46"/>
  <c r="Q16" i="46" s="1"/>
  <c r="P111" i="46"/>
  <c r="Q111" i="46" s="1"/>
  <c r="K122" i="46"/>
  <c r="K95" i="46"/>
  <c r="K108" i="46"/>
  <c r="K81" i="46"/>
  <c r="K65" i="46"/>
  <c r="K126" i="46"/>
  <c r="K54" i="46"/>
  <c r="K16" i="46"/>
  <c r="K44" i="46"/>
  <c r="P65" i="46"/>
  <c r="Q65" i="46" s="1"/>
  <c r="P49" i="46"/>
  <c r="Q49" i="46" s="1"/>
  <c r="K112" i="46"/>
  <c r="K85" i="46"/>
  <c r="P109" i="46"/>
  <c r="Q109" i="46" s="1"/>
  <c r="K50" i="46"/>
  <c r="P135" i="46"/>
  <c r="Q135" i="46" s="1"/>
  <c r="P133" i="46"/>
  <c r="Q133" i="46" s="1"/>
  <c r="P118" i="46"/>
  <c r="Q118" i="46" s="1"/>
  <c r="P45" i="46"/>
  <c r="Q45" i="46" s="1"/>
  <c r="K119" i="46"/>
  <c r="K86" i="46"/>
  <c r="K58" i="46"/>
  <c r="K46" i="46"/>
  <c r="K17" i="46"/>
  <c r="P63" i="46"/>
  <c r="Q63" i="46" s="1"/>
  <c r="P79" i="46"/>
  <c r="Q79" i="46" s="1"/>
  <c r="K79" i="46"/>
  <c r="K76" i="46"/>
  <c r="P120" i="46"/>
  <c r="Q120" i="46" s="1"/>
  <c r="P90" i="46"/>
  <c r="Q90" i="46" s="1"/>
  <c r="P116" i="46"/>
  <c r="Q116" i="46" s="1"/>
  <c r="P15" i="46"/>
  <c r="Q15" i="46" s="1"/>
  <c r="K117" i="46"/>
  <c r="K116" i="46"/>
  <c r="K105" i="46"/>
  <c r="K71" i="46"/>
  <c r="K55" i="46"/>
  <c r="P80" i="46"/>
  <c r="Q80" i="46" s="1"/>
  <c r="P44" i="46"/>
  <c r="Q44" i="46" s="1"/>
  <c r="K118" i="46"/>
  <c r="K73" i="46"/>
  <c r="P58" i="46"/>
  <c r="Q58" i="46" s="1"/>
  <c r="P106" i="46"/>
  <c r="Q106" i="46" s="1"/>
  <c r="P56" i="46"/>
  <c r="Q56" i="46" s="1"/>
  <c r="K134" i="46"/>
  <c r="K92" i="46"/>
  <c r="K101" i="46"/>
  <c r="P122" i="46"/>
  <c r="Q122" i="46" s="1"/>
  <c r="K43" i="46"/>
  <c r="P20" i="46"/>
  <c r="Q20" i="46" s="1"/>
  <c r="P60" i="46"/>
  <c r="Q60" i="46" s="1"/>
  <c r="K100" i="46"/>
  <c r="K97" i="46"/>
  <c r="P59" i="46"/>
  <c r="Q59" i="46" s="1"/>
  <c r="P84" i="46"/>
  <c r="Q84" i="46" s="1"/>
  <c r="K133" i="46"/>
  <c r="K104" i="46"/>
  <c r="K84" i="46"/>
  <c r="K80" i="46"/>
  <c r="K89" i="46"/>
  <c r="K98" i="46"/>
  <c r="P50" i="46"/>
  <c r="Q50" i="46" s="1"/>
  <c r="K124" i="46"/>
  <c r="K60" i="46"/>
  <c r="K82" i="46"/>
  <c r="P136" i="46"/>
  <c r="Q136" i="46" s="1"/>
  <c r="P93" i="46"/>
  <c r="Q93" i="46" s="1"/>
  <c r="P115" i="46"/>
  <c r="Q115" i="46" s="1"/>
  <c r="K137" i="46"/>
  <c r="K111" i="46"/>
  <c r="K90" i="46"/>
  <c r="K57" i="46"/>
  <c r="K77" i="46"/>
  <c r="K69" i="46"/>
  <c r="P55" i="46"/>
  <c r="Q55" i="46" s="1"/>
  <c r="K130" i="46"/>
  <c r="K91" i="46"/>
  <c r="K70" i="46"/>
  <c r="P114" i="46"/>
  <c r="Q114" i="46" s="1"/>
  <c r="P112" i="46"/>
  <c r="Q112" i="46" s="1"/>
  <c r="K120" i="46"/>
  <c r="K131" i="46"/>
  <c r="K42" i="46"/>
  <c r="K72" i="46"/>
  <c r="K49" i="46"/>
  <c r="K53" i="46"/>
  <c r="P42" i="46"/>
  <c r="Q42" i="46" s="1"/>
  <c r="K128" i="46"/>
  <c r="K115" i="46"/>
  <c r="P123" i="46"/>
  <c r="Q123" i="46" s="1"/>
  <c r="P131" i="46"/>
  <c r="Q131" i="46" s="1"/>
  <c r="P130" i="46"/>
  <c r="Q130" i="46" s="1"/>
  <c r="P128" i="46"/>
  <c r="Q128" i="46" s="1"/>
  <c r="K125" i="46"/>
  <c r="K121" i="46"/>
  <c r="P126" i="46"/>
  <c r="Q126" i="46" s="1"/>
  <c r="P82" i="46"/>
  <c r="Q82" i="46" s="1"/>
  <c r="K64" i="46"/>
  <c r="P47" i="46"/>
  <c r="Q47" i="46" s="1"/>
  <c r="K103" i="46"/>
  <c r="K102" i="46"/>
  <c r="K136" i="46"/>
  <c r="K62" i="46"/>
  <c r="K135" i="46"/>
  <c r="K114" i="46"/>
  <c r="K18" i="46"/>
  <c r="K66" i="46"/>
  <c r="K14" i="46"/>
  <c r="K87" i="46"/>
  <c r="K45" i="46"/>
  <c r="P85" i="46"/>
  <c r="Q85" i="46" s="1"/>
  <c r="K68" i="46"/>
  <c r="P48" i="46"/>
  <c r="Q48" i="46" s="1"/>
  <c r="P92" i="46"/>
  <c r="Q92" i="46" s="1"/>
  <c r="K74" i="46"/>
  <c r="P53" i="46"/>
  <c r="Q53" i="46" s="1"/>
  <c r="P86" i="46"/>
  <c r="Q86" i="46" s="1"/>
  <c r="P134" i="46"/>
  <c r="Q134" i="46" s="1"/>
  <c r="P14" i="46"/>
  <c r="Q14" i="46" s="1"/>
  <c r="P113" i="46"/>
  <c r="Q113" i="46" s="1"/>
  <c r="P107" i="46"/>
  <c r="Q107" i="46" s="1"/>
  <c r="P87" i="46"/>
  <c r="Q87" i="46" s="1"/>
  <c r="P121" i="46"/>
  <c r="Q121" i="46" s="1"/>
  <c r="P117" i="46"/>
  <c r="Q117" i="46" s="1"/>
  <c r="P81" i="46"/>
  <c r="Q81" i="46" s="1"/>
  <c r="P129" i="46"/>
  <c r="Q129" i="46" s="1"/>
  <c r="P125" i="46"/>
  <c r="Q125" i="46" s="1"/>
  <c r="P57" i="46"/>
  <c r="Q57" i="46" s="1"/>
  <c r="P132" i="46"/>
  <c r="Q132" i="46" s="1"/>
  <c r="P83" i="46"/>
  <c r="Q83" i="46" s="1"/>
  <c r="P137" i="46"/>
  <c r="Q137" i="46" s="1"/>
  <c r="P91" i="46"/>
  <c r="Q91" i="46" s="1"/>
  <c r="W115" i="43"/>
  <c r="F7" i="62"/>
  <c r="F5" i="42"/>
  <c r="T108" i="46"/>
  <c r="T42" i="46"/>
  <c r="T114" i="46"/>
  <c r="T63" i="46"/>
  <c r="T128" i="46"/>
  <c r="T115" i="46"/>
  <c r="T129" i="46"/>
  <c r="T53" i="46"/>
  <c r="T44" i="46"/>
  <c r="W52" i="43"/>
  <c r="W78" i="43"/>
  <c r="W134" i="43"/>
  <c r="W137" i="43"/>
  <c r="W90" i="43"/>
  <c r="W89" i="43"/>
  <c r="W123" i="43"/>
  <c r="T132" i="46"/>
  <c r="T65" i="46"/>
  <c r="T91" i="46"/>
  <c r="T130" i="46"/>
  <c r="T120" i="46"/>
  <c r="T64" i="46"/>
  <c r="T50" i="46"/>
  <c r="T122" i="46"/>
  <c r="W18" i="43"/>
  <c r="W135" i="43"/>
  <c r="W48" i="43"/>
  <c r="W63" i="43"/>
  <c r="W86" i="43"/>
  <c r="W129" i="43"/>
  <c r="G8" i="62"/>
  <c r="P23" i="48"/>
  <c r="Q23" i="48" s="1"/>
  <c r="P34" i="45"/>
  <c r="Q34" i="45" s="1"/>
  <c r="G4" i="42"/>
  <c r="T30" i="42" s="1"/>
  <c r="K40" i="46"/>
  <c r="P39" i="48"/>
  <c r="Q39" i="48" s="1"/>
  <c r="H8" i="62"/>
  <c r="K35" i="48"/>
  <c r="K34" i="45"/>
  <c r="K26" i="46"/>
  <c r="K24" i="46"/>
  <c r="K34" i="46"/>
  <c r="K27" i="46"/>
  <c r="K34" i="48"/>
  <c r="P24" i="45"/>
  <c r="Q24" i="45" s="1"/>
  <c r="P35" i="48"/>
  <c r="Q35" i="48" s="1"/>
  <c r="K32" i="48"/>
  <c r="K29" i="48"/>
  <c r="P33" i="45"/>
  <c r="Q33" i="45" s="1"/>
  <c r="T30" i="48"/>
  <c r="P30" i="48"/>
  <c r="Q30" i="48" s="1"/>
  <c r="P37" i="48"/>
  <c r="Q37" i="48" s="1"/>
  <c r="K40" i="45"/>
  <c r="K32" i="45"/>
  <c r="K37" i="45"/>
  <c r="P39" i="45"/>
  <c r="Q39" i="45" s="1"/>
  <c r="K27" i="48"/>
  <c r="K33" i="48"/>
  <c r="K23" i="45"/>
  <c r="P32" i="45"/>
  <c r="Q32" i="45" s="1"/>
  <c r="K28" i="45"/>
  <c r="K31" i="48"/>
  <c r="P30" i="45"/>
  <c r="Q30" i="45" s="1"/>
  <c r="K27" i="45"/>
  <c r="T25" i="45"/>
  <c r="P26" i="48"/>
  <c r="Q26" i="48" s="1"/>
  <c r="P26" i="45"/>
  <c r="Q26" i="45" s="1"/>
  <c r="K38" i="45"/>
  <c r="P27" i="48"/>
  <c r="Q27" i="48" s="1"/>
  <c r="K25" i="48"/>
  <c r="P38" i="48"/>
  <c r="Q38" i="48" s="1"/>
  <c r="K39" i="48"/>
  <c r="K25" i="46"/>
  <c r="K30" i="46"/>
  <c r="K22" i="48"/>
  <c r="P31" i="48"/>
  <c r="Q31" i="48" s="1"/>
  <c r="P32" i="48"/>
  <c r="Q32" i="48" s="1"/>
  <c r="P28" i="48"/>
  <c r="Q28" i="48" s="1"/>
  <c r="K35" i="46"/>
  <c r="K32" i="46"/>
  <c r="T31" i="47"/>
  <c r="K23" i="46"/>
  <c r="T30" i="47"/>
  <c r="K26" i="48"/>
  <c r="K40" i="48"/>
  <c r="K24" i="48"/>
  <c r="P40" i="48"/>
  <c r="Q40" i="48" s="1"/>
  <c r="K33" i="46"/>
  <c r="K28" i="46"/>
  <c r="P34" i="48"/>
  <c r="Q34" i="48" s="1"/>
  <c r="K37" i="48"/>
  <c r="K38" i="48"/>
  <c r="K28" i="48"/>
  <c r="K29" i="46"/>
  <c r="K37" i="46"/>
  <c r="K31" i="45"/>
  <c r="P28" i="45"/>
  <c r="Q28" i="45" s="1"/>
  <c r="K39" i="46"/>
  <c r="P29" i="46"/>
  <c r="Q29" i="46" s="1"/>
  <c r="K30" i="48"/>
  <c r="K23" i="48"/>
  <c r="K38" i="46"/>
  <c r="K22" i="46"/>
  <c r="J4" i="46"/>
  <c r="J6" i="46" s="1"/>
  <c r="W35" i="46" s="1"/>
  <c r="P33" i="48"/>
  <c r="Q33" i="48" s="1"/>
  <c r="T23" i="47"/>
  <c r="T39" i="47"/>
  <c r="T40" i="47"/>
  <c r="T25" i="47"/>
  <c r="T22" i="47"/>
  <c r="T28" i="47"/>
  <c r="T32" i="47"/>
  <c r="T26" i="47"/>
  <c r="T24" i="47"/>
  <c r="T22" i="45"/>
  <c r="T29" i="47"/>
  <c r="T34" i="47"/>
  <c r="T33" i="47"/>
  <c r="T35" i="45"/>
  <c r="T38" i="47"/>
  <c r="T37" i="47"/>
  <c r="P27" i="45"/>
  <c r="Q27" i="45" s="1"/>
  <c r="T27" i="47"/>
  <c r="J4" i="48"/>
  <c r="J4" i="45"/>
  <c r="I6" i="42"/>
  <c r="T27" i="45"/>
  <c r="F4" i="42"/>
  <c r="K34" i="42" s="1"/>
  <c r="P34" i="46"/>
  <c r="Q34" i="46" s="1"/>
  <c r="P37" i="45"/>
  <c r="Q37" i="45" s="1"/>
  <c r="K22" i="45"/>
  <c r="P31" i="45"/>
  <c r="Q31" i="45" s="1"/>
  <c r="K25" i="45"/>
  <c r="P23" i="46"/>
  <c r="Q23" i="46" s="1"/>
  <c r="P23" i="45"/>
  <c r="Q23" i="45" s="1"/>
  <c r="P40" i="45"/>
  <c r="Q40" i="45" s="1"/>
  <c r="P25" i="48"/>
  <c r="Q25" i="48" s="1"/>
  <c r="P22" i="48"/>
  <c r="Q22" i="48" s="1"/>
  <c r="P30" i="46"/>
  <c r="Q30" i="46" s="1"/>
  <c r="K26" i="45"/>
  <c r="P35" i="45"/>
  <c r="Q35" i="45" s="1"/>
  <c r="K30" i="45"/>
  <c r="P25" i="45"/>
  <c r="Q25" i="45" s="1"/>
  <c r="K33" i="45"/>
  <c r="P24" i="48"/>
  <c r="Q24" i="48" s="1"/>
  <c r="P29" i="48"/>
  <c r="Q29" i="48" s="1"/>
  <c r="T26" i="45"/>
  <c r="K29" i="45"/>
  <c r="P29" i="45"/>
  <c r="Q29" i="45" s="1"/>
  <c r="K35" i="45"/>
  <c r="P22" i="45"/>
  <c r="Q22" i="45" s="1"/>
  <c r="K24" i="45"/>
  <c r="K39" i="45"/>
  <c r="P38" i="45"/>
  <c r="Q38" i="45" s="1"/>
  <c r="T24" i="45"/>
  <c r="T34" i="45"/>
  <c r="T31" i="45"/>
  <c r="P33" i="46"/>
  <c r="Q33" i="46" s="1"/>
  <c r="P27" i="46"/>
  <c r="Q27" i="46" s="1"/>
  <c r="P24" i="46"/>
  <c r="Q24" i="46" s="1"/>
  <c r="T37" i="45"/>
  <c r="T29" i="45"/>
  <c r="T38" i="45"/>
  <c r="T39" i="45"/>
  <c r="T23" i="45"/>
  <c r="T39" i="48"/>
  <c r="T33" i="45"/>
  <c r="T32" i="45"/>
  <c r="F6" i="42"/>
  <c r="T27" i="48"/>
  <c r="T30" i="45"/>
  <c r="T40" i="45"/>
  <c r="P32" i="46"/>
  <c r="Q32" i="46" s="1"/>
  <c r="P31" i="46"/>
  <c r="Q31" i="46" s="1"/>
  <c r="T28" i="45"/>
  <c r="T22" i="48"/>
  <c r="T34" i="42"/>
  <c r="T29" i="42"/>
  <c r="T33" i="42"/>
  <c r="T40" i="42"/>
  <c r="T23" i="42"/>
  <c r="T32" i="42"/>
  <c r="T40" i="48"/>
  <c r="J4" i="47"/>
  <c r="J6" i="47" s="1"/>
  <c r="W34" i="47" s="1"/>
  <c r="T33" i="48"/>
  <c r="T23" i="48"/>
  <c r="P39" i="46"/>
  <c r="Q39" i="46" s="1"/>
  <c r="T24" i="46"/>
  <c r="T38" i="46"/>
  <c r="T29" i="46"/>
  <c r="T23" i="46"/>
  <c r="T32" i="46"/>
  <c r="T27" i="46"/>
  <c r="T31" i="46"/>
  <c r="T25" i="46"/>
  <c r="T35" i="46"/>
  <c r="T39" i="46"/>
  <c r="T34" i="46"/>
  <c r="T40" i="46"/>
  <c r="T26" i="46"/>
  <c r="T33" i="46"/>
  <c r="T22" i="46"/>
  <c r="T37" i="46"/>
  <c r="T28" i="46"/>
  <c r="T30" i="46"/>
  <c r="H6" i="62"/>
  <c r="H4" i="42"/>
  <c r="T25" i="48"/>
  <c r="T26" i="48"/>
  <c r="P25" i="46"/>
  <c r="Q25" i="46" s="1"/>
  <c r="P39" i="47"/>
  <c r="Q39" i="47" s="1"/>
  <c r="P26" i="47"/>
  <c r="Q26" i="47" s="1"/>
  <c r="K23" i="47"/>
  <c r="K22" i="47"/>
  <c r="P32" i="47"/>
  <c r="Q32" i="47" s="1"/>
  <c r="K37" i="47"/>
  <c r="P24" i="47"/>
  <c r="Q24" i="47" s="1"/>
  <c r="P37" i="47"/>
  <c r="Q37" i="47" s="1"/>
  <c r="K32" i="47"/>
  <c r="P30" i="47"/>
  <c r="Q30" i="47" s="1"/>
  <c r="K31" i="47"/>
  <c r="K34" i="47"/>
  <c r="P22" i="47"/>
  <c r="Q22" i="47" s="1"/>
  <c r="P31" i="47"/>
  <c r="Q31" i="47" s="1"/>
  <c r="P40" i="47"/>
  <c r="Q40" i="47" s="1"/>
  <c r="K30" i="47"/>
  <c r="K26" i="47"/>
  <c r="P23" i="47"/>
  <c r="Q23" i="47" s="1"/>
  <c r="K40" i="47"/>
  <c r="K27" i="47"/>
  <c r="P35" i="47"/>
  <c r="Q35" i="47" s="1"/>
  <c r="K24" i="47"/>
  <c r="K35" i="47"/>
  <c r="K28" i="47"/>
  <c r="P25" i="47"/>
  <c r="Q25" i="47" s="1"/>
  <c r="P34" i="47"/>
  <c r="Q34" i="47" s="1"/>
  <c r="K29" i="47"/>
  <c r="P33" i="47"/>
  <c r="Q33" i="47" s="1"/>
  <c r="P27" i="47"/>
  <c r="Q27" i="47" s="1"/>
  <c r="K25" i="47"/>
  <c r="K33" i="47"/>
  <c r="K39" i="47"/>
  <c r="P29" i="47"/>
  <c r="Q29" i="47" s="1"/>
  <c r="P38" i="47"/>
  <c r="Q38" i="47" s="1"/>
  <c r="K38" i="47"/>
  <c r="P28" i="47"/>
  <c r="Q28" i="47" s="1"/>
  <c r="I6" i="62"/>
  <c r="I4" i="42"/>
  <c r="T24" i="48"/>
  <c r="T35" i="48"/>
  <c r="P22" i="46"/>
  <c r="Q22" i="46" s="1"/>
  <c r="P26" i="46"/>
  <c r="Q26" i="46" s="1"/>
  <c r="P37" i="46"/>
  <c r="Q37" i="46" s="1"/>
  <c r="P38" i="46"/>
  <c r="Q38" i="46" s="1"/>
  <c r="T28" i="48"/>
  <c r="T37" i="48"/>
  <c r="T31" i="48"/>
  <c r="T32" i="48"/>
  <c r="P40" i="46"/>
  <c r="Q40" i="46" s="1"/>
  <c r="P28" i="46"/>
  <c r="Q28" i="46" s="1"/>
  <c r="P35" i="46"/>
  <c r="Q35" i="46" s="1"/>
  <c r="T29" i="48"/>
  <c r="T34" i="48"/>
  <c r="T38" i="48"/>
  <c r="W28" i="44"/>
  <c r="W27" i="44"/>
  <c r="W30" i="44"/>
  <c r="W35" i="44"/>
  <c r="W23" i="44"/>
  <c r="W33" i="44"/>
  <c r="W25" i="44"/>
  <c r="W32" i="44"/>
  <c r="W34" i="44"/>
  <c r="W37" i="44"/>
  <c r="W22" i="44"/>
  <c r="W29" i="44"/>
  <c r="W26" i="44"/>
  <c r="W31" i="44"/>
  <c r="W24" i="44"/>
  <c r="W39" i="44"/>
  <c r="W40" i="44"/>
  <c r="J6" i="43"/>
  <c r="W32" i="43" s="1"/>
  <c r="W49" i="33"/>
  <c r="W26" i="33"/>
  <c r="P49" i="33"/>
  <c r="T49" i="33"/>
  <c r="T137" i="33"/>
  <c r="P137" i="33"/>
  <c r="T128" i="33"/>
  <c r="P128" i="33"/>
  <c r="T50" i="33"/>
  <c r="P50" i="33"/>
  <c r="P48" i="33"/>
  <c r="T48" i="33"/>
  <c r="F109" i="34"/>
  <c r="E109" i="34"/>
  <c r="E110" i="34"/>
  <c r="F110" i="34"/>
  <c r="T115" i="42" l="1"/>
  <c r="T52" i="42"/>
  <c r="T58" i="42"/>
  <c r="T112" i="42"/>
  <c r="T17" i="42"/>
  <c r="T131" i="42"/>
  <c r="T64" i="42"/>
  <c r="T111" i="42"/>
  <c r="W50" i="33"/>
  <c r="W128" i="33"/>
  <c r="W137" i="33"/>
  <c r="T132" i="42"/>
  <c r="T55" i="42"/>
  <c r="T62" i="42"/>
  <c r="T20" i="42"/>
  <c r="T83" i="42"/>
  <c r="T85" i="42"/>
  <c r="T130" i="42"/>
  <c r="T125" i="42"/>
  <c r="T44" i="42"/>
  <c r="T56" i="42"/>
  <c r="T60" i="42"/>
  <c r="T107" i="42"/>
  <c r="T108" i="42"/>
  <c r="T90" i="42"/>
  <c r="T92" i="42"/>
  <c r="T48" i="42"/>
  <c r="T12" i="42"/>
  <c r="T116" i="42"/>
  <c r="T16" i="42"/>
  <c r="T117" i="42"/>
  <c r="T114" i="42"/>
  <c r="T59" i="42"/>
  <c r="T136" i="42"/>
  <c r="T54" i="42"/>
  <c r="T65" i="42"/>
  <c r="T110" i="42"/>
  <c r="T50" i="42"/>
  <c r="T14" i="42"/>
  <c r="T87" i="42"/>
  <c r="T121" i="42"/>
  <c r="T128" i="42"/>
  <c r="T133" i="42"/>
  <c r="T46" i="42"/>
  <c r="T126" i="42"/>
  <c r="T106" i="42"/>
  <c r="T79" i="42"/>
  <c r="T109" i="42"/>
  <c r="T119" i="42"/>
  <c r="T18" i="42"/>
  <c r="T53" i="42"/>
  <c r="T89" i="42"/>
  <c r="T49" i="42"/>
  <c r="T80" i="42"/>
  <c r="T19" i="42"/>
  <c r="T129" i="42"/>
  <c r="T84" i="42"/>
  <c r="T122" i="42"/>
  <c r="T63" i="42"/>
  <c r="T42" i="42"/>
  <c r="T137" i="42"/>
  <c r="T86" i="42"/>
  <c r="T15" i="42"/>
  <c r="T93" i="42"/>
  <c r="T78" i="42"/>
  <c r="T124" i="42"/>
  <c r="T135" i="42"/>
  <c r="T81" i="42"/>
  <c r="T120" i="42"/>
  <c r="T118" i="42"/>
  <c r="T47" i="42"/>
  <c r="T43" i="42"/>
  <c r="T91" i="42"/>
  <c r="T82" i="42"/>
  <c r="T123" i="42"/>
  <c r="T113" i="42"/>
  <c r="T57" i="42"/>
  <c r="U15" i="62"/>
  <c r="U17" i="62"/>
  <c r="W12" i="43"/>
  <c r="U16" i="62"/>
  <c r="U14" i="62"/>
  <c r="U19" i="62"/>
  <c r="U13" i="62"/>
  <c r="W62" i="43"/>
  <c r="W131" i="43"/>
  <c r="J9" i="62"/>
  <c r="X17" i="62" s="1"/>
  <c r="AA16" i="62"/>
  <c r="AC16" i="62" s="1"/>
  <c r="W49" i="43"/>
  <c r="W56" i="43"/>
  <c r="W20" i="43"/>
  <c r="W59" i="43"/>
  <c r="W55" i="43"/>
  <c r="W136" i="43"/>
  <c r="AA13" i="62"/>
  <c r="AC13" i="62" s="1"/>
  <c r="W130" i="43"/>
  <c r="W124" i="43"/>
  <c r="W17" i="43"/>
  <c r="W112" i="43"/>
  <c r="W111" i="43"/>
  <c r="W85" i="43"/>
  <c r="W128" i="43"/>
  <c r="W15" i="43"/>
  <c r="W14" i="43"/>
  <c r="W106" i="43"/>
  <c r="W83" i="43"/>
  <c r="W84" i="43"/>
  <c r="W82" i="43"/>
  <c r="AA14" i="62"/>
  <c r="AC14" i="62" s="1"/>
  <c r="W118" i="43"/>
  <c r="W132" i="43"/>
  <c r="W114" i="43"/>
  <c r="W108" i="43"/>
  <c r="W119" i="43"/>
  <c r="W107" i="43"/>
  <c r="W87" i="43"/>
  <c r="W47" i="43"/>
  <c r="W80" i="43"/>
  <c r="W53" i="43"/>
  <c r="W64" i="43"/>
  <c r="W43" i="43"/>
  <c r="W19" i="43"/>
  <c r="W81" i="43"/>
  <c r="W16" i="43"/>
  <c r="W79" i="43"/>
  <c r="W120" i="43"/>
  <c r="W54" i="43"/>
  <c r="W126" i="43"/>
  <c r="W110" i="43"/>
  <c r="W57" i="43"/>
  <c r="W60" i="43"/>
  <c r="W109" i="43"/>
  <c r="W122" i="43"/>
  <c r="W42" i="43"/>
  <c r="W87" i="44"/>
  <c r="W114" i="48"/>
  <c r="J7" i="47"/>
  <c r="W57" i="47" s="1"/>
  <c r="W14" i="48"/>
  <c r="J7" i="42"/>
  <c r="W119" i="42" s="1"/>
  <c r="W58" i="43"/>
  <c r="W119" i="48"/>
  <c r="W134" i="44"/>
  <c r="W20" i="44"/>
  <c r="W65" i="44"/>
  <c r="W89" i="48"/>
  <c r="W111" i="44"/>
  <c r="W80" i="44"/>
  <c r="J7" i="46"/>
  <c r="W122" i="46" s="1"/>
  <c r="W60" i="48"/>
  <c r="W122" i="44"/>
  <c r="W50" i="48"/>
  <c r="W63" i="44"/>
  <c r="W63" i="48"/>
  <c r="W17" i="48"/>
  <c r="W83" i="44"/>
  <c r="W106" i="44"/>
  <c r="W81" i="44"/>
  <c r="W78" i="44"/>
  <c r="W108" i="44"/>
  <c r="W54" i="44"/>
  <c r="W115" i="44"/>
  <c r="W47" i="48"/>
  <c r="W80" i="48"/>
  <c r="W117" i="48"/>
  <c r="W108" i="48"/>
  <c r="W43" i="48"/>
  <c r="W107" i="48"/>
  <c r="W50" i="43"/>
  <c r="W93" i="43"/>
  <c r="W45" i="43"/>
  <c r="W136" i="44"/>
  <c r="W42" i="48"/>
  <c r="W43" i="44"/>
  <c r="W121" i="44"/>
  <c r="W56" i="44"/>
  <c r="W62" i="44"/>
  <c r="W128" i="44"/>
  <c r="W79" i="44"/>
  <c r="W45" i="44"/>
  <c r="W59" i="48"/>
  <c r="W58" i="48"/>
  <c r="W57" i="48"/>
  <c r="W78" i="48"/>
  <c r="W106" i="48"/>
  <c r="W126" i="48"/>
  <c r="W136" i="48"/>
  <c r="W92" i="44"/>
  <c r="W49" i="48"/>
  <c r="W58" i="44"/>
  <c r="W123" i="44"/>
  <c r="W93" i="44"/>
  <c r="W64" i="44"/>
  <c r="W132" i="44"/>
  <c r="W46" i="44"/>
  <c r="W112" i="44"/>
  <c r="W86" i="48"/>
  <c r="W81" i="48"/>
  <c r="W128" i="48"/>
  <c r="W134" i="48"/>
  <c r="W82" i="48"/>
  <c r="W130" i="48"/>
  <c r="W130" i="44"/>
  <c r="W14" i="44"/>
  <c r="W132" i="48"/>
  <c r="W118" i="44"/>
  <c r="W131" i="44"/>
  <c r="W110" i="44"/>
  <c r="W16" i="44"/>
  <c r="W133" i="44"/>
  <c r="W48" i="44"/>
  <c r="W86" i="44"/>
  <c r="W129" i="48"/>
  <c r="W20" i="48"/>
  <c r="W92" i="48"/>
  <c r="W62" i="48"/>
  <c r="W125" i="48"/>
  <c r="W55" i="48"/>
  <c r="W45" i="48"/>
  <c r="J7" i="45"/>
  <c r="W16" i="45" s="1"/>
  <c r="W84" i="44"/>
  <c r="W17" i="44"/>
  <c r="W19" i="44"/>
  <c r="W126" i="44"/>
  <c r="W129" i="44"/>
  <c r="W119" i="44"/>
  <c r="W60" i="44"/>
  <c r="W65" i="48"/>
  <c r="W48" i="48"/>
  <c r="W85" i="48"/>
  <c r="W18" i="48"/>
  <c r="W79" i="48"/>
  <c r="W46" i="48"/>
  <c r="W16" i="48"/>
  <c r="W117" i="44"/>
  <c r="W107" i="44"/>
  <c r="W89" i="44"/>
  <c r="W116" i="44"/>
  <c r="W53" i="44"/>
  <c r="W85" i="44"/>
  <c r="W124" i="44"/>
  <c r="W47" i="44"/>
  <c r="W50" i="44"/>
  <c r="W115" i="48"/>
  <c r="W137" i="48"/>
  <c r="W123" i="48"/>
  <c r="W109" i="48"/>
  <c r="W121" i="48"/>
  <c r="W53" i="48"/>
  <c r="W66" i="48"/>
  <c r="W121" i="43"/>
  <c r="W110" i="48"/>
  <c r="W133" i="48"/>
  <c r="W131" i="48"/>
  <c r="W18" i="44"/>
  <c r="W15" i="44"/>
  <c r="W59" i="44"/>
  <c r="W90" i="44"/>
  <c r="W120" i="44"/>
  <c r="W125" i="44"/>
  <c r="W55" i="44"/>
  <c r="W114" i="44"/>
  <c r="W113" i="44"/>
  <c r="W93" i="48"/>
  <c r="W12" i="48"/>
  <c r="W135" i="48"/>
  <c r="W111" i="48"/>
  <c r="W90" i="48"/>
  <c r="W120" i="48"/>
  <c r="W87" i="48"/>
  <c r="W122" i="48"/>
  <c r="W64" i="48"/>
  <c r="W109" i="44"/>
  <c r="K12" i="42"/>
  <c r="P18" i="42"/>
  <c r="Q18" i="42" s="1"/>
  <c r="K135" i="42"/>
  <c r="K130" i="42"/>
  <c r="K91" i="42"/>
  <c r="K15" i="42"/>
  <c r="K111" i="42"/>
  <c r="K105" i="42"/>
  <c r="K122" i="42"/>
  <c r="K78" i="42"/>
  <c r="K58" i="42"/>
  <c r="K106" i="42"/>
  <c r="K62" i="42"/>
  <c r="K68" i="42"/>
  <c r="P121" i="42"/>
  <c r="Q121" i="42" s="1"/>
  <c r="K63" i="42"/>
  <c r="K49" i="42"/>
  <c r="K112" i="42"/>
  <c r="K17" i="42"/>
  <c r="K131" i="42"/>
  <c r="K90" i="42"/>
  <c r="K77" i="42"/>
  <c r="P63" i="42"/>
  <c r="Q63" i="42" s="1"/>
  <c r="K117" i="42"/>
  <c r="K45" i="42"/>
  <c r="K118" i="42"/>
  <c r="K103" i="42"/>
  <c r="K66" i="42"/>
  <c r="K18" i="42"/>
  <c r="K19" i="42"/>
  <c r="K134" i="42"/>
  <c r="K125" i="42"/>
  <c r="K113" i="42"/>
  <c r="K93" i="42"/>
  <c r="K89" i="42"/>
  <c r="K71" i="42"/>
  <c r="K44" i="42"/>
  <c r="K59" i="42"/>
  <c r="P117" i="42"/>
  <c r="Q117" i="42" s="1"/>
  <c r="K124" i="42"/>
  <c r="K82" i="42"/>
  <c r="P45" i="42"/>
  <c r="Q45" i="42" s="1"/>
  <c r="K116" i="42"/>
  <c r="K101" i="42"/>
  <c r="K84" i="42"/>
  <c r="K54" i="42"/>
  <c r="K70" i="42"/>
  <c r="K96" i="42"/>
  <c r="K52" i="42"/>
  <c r="K95" i="42"/>
  <c r="K74" i="42"/>
  <c r="K115" i="42"/>
  <c r="K126" i="42"/>
  <c r="K65" i="42"/>
  <c r="K92" i="42"/>
  <c r="K132" i="42"/>
  <c r="K94" i="42"/>
  <c r="K73" i="42"/>
  <c r="P52" i="42"/>
  <c r="Q52" i="42" s="1"/>
  <c r="K110" i="42"/>
  <c r="K107" i="42"/>
  <c r="K80" i="42"/>
  <c r="K83" i="42"/>
  <c r="K57" i="42"/>
  <c r="K55" i="42"/>
  <c r="K53" i="42"/>
  <c r="K48" i="42"/>
  <c r="P81" i="42"/>
  <c r="Q81" i="42" s="1"/>
  <c r="K102" i="42"/>
  <c r="K43" i="42"/>
  <c r="K100" i="42"/>
  <c r="K129" i="42"/>
  <c r="K87" i="42"/>
  <c r="K81" i="42"/>
  <c r="K46" i="42"/>
  <c r="K119" i="42"/>
  <c r="K56" i="42"/>
  <c r="K121" i="42"/>
  <c r="K79" i="42"/>
  <c r="K60" i="42"/>
  <c r="P56" i="42"/>
  <c r="Q56" i="42" s="1"/>
  <c r="K137" i="42"/>
  <c r="K133" i="42"/>
  <c r="K104" i="42"/>
  <c r="K108" i="42"/>
  <c r="K120" i="42"/>
  <c r="K98" i="42"/>
  <c r="K47" i="42"/>
  <c r="K64" i="42"/>
  <c r="K97" i="42"/>
  <c r="K85" i="42"/>
  <c r="K136" i="42"/>
  <c r="K123" i="42"/>
  <c r="K114" i="42"/>
  <c r="K99" i="42"/>
  <c r="K75" i="42"/>
  <c r="K72" i="42"/>
  <c r="K69" i="42"/>
  <c r="K42" i="42"/>
  <c r="K14" i="42"/>
  <c r="P87" i="42"/>
  <c r="Q87" i="42" s="1"/>
  <c r="K128" i="42"/>
  <c r="K109" i="42"/>
  <c r="K76" i="42"/>
  <c r="K16" i="42"/>
  <c r="K50" i="42"/>
  <c r="K20" i="42"/>
  <c r="K86" i="42"/>
  <c r="P65" i="42"/>
  <c r="Q65" i="42" s="1"/>
  <c r="P124" i="42"/>
  <c r="Q124" i="42" s="1"/>
  <c r="P83" i="42"/>
  <c r="Q83" i="42" s="1"/>
  <c r="P14" i="42"/>
  <c r="Q14" i="42" s="1"/>
  <c r="P91" i="42"/>
  <c r="Q91" i="42" s="1"/>
  <c r="P46" i="42"/>
  <c r="Q46" i="42" s="1"/>
  <c r="P106" i="42"/>
  <c r="Q106" i="42" s="1"/>
  <c r="P93" i="42"/>
  <c r="Q93" i="42" s="1"/>
  <c r="P108" i="42"/>
  <c r="Q108" i="42" s="1"/>
  <c r="P118" i="42"/>
  <c r="Q118" i="42" s="1"/>
  <c r="P112" i="42"/>
  <c r="Q112" i="42" s="1"/>
  <c r="P132" i="42"/>
  <c r="Q132" i="42" s="1"/>
  <c r="P109" i="42"/>
  <c r="Q109" i="42" s="1"/>
  <c r="P86" i="42"/>
  <c r="Q86" i="42" s="1"/>
  <c r="P20" i="42"/>
  <c r="Q20" i="42" s="1"/>
  <c r="P42" i="42"/>
  <c r="Q42" i="42" s="1"/>
  <c r="P12" i="42"/>
  <c r="Q12" i="42" s="1"/>
  <c r="P85" i="42"/>
  <c r="Q85" i="42" s="1"/>
  <c r="P64" i="42"/>
  <c r="Q64" i="42" s="1"/>
  <c r="P55" i="42"/>
  <c r="Q55" i="42" s="1"/>
  <c r="P82" i="42"/>
  <c r="Q82" i="42" s="1"/>
  <c r="P48" i="42"/>
  <c r="Q48" i="42" s="1"/>
  <c r="P111" i="42"/>
  <c r="Q111" i="42" s="1"/>
  <c r="P90" i="42"/>
  <c r="Q90" i="42" s="1"/>
  <c r="P122" i="42"/>
  <c r="Q122" i="42" s="1"/>
  <c r="P119" i="42"/>
  <c r="Q119" i="42" s="1"/>
  <c r="P137" i="42"/>
  <c r="Q137" i="42" s="1"/>
  <c r="P89" i="42"/>
  <c r="Q89" i="42" s="1"/>
  <c r="P130" i="42"/>
  <c r="Q130" i="42" s="1"/>
  <c r="P129" i="42"/>
  <c r="Q129" i="42" s="1"/>
  <c r="P110" i="42"/>
  <c r="Q110" i="42" s="1"/>
  <c r="P62" i="42"/>
  <c r="Q62" i="42" s="1"/>
  <c r="P47" i="42"/>
  <c r="Q47" i="42" s="1"/>
  <c r="P131" i="42"/>
  <c r="Q131" i="42" s="1"/>
  <c r="P125" i="42"/>
  <c r="Q125" i="42" s="1"/>
  <c r="P135" i="42"/>
  <c r="Q135" i="42" s="1"/>
  <c r="P120" i="42"/>
  <c r="Q120" i="42" s="1"/>
  <c r="P58" i="42"/>
  <c r="Q58" i="42" s="1"/>
  <c r="P107" i="42"/>
  <c r="Q107" i="42" s="1"/>
  <c r="P136" i="42"/>
  <c r="Q136" i="42" s="1"/>
  <c r="P17" i="42"/>
  <c r="Q17" i="42" s="1"/>
  <c r="P128" i="42"/>
  <c r="Q128" i="42" s="1"/>
  <c r="P92" i="42"/>
  <c r="Q92" i="42" s="1"/>
  <c r="P60" i="42"/>
  <c r="Q60" i="42" s="1"/>
  <c r="P114" i="42"/>
  <c r="Q114" i="42" s="1"/>
  <c r="P80" i="42"/>
  <c r="Q80" i="42" s="1"/>
  <c r="P15" i="42"/>
  <c r="Q15" i="42" s="1"/>
  <c r="P123" i="42"/>
  <c r="Q123" i="42" s="1"/>
  <c r="P16" i="42"/>
  <c r="Q16" i="42" s="1"/>
  <c r="P113" i="42"/>
  <c r="Q113" i="42" s="1"/>
  <c r="P49" i="42"/>
  <c r="Q49" i="42" s="1"/>
  <c r="P43" i="42"/>
  <c r="Q43" i="42" s="1"/>
  <c r="P54" i="42"/>
  <c r="Q54" i="42" s="1"/>
  <c r="P78" i="42"/>
  <c r="Q78" i="42" s="1"/>
  <c r="P53" i="42"/>
  <c r="Q53" i="42" s="1"/>
  <c r="P115" i="42"/>
  <c r="Q115" i="42" s="1"/>
  <c r="P66" i="42"/>
  <c r="Q66" i="42" s="1"/>
  <c r="P134" i="42"/>
  <c r="Q134" i="42" s="1"/>
  <c r="P116" i="42"/>
  <c r="Q116" i="42" s="1"/>
  <c r="P79" i="42"/>
  <c r="Q79" i="42" s="1"/>
  <c r="P59" i="42"/>
  <c r="Q59" i="42" s="1"/>
  <c r="P19" i="42"/>
  <c r="Q19" i="42" s="1"/>
  <c r="P133" i="42"/>
  <c r="Q133" i="42" s="1"/>
  <c r="P44" i="42"/>
  <c r="Q44" i="42" s="1"/>
  <c r="P57" i="42"/>
  <c r="Q57" i="42" s="1"/>
  <c r="P84" i="42"/>
  <c r="Q84" i="42" s="1"/>
  <c r="P126" i="42"/>
  <c r="Q126" i="42" s="1"/>
  <c r="P50" i="42"/>
  <c r="Q50" i="42" s="1"/>
  <c r="W124" i="48"/>
  <c r="W56" i="48"/>
  <c r="W54" i="48"/>
  <c r="W44" i="48"/>
  <c r="W135" i="44"/>
  <c r="W57" i="44"/>
  <c r="W66" i="44"/>
  <c r="W42" i="44"/>
  <c r="W12" i="44"/>
  <c r="W82" i="44"/>
  <c r="W49" i="44"/>
  <c r="W44" i="44"/>
  <c r="W91" i="44"/>
  <c r="W52" i="44"/>
  <c r="L13" i="62"/>
  <c r="L19" i="62"/>
  <c r="L14" i="62"/>
  <c r="L18" i="62"/>
  <c r="Q17" i="62"/>
  <c r="R17" i="62" s="1"/>
  <c r="Q15" i="62"/>
  <c r="R15" i="62" s="1"/>
  <c r="Q13" i="62"/>
  <c r="R13" i="62" s="1"/>
  <c r="L17" i="62"/>
  <c r="L15" i="62"/>
  <c r="L16" i="62"/>
  <c r="Q18" i="62"/>
  <c r="R18" i="62" s="1"/>
  <c r="Q19" i="62"/>
  <c r="R19" i="62" s="1"/>
  <c r="Q16" i="62"/>
  <c r="R16" i="62" s="1"/>
  <c r="Q14" i="62"/>
  <c r="R14" i="62" s="1"/>
  <c r="W84" i="48"/>
  <c r="W83" i="48"/>
  <c r="W19" i="48"/>
  <c r="W52" i="48"/>
  <c r="W15" i="48"/>
  <c r="W112" i="48"/>
  <c r="W113" i="48"/>
  <c r="W118" i="48"/>
  <c r="W116" i="48"/>
  <c r="T38" i="42"/>
  <c r="T28" i="42"/>
  <c r="K40" i="42"/>
  <c r="K32" i="42"/>
  <c r="K38" i="42"/>
  <c r="K33" i="42"/>
  <c r="K28" i="42"/>
  <c r="K26" i="42"/>
  <c r="T22" i="42"/>
  <c r="T37" i="42"/>
  <c r="T39" i="42"/>
  <c r="T27" i="42"/>
  <c r="T35" i="42"/>
  <c r="T31" i="42"/>
  <c r="T24" i="42"/>
  <c r="T26" i="42"/>
  <c r="T25" i="42"/>
  <c r="K22" i="42"/>
  <c r="K37" i="42"/>
  <c r="K25" i="42"/>
  <c r="K35" i="42"/>
  <c r="K39" i="42"/>
  <c r="K24" i="42"/>
  <c r="K30" i="42"/>
  <c r="K29" i="42"/>
  <c r="P23" i="42"/>
  <c r="Q23" i="42" s="1"/>
  <c r="P24" i="42"/>
  <c r="Q24" i="42" s="1"/>
  <c r="K27" i="42"/>
  <c r="K23" i="42"/>
  <c r="P28" i="42"/>
  <c r="Q28" i="42" s="1"/>
  <c r="K31" i="42"/>
  <c r="P25" i="42"/>
  <c r="Q25" i="42" s="1"/>
  <c r="P29" i="42"/>
  <c r="Q29" i="42" s="1"/>
  <c r="P38" i="42"/>
  <c r="Q38" i="42" s="1"/>
  <c r="P37" i="42"/>
  <c r="Q37" i="42" s="1"/>
  <c r="P30" i="42"/>
  <c r="Q30" i="42" s="1"/>
  <c r="P40" i="42"/>
  <c r="Q40" i="42" s="1"/>
  <c r="P27" i="42"/>
  <c r="Q27" i="42" s="1"/>
  <c r="P26" i="42"/>
  <c r="Q26" i="42" s="1"/>
  <c r="P39" i="42"/>
  <c r="Q39" i="42" s="1"/>
  <c r="P22" i="42"/>
  <c r="Q22" i="42" s="1"/>
  <c r="P35" i="42"/>
  <c r="Q35" i="42" s="1"/>
  <c r="P33" i="42"/>
  <c r="Q33" i="42" s="1"/>
  <c r="P31" i="42"/>
  <c r="Q31" i="42" s="1"/>
  <c r="P34" i="42"/>
  <c r="Q34" i="42" s="1"/>
  <c r="P32" i="42"/>
  <c r="Q32" i="42" s="1"/>
  <c r="W30" i="46"/>
  <c r="J6" i="48"/>
  <c r="W22" i="48" s="1"/>
  <c r="W27" i="46"/>
  <c r="W40" i="46"/>
  <c r="W26" i="46"/>
  <c r="W29" i="46"/>
  <c r="J6" i="45"/>
  <c r="W28" i="45" s="1"/>
  <c r="W38" i="46"/>
  <c r="J6" i="62"/>
  <c r="J8" i="62" s="1"/>
  <c r="W23" i="46"/>
  <c r="W34" i="46"/>
  <c r="W28" i="46"/>
  <c r="W33" i="46"/>
  <c r="W22" i="46"/>
  <c r="W32" i="46"/>
  <c r="W24" i="46"/>
  <c r="W37" i="46"/>
  <c r="W31" i="46"/>
  <c r="J4" i="42"/>
  <c r="J6" i="42" s="1"/>
  <c r="W22" i="42" s="1"/>
  <c r="W23" i="47"/>
  <c r="W38" i="47"/>
  <c r="W30" i="47"/>
  <c r="W25" i="47"/>
  <c r="W35" i="47"/>
  <c r="W29" i="47"/>
  <c r="W31" i="47"/>
  <c r="W37" i="47"/>
  <c r="W40" i="47"/>
  <c r="W24" i="47"/>
  <c r="W32" i="47"/>
  <c r="W33" i="47"/>
  <c r="W27" i="47"/>
  <c r="W26" i="47"/>
  <c r="W28" i="47"/>
  <c r="W22" i="47"/>
  <c r="W39" i="47"/>
  <c r="W39" i="46"/>
  <c r="W25" i="46"/>
  <c r="W23" i="43"/>
  <c r="W30" i="43"/>
  <c r="W38" i="43"/>
  <c r="W34" i="43"/>
  <c r="W39" i="43"/>
  <c r="W29" i="43"/>
  <c r="W22" i="43"/>
  <c r="W26" i="43"/>
  <c r="W24" i="43"/>
  <c r="W40" i="43"/>
  <c r="W31" i="43"/>
  <c r="W28" i="43"/>
  <c r="W35" i="43"/>
  <c r="W27" i="43"/>
  <c r="W37" i="43"/>
  <c r="W33" i="43"/>
  <c r="W25" i="43"/>
  <c r="F2" i="34"/>
  <c r="E2" i="34"/>
  <c r="W59" i="47" l="1"/>
  <c r="X16" i="62"/>
  <c r="X13" i="62"/>
  <c r="X18" i="62"/>
  <c r="X19" i="62"/>
  <c r="X14" i="62"/>
  <c r="X15" i="62"/>
  <c r="W133" i="42"/>
  <c r="W47" i="47"/>
  <c r="W17" i="42"/>
  <c r="W130" i="47"/>
  <c r="W20" i="47"/>
  <c r="W56" i="47"/>
  <c r="W15" i="47"/>
  <c r="W118" i="47"/>
  <c r="W131" i="47"/>
  <c r="W113" i="47"/>
  <c r="W58" i="47"/>
  <c r="W46" i="47"/>
  <c r="W52" i="47"/>
  <c r="W109" i="47"/>
  <c r="W65" i="47"/>
  <c r="W86" i="47"/>
  <c r="W79" i="47"/>
  <c r="W53" i="47"/>
  <c r="W124" i="47"/>
  <c r="W55" i="47"/>
  <c r="W87" i="47"/>
  <c r="W126" i="47"/>
  <c r="W111" i="47"/>
  <c r="W90" i="47"/>
  <c r="W85" i="47"/>
  <c r="W43" i="47"/>
  <c r="W119" i="47"/>
  <c r="W60" i="42"/>
  <c r="W121" i="42"/>
  <c r="W112" i="42"/>
  <c r="W14" i="42"/>
  <c r="W125" i="47"/>
  <c r="W49" i="47"/>
  <c r="W115" i="42"/>
  <c r="W116" i="42"/>
  <c r="W45" i="42"/>
  <c r="W125" i="42"/>
  <c r="W80" i="42"/>
  <c r="W65" i="42"/>
  <c r="W49" i="42"/>
  <c r="W66" i="42"/>
  <c r="W57" i="42"/>
  <c r="W123" i="42"/>
  <c r="W53" i="42"/>
  <c r="W117" i="42"/>
  <c r="W91" i="42"/>
  <c r="W124" i="42"/>
  <c r="W42" i="42"/>
  <c r="W46" i="42"/>
  <c r="W128" i="42"/>
  <c r="W50" i="42"/>
  <c r="W90" i="42"/>
  <c r="W58" i="42"/>
  <c r="W85" i="42"/>
  <c r="W48" i="42"/>
  <c r="W83" i="42"/>
  <c r="W15" i="42"/>
  <c r="W122" i="47"/>
  <c r="W89" i="42"/>
  <c r="W64" i="42"/>
  <c r="W79" i="42"/>
  <c r="W81" i="42"/>
  <c r="W126" i="42"/>
  <c r="W55" i="42"/>
  <c r="W47" i="42"/>
  <c r="W135" i="42"/>
  <c r="W107" i="42"/>
  <c r="W106" i="42"/>
  <c r="W120" i="42"/>
  <c r="W93" i="42"/>
  <c r="W52" i="42"/>
  <c r="W118" i="42"/>
  <c r="W86" i="42"/>
  <c r="W54" i="42"/>
  <c r="W82" i="42"/>
  <c r="W18" i="42"/>
  <c r="W47" i="45"/>
  <c r="W64" i="47"/>
  <c r="W83" i="47"/>
  <c r="W134" i="47"/>
  <c r="W123" i="47"/>
  <c r="W14" i="47"/>
  <c r="W117" i="47"/>
  <c r="W107" i="47"/>
  <c r="W108" i="47"/>
  <c r="W132" i="47"/>
  <c r="W93" i="47"/>
  <c r="W116" i="47"/>
  <c r="W54" i="47"/>
  <c r="W106" i="47"/>
  <c r="W12" i="47"/>
  <c r="W60" i="47"/>
  <c r="W136" i="47"/>
  <c r="W62" i="47"/>
  <c r="W46" i="45"/>
  <c r="W79" i="45"/>
  <c r="W44" i="47"/>
  <c r="W42" i="47"/>
  <c r="W137" i="47"/>
  <c r="W82" i="47"/>
  <c r="W17" i="47"/>
  <c r="W135" i="47"/>
  <c r="W16" i="47"/>
  <c r="W133" i="47"/>
  <c r="W112" i="47"/>
  <c r="W84" i="42"/>
  <c r="W92" i="42"/>
  <c r="W122" i="42"/>
  <c r="W59" i="42"/>
  <c r="W78" i="42"/>
  <c r="W136" i="42"/>
  <c r="W132" i="42"/>
  <c r="W129" i="42"/>
  <c r="W20" i="42"/>
  <c r="W135" i="45"/>
  <c r="W130" i="42"/>
  <c r="W44" i="42"/>
  <c r="W111" i="42"/>
  <c r="W12" i="42"/>
  <c r="W110" i="42"/>
  <c r="W109" i="42"/>
  <c r="W63" i="42"/>
  <c r="W108" i="42"/>
  <c r="W56" i="42"/>
  <c r="W19" i="47"/>
  <c r="W134" i="42"/>
  <c r="W43" i="42"/>
  <c r="W62" i="42"/>
  <c r="W114" i="42"/>
  <c r="W131" i="42"/>
  <c r="W19" i="42"/>
  <c r="W16" i="42"/>
  <c r="W137" i="42"/>
  <c r="W113" i="42"/>
  <c r="W87" i="42"/>
  <c r="W66" i="47"/>
  <c r="W80" i="47"/>
  <c r="W128" i="47"/>
  <c r="W63" i="47"/>
  <c r="W92" i="47"/>
  <c r="W81" i="47"/>
  <c r="W89" i="47"/>
  <c r="W78" i="47"/>
  <c r="W120" i="47"/>
  <c r="W45" i="47"/>
  <c r="W50" i="47"/>
  <c r="W114" i="47"/>
  <c r="W84" i="47"/>
  <c r="W110" i="47"/>
  <c r="W91" i="47"/>
  <c r="W48" i="47"/>
  <c r="W18" i="47"/>
  <c r="W121" i="47"/>
  <c r="W115" i="47"/>
  <c r="W129" i="47"/>
  <c r="W55" i="45"/>
  <c r="W112" i="45"/>
  <c r="W124" i="45"/>
  <c r="W62" i="45"/>
  <c r="W89" i="45"/>
  <c r="W14" i="45"/>
  <c r="W12" i="45"/>
  <c r="W119" i="46"/>
  <c r="W43" i="46"/>
  <c r="W16" i="46"/>
  <c r="W50" i="46"/>
  <c r="W65" i="46"/>
  <c r="W12" i="46"/>
  <c r="W18" i="46"/>
  <c r="W60" i="46"/>
  <c r="W83" i="46"/>
  <c r="W49" i="46"/>
  <c r="W63" i="46"/>
  <c r="W52" i="46"/>
  <c r="W135" i="46"/>
  <c r="W53" i="46"/>
  <c r="W20" i="46"/>
  <c r="W44" i="46"/>
  <c r="W114" i="46"/>
  <c r="W109" i="46"/>
  <c r="W46" i="46"/>
  <c r="W108" i="46"/>
  <c r="W132" i="46"/>
  <c r="W113" i="46"/>
  <c r="W90" i="46"/>
  <c r="W45" i="46"/>
  <c r="W110" i="46"/>
  <c r="W17" i="46"/>
  <c r="W42" i="46"/>
  <c r="W59" i="46"/>
  <c r="W54" i="46"/>
  <c r="W107" i="46"/>
  <c r="W91" i="46"/>
  <c r="W92" i="46"/>
  <c r="W86" i="46"/>
  <c r="W48" i="46"/>
  <c r="W125" i="46"/>
  <c r="W136" i="46"/>
  <c r="W80" i="46"/>
  <c r="W87" i="46"/>
  <c r="W64" i="46"/>
  <c r="W130" i="46"/>
  <c r="W137" i="46"/>
  <c r="W106" i="46"/>
  <c r="W81" i="46"/>
  <c r="W84" i="46"/>
  <c r="W134" i="46"/>
  <c r="W14" i="46"/>
  <c r="W121" i="46"/>
  <c r="W133" i="46"/>
  <c r="W93" i="46"/>
  <c r="W111" i="46"/>
  <c r="W120" i="46"/>
  <c r="W58" i="46"/>
  <c r="W89" i="46"/>
  <c r="W126" i="46"/>
  <c r="W78" i="46"/>
  <c r="W112" i="46"/>
  <c r="W19" i="46"/>
  <c r="W118" i="46"/>
  <c r="W116" i="46"/>
  <c r="W62" i="46"/>
  <c r="W85" i="46"/>
  <c r="W66" i="46"/>
  <c r="W123" i="46"/>
  <c r="W128" i="46"/>
  <c r="W115" i="46"/>
  <c r="W129" i="46"/>
  <c r="W82" i="46"/>
  <c r="W57" i="46"/>
  <c r="W131" i="46"/>
  <c r="W15" i="46"/>
  <c r="W117" i="46"/>
  <c r="W47" i="46"/>
  <c r="W55" i="46"/>
  <c r="W79" i="46"/>
  <c r="W124" i="46"/>
  <c r="W56" i="46"/>
  <c r="W91" i="45"/>
  <c r="W65" i="45"/>
  <c r="W90" i="45"/>
  <c r="W119" i="45"/>
  <c r="W81" i="45"/>
  <c r="W64" i="45"/>
  <c r="W17" i="45"/>
  <c r="W86" i="45"/>
  <c r="W15" i="45"/>
  <c r="W115" i="45"/>
  <c r="W20" i="45"/>
  <c r="W130" i="45"/>
  <c r="W113" i="45"/>
  <c r="W136" i="45"/>
  <c r="W118" i="45"/>
  <c r="W56" i="45"/>
  <c r="W106" i="45"/>
  <c r="W52" i="45"/>
  <c r="W92" i="45"/>
  <c r="W57" i="45"/>
  <c r="W78" i="45"/>
  <c r="W126" i="45"/>
  <c r="W122" i="45"/>
  <c r="W42" i="45"/>
  <c r="W133" i="45"/>
  <c r="W82" i="45"/>
  <c r="W128" i="45"/>
  <c r="W59" i="45"/>
  <c r="W116" i="45"/>
  <c r="W43" i="45"/>
  <c r="W111" i="45"/>
  <c r="W48" i="45"/>
  <c r="W83" i="45"/>
  <c r="W108" i="45"/>
  <c r="W80" i="45"/>
  <c r="W121" i="45"/>
  <c r="W110" i="45"/>
  <c r="W60" i="45"/>
  <c r="W85" i="45"/>
  <c r="W132" i="45"/>
  <c r="W50" i="45"/>
  <c r="W114" i="45"/>
  <c r="W109" i="45"/>
  <c r="W45" i="45"/>
  <c r="W18" i="45"/>
  <c r="W134" i="45"/>
  <c r="W58" i="45"/>
  <c r="W129" i="45"/>
  <c r="W131" i="45"/>
  <c r="W87" i="45"/>
  <c r="W63" i="45"/>
  <c r="W19" i="45"/>
  <c r="W117" i="45"/>
  <c r="W123" i="45"/>
  <c r="W49" i="45"/>
  <c r="W53" i="45"/>
  <c r="W120" i="45"/>
  <c r="W137" i="45"/>
  <c r="W107" i="45"/>
  <c r="W66" i="45"/>
  <c r="W54" i="45"/>
  <c r="W84" i="45"/>
  <c r="W44" i="45"/>
  <c r="W93" i="45"/>
  <c r="W125" i="45"/>
  <c r="W38" i="48"/>
  <c r="W25" i="48"/>
  <c r="W29" i="48"/>
  <c r="W28" i="48"/>
  <c r="W35" i="48"/>
  <c r="W30" i="48"/>
  <c r="W26" i="48"/>
  <c r="W27" i="48"/>
  <c r="W37" i="48"/>
  <c r="W23" i="48"/>
  <c r="W38" i="45"/>
  <c r="W34" i="48"/>
  <c r="W32" i="48"/>
  <c r="W40" i="48"/>
  <c r="W24" i="48"/>
  <c r="W23" i="45"/>
  <c r="W37" i="45"/>
  <c r="W25" i="45"/>
  <c r="W29" i="45"/>
  <c r="W24" i="45"/>
  <c r="W27" i="45"/>
  <c r="W40" i="45"/>
  <c r="W26" i="45"/>
  <c r="W33" i="45"/>
  <c r="W31" i="45"/>
  <c r="W39" i="48"/>
  <c r="W31" i="48"/>
  <c r="W33" i="48"/>
  <c r="W39" i="45"/>
  <c r="W34" i="45"/>
  <c r="W22" i="45"/>
  <c r="W32" i="45"/>
  <c r="W35" i="45"/>
  <c r="W30" i="45"/>
  <c r="W24" i="42"/>
  <c r="W32" i="42"/>
  <c r="W35" i="42"/>
  <c r="W23" i="42"/>
  <c r="W33" i="42"/>
  <c r="W40" i="42"/>
  <c r="W25" i="42"/>
  <c r="W34" i="42"/>
  <c r="W28" i="42"/>
  <c r="W39" i="42"/>
  <c r="W31" i="42"/>
  <c r="W27" i="42"/>
  <c r="W38" i="42"/>
  <c r="W26" i="42"/>
  <c r="W29" i="42"/>
  <c r="W30" i="42"/>
  <c r="W37" i="42"/>
  <c r="K49" i="33"/>
  <c r="K48" i="33"/>
  <c r="K50" i="33"/>
  <c r="K128" i="33"/>
  <c r="K137" i="33"/>
  <c r="C8" i="32" l="1"/>
  <c r="B5" i="32"/>
  <c r="K29" i="33"/>
  <c r="K30" i="33"/>
  <c r="K31" i="33"/>
  <c r="K32" i="33"/>
  <c r="K33" i="33"/>
  <c r="K34" i="33"/>
  <c r="K35" i="33"/>
  <c r="K37" i="33"/>
  <c r="K38" i="33"/>
  <c r="K39" i="33"/>
  <c r="K40" i="33"/>
  <c r="K42" i="33"/>
  <c r="K43" i="33"/>
  <c r="K44" i="33"/>
  <c r="K45" i="33"/>
  <c r="K46" i="33"/>
  <c r="K47" i="33"/>
  <c r="K52" i="33"/>
  <c r="K53" i="33"/>
  <c r="K54" i="33"/>
  <c r="K55" i="33"/>
  <c r="K56" i="33"/>
  <c r="K57" i="33"/>
  <c r="K58" i="33"/>
  <c r="K59" i="33"/>
  <c r="K60" i="33"/>
  <c r="K62" i="33"/>
  <c r="K63" i="33"/>
  <c r="K64" i="33"/>
  <c r="K65" i="33"/>
  <c r="K66" i="33"/>
  <c r="K68" i="33"/>
  <c r="K69" i="33"/>
  <c r="K70" i="33"/>
  <c r="K71" i="33"/>
  <c r="K72" i="33"/>
  <c r="K73" i="33"/>
  <c r="K74" i="33"/>
  <c r="K75" i="33"/>
  <c r="K76" i="33"/>
  <c r="K77" i="33"/>
  <c r="K78" i="33"/>
  <c r="K79" i="33"/>
  <c r="K80" i="33"/>
  <c r="K81" i="33"/>
  <c r="K82" i="33"/>
  <c r="K83" i="33"/>
  <c r="K84" i="33"/>
  <c r="K85" i="33"/>
  <c r="K86" i="33"/>
  <c r="K87" i="33"/>
  <c r="K89" i="33"/>
  <c r="K90" i="33"/>
  <c r="K91" i="33"/>
  <c r="K92" i="33"/>
  <c r="K93" i="33"/>
  <c r="K94" i="33"/>
  <c r="K95" i="33"/>
  <c r="K96" i="33"/>
  <c r="K97" i="33"/>
  <c r="K98" i="33"/>
  <c r="K99" i="33"/>
  <c r="K100" i="33"/>
  <c r="K101" i="33"/>
  <c r="K102" i="33"/>
  <c r="K103" i="33"/>
  <c r="K104" i="33"/>
  <c r="K105" i="33"/>
  <c r="K106" i="33"/>
  <c r="K107" i="33"/>
  <c r="K108" i="33"/>
  <c r="K109" i="33"/>
  <c r="K110" i="33"/>
  <c r="K111" i="33"/>
  <c r="K112" i="33"/>
  <c r="K113" i="33"/>
  <c r="K114" i="33"/>
  <c r="K115" i="33"/>
  <c r="K116" i="33"/>
  <c r="K117" i="33"/>
  <c r="K118" i="33"/>
  <c r="K119" i="33"/>
  <c r="K120" i="33"/>
  <c r="K121" i="33"/>
  <c r="K122" i="33"/>
  <c r="K123" i="33"/>
  <c r="K124" i="33"/>
  <c r="K125" i="33"/>
  <c r="K126" i="33"/>
  <c r="K129" i="33"/>
  <c r="K130" i="33"/>
  <c r="K131" i="33"/>
  <c r="K132" i="33"/>
  <c r="K133" i="33"/>
  <c r="K134" i="33"/>
  <c r="K135" i="33"/>
  <c r="K136" i="33"/>
  <c r="K14" i="33"/>
  <c r="K15" i="33"/>
  <c r="K16" i="33"/>
  <c r="K17" i="33"/>
  <c r="K18" i="33"/>
  <c r="K19" i="33"/>
  <c r="K20" i="33"/>
  <c r="K22" i="33"/>
  <c r="K23" i="33"/>
  <c r="K24" i="33"/>
  <c r="K25" i="33"/>
  <c r="K27" i="33"/>
  <c r="K28" i="33"/>
  <c r="I12" i="33"/>
  <c r="W12" i="33" s="1"/>
  <c r="T12" i="33" l="1"/>
  <c r="P12" i="33"/>
  <c r="C40" i="33"/>
  <c r="D40" i="33"/>
  <c r="E40" i="33"/>
  <c r="I40" i="33" s="1"/>
  <c r="W40" i="33" s="1"/>
  <c r="D42" i="33"/>
  <c r="D43" i="33"/>
  <c r="D44" i="33"/>
  <c r="D45" i="33"/>
  <c r="D46" i="33"/>
  <c r="D47" i="33"/>
  <c r="D52" i="33"/>
  <c r="D53" i="33"/>
  <c r="D54" i="33"/>
  <c r="D55" i="33"/>
  <c r="D56" i="33"/>
  <c r="D57" i="33"/>
  <c r="D58" i="33"/>
  <c r="D59" i="33"/>
  <c r="D60" i="33"/>
  <c r="D62" i="33"/>
  <c r="D63" i="33"/>
  <c r="D64" i="33"/>
  <c r="D65" i="33"/>
  <c r="D66" i="33"/>
  <c r="D68" i="33"/>
  <c r="D69" i="33"/>
  <c r="D70" i="33"/>
  <c r="D71" i="33"/>
  <c r="D72" i="33"/>
  <c r="D73" i="33"/>
  <c r="D74" i="33"/>
  <c r="D75" i="33"/>
  <c r="D76" i="33"/>
  <c r="D77" i="33"/>
  <c r="D78" i="33"/>
  <c r="D79" i="33"/>
  <c r="D80" i="33"/>
  <c r="D81" i="33"/>
  <c r="D82" i="33"/>
  <c r="D83" i="33"/>
  <c r="D84" i="33"/>
  <c r="D85" i="33"/>
  <c r="D86" i="33"/>
  <c r="D87" i="33"/>
  <c r="D89" i="33"/>
  <c r="D90" i="33"/>
  <c r="D91" i="33"/>
  <c r="D92" i="33"/>
  <c r="D93" i="33"/>
  <c r="D94" i="33"/>
  <c r="D95" i="33"/>
  <c r="D96" i="33"/>
  <c r="D97" i="33"/>
  <c r="D98" i="33"/>
  <c r="D99" i="33"/>
  <c r="D100" i="33"/>
  <c r="D101" i="33"/>
  <c r="D102" i="33"/>
  <c r="D103" i="33"/>
  <c r="D104" i="33"/>
  <c r="D105" i="33"/>
  <c r="D106" i="33"/>
  <c r="D107" i="33"/>
  <c r="D108" i="33"/>
  <c r="D109" i="33"/>
  <c r="D110" i="33"/>
  <c r="D111" i="33"/>
  <c r="D112" i="33"/>
  <c r="D113" i="33"/>
  <c r="D114" i="33"/>
  <c r="D115" i="33"/>
  <c r="D116" i="33"/>
  <c r="D117" i="33"/>
  <c r="D118" i="33"/>
  <c r="D119" i="33"/>
  <c r="D120" i="33"/>
  <c r="D121" i="33"/>
  <c r="D122" i="33"/>
  <c r="D123" i="33"/>
  <c r="D124" i="33"/>
  <c r="D125" i="33"/>
  <c r="D126" i="33"/>
  <c r="D129" i="33"/>
  <c r="D130" i="33"/>
  <c r="D131" i="33"/>
  <c r="D132" i="33"/>
  <c r="D133" i="33"/>
  <c r="D134" i="33"/>
  <c r="D135" i="33"/>
  <c r="D136" i="33"/>
  <c r="D15" i="33"/>
  <c r="D16" i="33"/>
  <c r="D17" i="33"/>
  <c r="D18" i="33"/>
  <c r="D19" i="33"/>
  <c r="D20" i="33"/>
  <c r="D22" i="33"/>
  <c r="D23" i="33"/>
  <c r="D24" i="33"/>
  <c r="D25" i="33"/>
  <c r="D27" i="33"/>
  <c r="D28" i="33"/>
  <c r="D29" i="33"/>
  <c r="D30" i="33"/>
  <c r="D31" i="33"/>
  <c r="D32" i="33"/>
  <c r="D33" i="33"/>
  <c r="D34" i="33"/>
  <c r="D35" i="33"/>
  <c r="D37" i="33"/>
  <c r="D38" i="33"/>
  <c r="D39" i="33"/>
  <c r="D14" i="33"/>
  <c r="B127" i="33"/>
  <c r="B129" i="33"/>
  <c r="C129" i="33"/>
  <c r="E129" i="33"/>
  <c r="I129" i="33" s="1"/>
  <c r="W129" i="33" s="1"/>
  <c r="B130" i="33"/>
  <c r="C130" i="33"/>
  <c r="E130" i="33"/>
  <c r="I130" i="33" s="1"/>
  <c r="W130" i="33" s="1"/>
  <c r="B131" i="33"/>
  <c r="C131" i="33"/>
  <c r="E131" i="33"/>
  <c r="I131" i="33" s="1"/>
  <c r="W131" i="33" s="1"/>
  <c r="B132" i="33"/>
  <c r="C132" i="33"/>
  <c r="E132" i="33"/>
  <c r="I132" i="33" s="1"/>
  <c r="W132" i="33" s="1"/>
  <c r="B133" i="33"/>
  <c r="C133" i="33"/>
  <c r="E133" i="33"/>
  <c r="I133" i="33" s="1"/>
  <c r="W133" i="33" s="1"/>
  <c r="B134" i="33"/>
  <c r="C134" i="33"/>
  <c r="E134" i="33"/>
  <c r="I134" i="33" s="1"/>
  <c r="W134" i="33" s="1"/>
  <c r="B135" i="33"/>
  <c r="C135" i="33"/>
  <c r="E135" i="33"/>
  <c r="I135" i="33" s="1"/>
  <c r="W135" i="33" s="1"/>
  <c r="B136" i="33"/>
  <c r="C136" i="33"/>
  <c r="E136" i="33"/>
  <c r="I136" i="33" s="1"/>
  <c r="W136" i="33" s="1"/>
  <c r="E16" i="33"/>
  <c r="I16" i="33" s="1"/>
  <c r="W16" i="33" s="1"/>
  <c r="E17" i="33"/>
  <c r="I17" i="33" s="1"/>
  <c r="W17" i="33" s="1"/>
  <c r="E18" i="33"/>
  <c r="I18" i="33" s="1"/>
  <c r="W18" i="33" s="1"/>
  <c r="E19" i="33"/>
  <c r="I19" i="33" s="1"/>
  <c r="W19" i="33" s="1"/>
  <c r="E20" i="33"/>
  <c r="I20" i="33" s="1"/>
  <c r="W20" i="33" s="1"/>
  <c r="E22" i="33"/>
  <c r="I22" i="33" s="1"/>
  <c r="W22" i="33" s="1"/>
  <c r="E23" i="33"/>
  <c r="I23" i="33" s="1"/>
  <c r="W23" i="33" s="1"/>
  <c r="E24" i="33"/>
  <c r="I24" i="33" s="1"/>
  <c r="W24" i="33" s="1"/>
  <c r="E25" i="33"/>
  <c r="I25" i="33" s="1"/>
  <c r="W25" i="33" s="1"/>
  <c r="E27" i="33"/>
  <c r="I27" i="33" s="1"/>
  <c r="W27" i="33" s="1"/>
  <c r="E28" i="33"/>
  <c r="I28" i="33" s="1"/>
  <c r="W28" i="33" s="1"/>
  <c r="E29" i="33"/>
  <c r="I29" i="33" s="1"/>
  <c r="W29" i="33" s="1"/>
  <c r="E30" i="33"/>
  <c r="I30" i="33" s="1"/>
  <c r="W30" i="33" s="1"/>
  <c r="E31" i="33"/>
  <c r="I31" i="33" s="1"/>
  <c r="W31" i="33" s="1"/>
  <c r="E32" i="33"/>
  <c r="I32" i="33" s="1"/>
  <c r="W32" i="33" s="1"/>
  <c r="E33" i="33"/>
  <c r="I33" i="33" s="1"/>
  <c r="W33" i="33" s="1"/>
  <c r="E34" i="33"/>
  <c r="I34" i="33" s="1"/>
  <c r="W34" i="33" s="1"/>
  <c r="E35" i="33"/>
  <c r="I35" i="33" s="1"/>
  <c r="W35" i="33" s="1"/>
  <c r="E37" i="33"/>
  <c r="I37" i="33" s="1"/>
  <c r="W37" i="33" s="1"/>
  <c r="E38" i="33"/>
  <c r="I38" i="33" s="1"/>
  <c r="W38" i="33" s="1"/>
  <c r="E39" i="33"/>
  <c r="I39" i="33" s="1"/>
  <c r="W39" i="33" s="1"/>
  <c r="E42" i="33"/>
  <c r="I42" i="33" s="1"/>
  <c r="W42" i="33" s="1"/>
  <c r="E43" i="33"/>
  <c r="I43" i="33" s="1"/>
  <c r="W43" i="33" s="1"/>
  <c r="E44" i="33"/>
  <c r="I44" i="33" s="1"/>
  <c r="W44" i="33" s="1"/>
  <c r="E45" i="33"/>
  <c r="I45" i="33" s="1"/>
  <c r="W45" i="33" s="1"/>
  <c r="E46" i="33"/>
  <c r="I46" i="33" s="1"/>
  <c r="W46" i="33" s="1"/>
  <c r="E47" i="33"/>
  <c r="I47" i="33" s="1"/>
  <c r="W47" i="33" s="1"/>
  <c r="E52" i="33"/>
  <c r="I52" i="33" s="1"/>
  <c r="W52" i="33" s="1"/>
  <c r="E53" i="33"/>
  <c r="I53" i="33" s="1"/>
  <c r="W53" i="33" s="1"/>
  <c r="E54" i="33"/>
  <c r="I54" i="33" s="1"/>
  <c r="W54" i="33" s="1"/>
  <c r="E55" i="33"/>
  <c r="I55" i="33" s="1"/>
  <c r="W55" i="33" s="1"/>
  <c r="E56" i="33"/>
  <c r="I56" i="33" s="1"/>
  <c r="W56" i="33" s="1"/>
  <c r="E57" i="33"/>
  <c r="I57" i="33" s="1"/>
  <c r="W57" i="33" s="1"/>
  <c r="E58" i="33"/>
  <c r="I58" i="33" s="1"/>
  <c r="W58" i="33" s="1"/>
  <c r="E59" i="33"/>
  <c r="I59" i="33" s="1"/>
  <c r="W59" i="33" s="1"/>
  <c r="E60" i="33"/>
  <c r="I60" i="33" s="1"/>
  <c r="W60" i="33" s="1"/>
  <c r="E62" i="33"/>
  <c r="I62" i="33" s="1"/>
  <c r="W62" i="33" s="1"/>
  <c r="E63" i="33"/>
  <c r="I63" i="33" s="1"/>
  <c r="W63" i="33" s="1"/>
  <c r="E64" i="33"/>
  <c r="I64" i="33" s="1"/>
  <c r="W64" i="33" s="1"/>
  <c r="E65" i="33"/>
  <c r="I65" i="33" s="1"/>
  <c r="W65" i="33" s="1"/>
  <c r="E66" i="33"/>
  <c r="I66" i="33" s="1"/>
  <c r="W66" i="33" s="1"/>
  <c r="E78" i="33"/>
  <c r="I78" i="33" s="1"/>
  <c r="W78" i="33" s="1"/>
  <c r="E79" i="33"/>
  <c r="I79" i="33" s="1"/>
  <c r="W79" i="33" s="1"/>
  <c r="E80" i="33"/>
  <c r="I80" i="33" s="1"/>
  <c r="W80" i="33" s="1"/>
  <c r="E81" i="33"/>
  <c r="I81" i="33" s="1"/>
  <c r="W81" i="33" s="1"/>
  <c r="E82" i="33"/>
  <c r="I82" i="33" s="1"/>
  <c r="W82" i="33" s="1"/>
  <c r="E83" i="33"/>
  <c r="I83" i="33" s="1"/>
  <c r="W83" i="33" s="1"/>
  <c r="E84" i="33"/>
  <c r="I84" i="33" s="1"/>
  <c r="W84" i="33" s="1"/>
  <c r="E85" i="33"/>
  <c r="I85" i="33" s="1"/>
  <c r="W85" i="33" s="1"/>
  <c r="E86" i="33"/>
  <c r="I86" i="33" s="1"/>
  <c r="W86" i="33" s="1"/>
  <c r="E87" i="33"/>
  <c r="I87" i="33" s="1"/>
  <c r="W87" i="33" s="1"/>
  <c r="E89" i="33"/>
  <c r="I89" i="33" s="1"/>
  <c r="W89" i="33" s="1"/>
  <c r="E90" i="33"/>
  <c r="I90" i="33" s="1"/>
  <c r="W90" i="33" s="1"/>
  <c r="E91" i="33"/>
  <c r="I91" i="33" s="1"/>
  <c r="W91" i="33" s="1"/>
  <c r="E92" i="33"/>
  <c r="I92" i="33" s="1"/>
  <c r="W92" i="33" s="1"/>
  <c r="E93" i="33"/>
  <c r="I93" i="33" s="1"/>
  <c r="W93" i="33" s="1"/>
  <c r="E106" i="33"/>
  <c r="I106" i="33" s="1"/>
  <c r="W106" i="33" s="1"/>
  <c r="E107" i="33"/>
  <c r="I107" i="33" s="1"/>
  <c r="W107" i="33" s="1"/>
  <c r="E108" i="33"/>
  <c r="I108" i="33" s="1"/>
  <c r="W108" i="33" s="1"/>
  <c r="E109" i="33"/>
  <c r="I109" i="33" s="1"/>
  <c r="W109" i="33" s="1"/>
  <c r="E110" i="33"/>
  <c r="I110" i="33" s="1"/>
  <c r="W110" i="33" s="1"/>
  <c r="E111" i="33"/>
  <c r="I111" i="33" s="1"/>
  <c r="W111" i="33" s="1"/>
  <c r="E112" i="33"/>
  <c r="I112" i="33" s="1"/>
  <c r="W112" i="33" s="1"/>
  <c r="E113" i="33"/>
  <c r="I113" i="33" s="1"/>
  <c r="W113" i="33" s="1"/>
  <c r="E114" i="33"/>
  <c r="I114" i="33" s="1"/>
  <c r="W114" i="33" s="1"/>
  <c r="E115" i="33"/>
  <c r="I115" i="33" s="1"/>
  <c r="W115" i="33" s="1"/>
  <c r="E116" i="33"/>
  <c r="I116" i="33" s="1"/>
  <c r="W116" i="33" s="1"/>
  <c r="E117" i="33"/>
  <c r="I117" i="33" s="1"/>
  <c r="W117" i="33" s="1"/>
  <c r="E118" i="33"/>
  <c r="I118" i="33" s="1"/>
  <c r="W118" i="33" s="1"/>
  <c r="E119" i="33"/>
  <c r="I119" i="33" s="1"/>
  <c r="W119" i="33" s="1"/>
  <c r="E120" i="33"/>
  <c r="I120" i="33" s="1"/>
  <c r="W120" i="33" s="1"/>
  <c r="E121" i="33"/>
  <c r="I121" i="33" s="1"/>
  <c r="W121" i="33" s="1"/>
  <c r="E122" i="33"/>
  <c r="I122" i="33" s="1"/>
  <c r="W122" i="33" s="1"/>
  <c r="E123" i="33"/>
  <c r="I123" i="33" s="1"/>
  <c r="W123" i="33" s="1"/>
  <c r="E124" i="33"/>
  <c r="I124" i="33" s="1"/>
  <c r="W124" i="33" s="1"/>
  <c r="E125" i="33"/>
  <c r="I125" i="33" s="1"/>
  <c r="W125" i="33" s="1"/>
  <c r="E126" i="33"/>
  <c r="I126" i="33" s="1"/>
  <c r="W126" i="33" s="1"/>
  <c r="E14" i="33"/>
  <c r="I14" i="33" s="1"/>
  <c r="W14" i="33" s="1"/>
  <c r="E15" i="33"/>
  <c r="I15" i="33" s="1"/>
  <c r="W15" i="33" s="1"/>
  <c r="P119" i="33" l="1"/>
  <c r="T119" i="33"/>
  <c r="T54" i="33"/>
  <c r="P54" i="33"/>
  <c r="P126" i="33"/>
  <c r="T126" i="33"/>
  <c r="T90" i="33"/>
  <c r="P90" i="33"/>
  <c r="P53" i="33"/>
  <c r="T53" i="33"/>
  <c r="P20" i="33"/>
  <c r="T20" i="33"/>
  <c r="P125" i="33"/>
  <c r="T125" i="33"/>
  <c r="P109" i="33"/>
  <c r="T109" i="33"/>
  <c r="T80" i="33"/>
  <c r="P80" i="33"/>
  <c r="T52" i="33"/>
  <c r="P52" i="33"/>
  <c r="P29" i="33"/>
  <c r="T29" i="33"/>
  <c r="P19" i="33"/>
  <c r="T19" i="33"/>
  <c r="P132" i="33"/>
  <c r="T132" i="33"/>
  <c r="P124" i="33"/>
  <c r="T124" i="33"/>
  <c r="T116" i="33"/>
  <c r="P116" i="33"/>
  <c r="T108" i="33"/>
  <c r="P108" i="33"/>
  <c r="P87" i="33"/>
  <c r="T87" i="33"/>
  <c r="P79" i="33"/>
  <c r="T79" i="33"/>
  <c r="P59" i="33"/>
  <c r="T59" i="33"/>
  <c r="P47" i="33"/>
  <c r="T47" i="33"/>
  <c r="P37" i="33"/>
  <c r="T37" i="33"/>
  <c r="P28" i="33"/>
  <c r="T28" i="33"/>
  <c r="T18" i="33"/>
  <c r="P18" i="33"/>
  <c r="T129" i="33"/>
  <c r="P129" i="33"/>
  <c r="P115" i="33"/>
  <c r="T115" i="33"/>
  <c r="T58" i="33"/>
  <c r="P58" i="33"/>
  <c r="P17" i="33"/>
  <c r="T17" i="33"/>
  <c r="P40" i="33"/>
  <c r="T40" i="33"/>
  <c r="P123" i="33"/>
  <c r="T123" i="33"/>
  <c r="T86" i="33"/>
  <c r="P86" i="33"/>
  <c r="T35" i="33"/>
  <c r="P35" i="33"/>
  <c r="T114" i="33"/>
  <c r="P114" i="33"/>
  <c r="T66" i="33"/>
  <c r="P66" i="33"/>
  <c r="T25" i="33"/>
  <c r="P25" i="33"/>
  <c r="T78" i="33"/>
  <c r="P78" i="33"/>
  <c r="T27" i="33"/>
  <c r="P27" i="33"/>
  <c r="T106" i="33"/>
  <c r="P106" i="33"/>
  <c r="P57" i="33"/>
  <c r="T57" i="33"/>
  <c r="P34" i="33"/>
  <c r="T34" i="33"/>
  <c r="P131" i="33"/>
  <c r="T131" i="33"/>
  <c r="T121" i="33"/>
  <c r="P121" i="33"/>
  <c r="P93" i="33"/>
  <c r="T93" i="33"/>
  <c r="P65" i="33"/>
  <c r="T65" i="33"/>
  <c r="T44" i="33"/>
  <c r="P44" i="33"/>
  <c r="P136" i="33"/>
  <c r="T136" i="33"/>
  <c r="P107" i="33"/>
  <c r="T107" i="33"/>
  <c r="P46" i="33"/>
  <c r="T46" i="33"/>
  <c r="P134" i="33"/>
  <c r="T134" i="33"/>
  <c r="T122" i="33"/>
  <c r="P122" i="33"/>
  <c r="P85" i="33"/>
  <c r="T85" i="33"/>
  <c r="T45" i="33"/>
  <c r="P45" i="33"/>
  <c r="P16" i="33"/>
  <c r="T16" i="33"/>
  <c r="T113" i="33"/>
  <c r="P113" i="33"/>
  <c r="P84" i="33"/>
  <c r="T84" i="33"/>
  <c r="T56" i="33"/>
  <c r="P56" i="33"/>
  <c r="T33" i="33"/>
  <c r="P33" i="33"/>
  <c r="T24" i="33"/>
  <c r="P24" i="33"/>
  <c r="P15" i="33"/>
  <c r="T15" i="33"/>
  <c r="P120" i="33"/>
  <c r="T120" i="33"/>
  <c r="P112" i="33"/>
  <c r="T112" i="33"/>
  <c r="T92" i="33"/>
  <c r="P92" i="33"/>
  <c r="T83" i="33"/>
  <c r="P83" i="33"/>
  <c r="T64" i="33"/>
  <c r="P64" i="33"/>
  <c r="P55" i="33"/>
  <c r="T55" i="33"/>
  <c r="T43" i="33"/>
  <c r="P43" i="33"/>
  <c r="T32" i="33"/>
  <c r="P32" i="33"/>
  <c r="P23" i="33"/>
  <c r="T23" i="33"/>
  <c r="T133" i="33"/>
  <c r="P133" i="33"/>
  <c r="P91" i="33"/>
  <c r="T91" i="33"/>
  <c r="T42" i="33"/>
  <c r="P42" i="33"/>
  <c r="T111" i="33"/>
  <c r="P111" i="33"/>
  <c r="T63" i="33"/>
  <c r="P63" i="33"/>
  <c r="P31" i="33"/>
  <c r="T31" i="33"/>
  <c r="T130" i="33"/>
  <c r="P130" i="33"/>
  <c r="P118" i="33"/>
  <c r="T118" i="33"/>
  <c r="T81" i="33"/>
  <c r="P81" i="33"/>
  <c r="T39" i="33"/>
  <c r="P39" i="33"/>
  <c r="P135" i="33"/>
  <c r="T135" i="33"/>
  <c r="T14" i="33"/>
  <c r="P14" i="33"/>
  <c r="P82" i="33"/>
  <c r="T82" i="33"/>
  <c r="T22" i="33"/>
  <c r="P22" i="33"/>
  <c r="P110" i="33"/>
  <c r="T110" i="33"/>
  <c r="P62" i="33"/>
  <c r="T62" i="33"/>
  <c r="T30" i="33"/>
  <c r="P30" i="33"/>
  <c r="P117" i="33"/>
  <c r="T117" i="33"/>
  <c r="T89" i="33"/>
  <c r="P89" i="33"/>
  <c r="T60" i="33"/>
  <c r="P60" i="33"/>
  <c r="P38" i="33"/>
  <c r="T38" i="33"/>
  <c r="B14" i="33"/>
  <c r="B15" i="33"/>
  <c r="B16" i="33"/>
  <c r="B17" i="33"/>
  <c r="B18" i="33"/>
  <c r="B19" i="33"/>
  <c r="B20" i="33"/>
  <c r="B21" i="33"/>
  <c r="B22" i="33"/>
  <c r="B23" i="33"/>
  <c r="B24" i="33"/>
  <c r="B25" i="33"/>
  <c r="B27" i="33"/>
  <c r="B28" i="33"/>
  <c r="B29" i="33"/>
  <c r="B30" i="33"/>
  <c r="B31" i="33"/>
  <c r="B32" i="33"/>
  <c r="B33" i="33"/>
  <c r="B34" i="33"/>
  <c r="B35" i="33"/>
  <c r="B36" i="33"/>
  <c r="B37" i="33"/>
  <c r="B38" i="33"/>
  <c r="B39" i="33"/>
  <c r="B40" i="33"/>
  <c r="B41" i="33"/>
  <c r="B42" i="33"/>
  <c r="B43" i="33"/>
  <c r="B44" i="33"/>
  <c r="B45" i="33"/>
  <c r="B46" i="33"/>
  <c r="B47" i="33"/>
  <c r="B51" i="33"/>
  <c r="B52" i="33"/>
  <c r="B53" i="33"/>
  <c r="B54" i="33"/>
  <c r="B55" i="33"/>
  <c r="B56" i="33"/>
  <c r="B57" i="33"/>
  <c r="B58" i="33"/>
  <c r="B59" i="33"/>
  <c r="B60" i="33"/>
  <c r="B61" i="33"/>
  <c r="B62" i="33"/>
  <c r="B63" i="33"/>
  <c r="B64" i="33"/>
  <c r="B65" i="33"/>
  <c r="B66" i="33"/>
  <c r="B67" i="33"/>
  <c r="B68" i="33"/>
  <c r="B69" i="33"/>
  <c r="B70" i="33"/>
  <c r="B71" i="33"/>
  <c r="B72" i="33"/>
  <c r="B73" i="33"/>
  <c r="B74" i="33"/>
  <c r="B75" i="33"/>
  <c r="B76" i="33"/>
  <c r="B77" i="33"/>
  <c r="B78" i="33"/>
  <c r="B79" i="33"/>
  <c r="B80" i="33"/>
  <c r="B81" i="33"/>
  <c r="B82" i="33"/>
  <c r="B83" i="33"/>
  <c r="B84" i="33"/>
  <c r="B85" i="33"/>
  <c r="B86" i="33"/>
  <c r="B87" i="33"/>
  <c r="B88" i="33"/>
  <c r="B89" i="33"/>
  <c r="B90" i="33"/>
  <c r="B91" i="33"/>
  <c r="B92" i="33"/>
  <c r="B93" i="33"/>
  <c r="B94" i="33"/>
  <c r="B95" i="33"/>
  <c r="B96" i="33"/>
  <c r="B97" i="33"/>
  <c r="B98" i="33"/>
  <c r="B99" i="33"/>
  <c r="B100" i="33"/>
  <c r="B101" i="33"/>
  <c r="B102" i="33"/>
  <c r="B103" i="33"/>
  <c r="B104" i="33"/>
  <c r="B105" i="33"/>
  <c r="B106" i="33"/>
  <c r="B107" i="33"/>
  <c r="B108" i="33"/>
  <c r="B109" i="33"/>
  <c r="B110" i="33"/>
  <c r="B111" i="33"/>
  <c r="B112" i="33"/>
  <c r="B113" i="33"/>
  <c r="B114" i="33"/>
  <c r="B115" i="33"/>
  <c r="B116" i="33"/>
  <c r="B117" i="33"/>
  <c r="B118" i="33"/>
  <c r="B119" i="33"/>
  <c r="B120" i="33"/>
  <c r="B121" i="33"/>
  <c r="B122" i="33"/>
  <c r="B123" i="33"/>
  <c r="B124" i="33"/>
  <c r="B125" i="33"/>
  <c r="B126" i="33"/>
  <c r="B13" i="33"/>
  <c r="C116" i="33" l="1"/>
  <c r="C117" i="33"/>
  <c r="C118" i="33"/>
  <c r="C119" i="33"/>
  <c r="C120" i="33"/>
  <c r="C121" i="33"/>
  <c r="C122" i="33"/>
  <c r="C123" i="33"/>
  <c r="C124" i="33"/>
  <c r="C125" i="33"/>
  <c r="C126" i="33"/>
  <c r="C39" i="33"/>
  <c r="C42" i="33"/>
  <c r="C43" i="33"/>
  <c r="C44" i="33"/>
  <c r="C45" i="33"/>
  <c r="C46" i="33"/>
  <c r="C47" i="33"/>
  <c r="C52" i="33"/>
  <c r="C53" i="33"/>
  <c r="C54" i="33"/>
  <c r="C55" i="33"/>
  <c r="C56" i="33"/>
  <c r="C57" i="33"/>
  <c r="C58" i="33"/>
  <c r="C59" i="33"/>
  <c r="C60" i="33"/>
  <c r="C62" i="33"/>
  <c r="C63" i="33"/>
  <c r="C64" i="33"/>
  <c r="C65" i="33"/>
  <c r="C66" i="33"/>
  <c r="C68" i="33"/>
  <c r="C69" i="33"/>
  <c r="C70" i="33"/>
  <c r="C71" i="33"/>
  <c r="C72" i="33"/>
  <c r="C73" i="33"/>
  <c r="C74" i="33"/>
  <c r="C75" i="33"/>
  <c r="C76" i="33"/>
  <c r="C77" i="33"/>
  <c r="C78" i="33"/>
  <c r="C79" i="33"/>
  <c r="C80" i="33"/>
  <c r="C81" i="33"/>
  <c r="C82" i="33"/>
  <c r="C83" i="33"/>
  <c r="C84" i="33"/>
  <c r="C85" i="33"/>
  <c r="C86" i="33"/>
  <c r="C87" i="33"/>
  <c r="C89" i="33"/>
  <c r="C90" i="33"/>
  <c r="C91" i="33"/>
  <c r="C92" i="33"/>
  <c r="C93" i="33"/>
  <c r="C94" i="33"/>
  <c r="C95" i="33"/>
  <c r="C96" i="33"/>
  <c r="C97" i="33"/>
  <c r="C98" i="33"/>
  <c r="C99" i="33"/>
  <c r="C100" i="33"/>
  <c r="C101" i="33"/>
  <c r="C102" i="33"/>
  <c r="C103" i="33"/>
  <c r="C104" i="33"/>
  <c r="C105" i="33"/>
  <c r="C106" i="33"/>
  <c r="C107" i="33"/>
  <c r="C108" i="33"/>
  <c r="C109" i="33"/>
  <c r="C110" i="33"/>
  <c r="C111" i="33"/>
  <c r="C112" i="33"/>
  <c r="C113" i="33"/>
  <c r="C114" i="33"/>
  <c r="C115" i="33"/>
  <c r="C15" i="33"/>
  <c r="C16" i="33"/>
  <c r="C17" i="33"/>
  <c r="C18" i="33"/>
  <c r="C19" i="33"/>
  <c r="C20" i="33"/>
  <c r="C22" i="33"/>
  <c r="C23" i="33"/>
  <c r="C24" i="33"/>
  <c r="C25" i="33"/>
  <c r="C27" i="33"/>
  <c r="C28" i="33"/>
  <c r="C29" i="33"/>
  <c r="C30" i="33"/>
  <c r="C31" i="33"/>
  <c r="C32" i="33"/>
  <c r="C33" i="33"/>
  <c r="C34" i="33"/>
  <c r="C35" i="33"/>
  <c r="C37" i="33"/>
  <c r="C38" i="33"/>
  <c r="C14" i="33"/>
  <c r="E3" i="34" l="1"/>
  <c r="F3" i="34"/>
  <c r="E4" i="34"/>
  <c r="F4" i="34"/>
  <c r="E5" i="34"/>
  <c r="F5" i="34"/>
  <c r="E6" i="34"/>
  <c r="F6" i="34"/>
  <c r="E7" i="34"/>
  <c r="F7" i="34"/>
  <c r="E8" i="34"/>
  <c r="F8" i="34"/>
  <c r="E9" i="34"/>
  <c r="F9" i="34"/>
  <c r="E10" i="34"/>
  <c r="F10" i="34"/>
  <c r="E11" i="34"/>
  <c r="F11" i="34"/>
  <c r="E12" i="34"/>
  <c r="F12" i="34"/>
  <c r="E13" i="34"/>
  <c r="F13" i="34"/>
  <c r="E15" i="34"/>
  <c r="F15" i="34"/>
  <c r="E16" i="34"/>
  <c r="F16" i="34"/>
  <c r="E17" i="34"/>
  <c r="F17" i="34"/>
  <c r="E18" i="34"/>
  <c r="F18" i="34"/>
  <c r="E19" i="34"/>
  <c r="F19" i="34"/>
  <c r="E20" i="34"/>
  <c r="F20" i="34"/>
  <c r="E21" i="34"/>
  <c r="F21" i="34"/>
  <c r="E22" i="34"/>
  <c r="F22" i="34"/>
  <c r="E23" i="34"/>
  <c r="F23" i="34"/>
  <c r="E24" i="34"/>
  <c r="F24" i="34"/>
  <c r="E25" i="34"/>
  <c r="F25" i="34"/>
  <c r="E26" i="34"/>
  <c r="F26" i="34"/>
  <c r="E27" i="34"/>
  <c r="F27" i="34"/>
  <c r="E28" i="34"/>
  <c r="F28" i="34"/>
  <c r="E29" i="34"/>
  <c r="F29" i="34"/>
  <c r="E30" i="34"/>
  <c r="F30" i="34"/>
  <c r="E31" i="34"/>
  <c r="F31" i="34"/>
  <c r="E32" i="34"/>
  <c r="F32" i="34"/>
  <c r="E33" i="34"/>
  <c r="F33" i="34"/>
  <c r="E36" i="34"/>
  <c r="F36" i="34"/>
  <c r="E37" i="34"/>
  <c r="F37" i="34"/>
  <c r="E38" i="34"/>
  <c r="F38" i="34"/>
  <c r="E39" i="34"/>
  <c r="F39" i="34"/>
  <c r="E40" i="34"/>
  <c r="F40" i="34"/>
  <c r="E41" i="34"/>
  <c r="F41" i="34"/>
  <c r="E42" i="34"/>
  <c r="F42" i="34"/>
  <c r="E43" i="34"/>
  <c r="F43" i="34"/>
  <c r="E44" i="34"/>
  <c r="F44" i="34"/>
  <c r="E45" i="34"/>
  <c r="F45" i="34"/>
  <c r="E46" i="34"/>
  <c r="F46" i="34"/>
  <c r="E47" i="34"/>
  <c r="F47" i="34"/>
  <c r="E48" i="34"/>
  <c r="F48" i="34"/>
  <c r="E49" i="34"/>
  <c r="F49" i="34"/>
  <c r="E50" i="34"/>
  <c r="F50" i="34"/>
  <c r="E51" i="34"/>
  <c r="E52" i="34"/>
  <c r="E53" i="34"/>
  <c r="E54" i="34"/>
  <c r="E55" i="34"/>
  <c r="E56" i="34"/>
  <c r="E57" i="34"/>
  <c r="E58" i="34"/>
  <c r="E59" i="34"/>
  <c r="E60" i="34"/>
  <c r="E61" i="34"/>
  <c r="F61" i="34"/>
  <c r="E62" i="34"/>
  <c r="F62" i="34"/>
  <c r="E63" i="34"/>
  <c r="F63" i="34"/>
  <c r="E64" i="34"/>
  <c r="F64" i="34"/>
  <c r="E65" i="34"/>
  <c r="F65" i="34"/>
  <c r="E66" i="34"/>
  <c r="F66" i="34"/>
  <c r="E67" i="34"/>
  <c r="F67" i="34"/>
  <c r="E68" i="34"/>
  <c r="F68" i="34"/>
  <c r="E69" i="34"/>
  <c r="F69" i="34"/>
  <c r="E70" i="34"/>
  <c r="F70" i="34"/>
  <c r="E71" i="34"/>
  <c r="F71" i="34"/>
  <c r="E72" i="34"/>
  <c r="F72" i="34"/>
  <c r="E73" i="34"/>
  <c r="F73" i="34"/>
  <c r="E74" i="34"/>
  <c r="F74" i="34"/>
  <c r="E75" i="34"/>
  <c r="F75" i="34"/>
  <c r="E76" i="34"/>
  <c r="E77" i="34"/>
  <c r="E78" i="34"/>
  <c r="E79" i="34"/>
  <c r="E80" i="34"/>
  <c r="E81" i="34"/>
  <c r="E82" i="34"/>
  <c r="E83" i="34"/>
  <c r="E84" i="34"/>
  <c r="E85" i="34"/>
  <c r="E86" i="34"/>
  <c r="E87" i="34"/>
  <c r="E88" i="34"/>
  <c r="F88" i="34"/>
  <c r="E89" i="34"/>
  <c r="F89" i="34"/>
  <c r="E90" i="34"/>
  <c r="F90" i="34"/>
  <c r="E91" i="34"/>
  <c r="F91" i="34"/>
  <c r="E92" i="34"/>
  <c r="F92" i="34"/>
  <c r="E93" i="34"/>
  <c r="F93" i="34"/>
  <c r="E94" i="34"/>
  <c r="F94" i="34"/>
  <c r="E95" i="34"/>
  <c r="F95" i="34"/>
  <c r="E96" i="34"/>
  <c r="F96" i="34"/>
  <c r="E97" i="34"/>
  <c r="F97" i="34"/>
  <c r="E98" i="34"/>
  <c r="F98" i="34"/>
  <c r="E99" i="34"/>
  <c r="F99" i="34"/>
  <c r="E100" i="34"/>
  <c r="F100" i="34"/>
  <c r="E101" i="34"/>
  <c r="F101" i="34"/>
  <c r="E102" i="34"/>
  <c r="F102" i="34"/>
  <c r="E103" i="34"/>
  <c r="F103" i="34"/>
  <c r="E104" i="34"/>
  <c r="F104" i="34"/>
  <c r="E105" i="34"/>
  <c r="F105" i="34"/>
  <c r="E106" i="34"/>
  <c r="F106" i="34"/>
  <c r="E107" i="34"/>
  <c r="F107" i="34"/>
  <c r="E108" i="34"/>
  <c r="F108" i="34"/>
  <c r="E111" i="34"/>
  <c r="F111" i="34"/>
  <c r="E112" i="34"/>
  <c r="F112" i="34"/>
  <c r="E113" i="34"/>
  <c r="F113" i="34"/>
  <c r="E114" i="34"/>
  <c r="F114" i="34"/>
  <c r="E115" i="34"/>
  <c r="F115" i="34"/>
  <c r="E116" i="34"/>
  <c r="F116" i="34"/>
  <c r="E117" i="34"/>
  <c r="F117" i="34"/>
  <c r="C12" i="33"/>
  <c r="M4" i="33"/>
  <c r="J12" i="33" s="1"/>
  <c r="M3" i="33"/>
  <c r="J26" i="33" s="1"/>
  <c r="Q26" i="33" s="1"/>
  <c r="E72" i="50" l="1"/>
  <c r="E70" i="47"/>
  <c r="I70" i="47" s="1"/>
  <c r="E70" i="43"/>
  <c r="I70" i="43" s="1"/>
  <c r="W70" i="43" s="1"/>
  <c r="E70" i="45"/>
  <c r="I70" i="45" s="1"/>
  <c r="W70" i="45" s="1"/>
  <c r="E70" i="46"/>
  <c r="I70" i="46" s="1"/>
  <c r="W70" i="46" s="1"/>
  <c r="E70" i="44"/>
  <c r="I70" i="44" s="1"/>
  <c r="W70" i="44" s="1"/>
  <c r="E70" i="42"/>
  <c r="I70" i="42" s="1"/>
  <c r="W70" i="42" s="1"/>
  <c r="E70" i="48"/>
  <c r="I70" i="48" s="1"/>
  <c r="W70" i="48" s="1"/>
  <c r="E72" i="49"/>
  <c r="E76" i="50"/>
  <c r="E74" i="42"/>
  <c r="I74" i="42" s="1"/>
  <c r="W74" i="42" s="1"/>
  <c r="E74" i="48"/>
  <c r="I74" i="48" s="1"/>
  <c r="W74" i="48" s="1"/>
  <c r="E74" i="45"/>
  <c r="I74" i="45" s="1"/>
  <c r="W74" i="45" s="1"/>
  <c r="E76" i="49"/>
  <c r="E74" i="43"/>
  <c r="I74" i="43" s="1"/>
  <c r="W74" i="43" s="1"/>
  <c r="E74" i="47"/>
  <c r="I74" i="47" s="1"/>
  <c r="E74" i="46"/>
  <c r="I74" i="46" s="1"/>
  <c r="W74" i="46" s="1"/>
  <c r="E74" i="44"/>
  <c r="I74" i="44" s="1"/>
  <c r="W74" i="44" s="1"/>
  <c r="E101" i="50"/>
  <c r="E99" i="43"/>
  <c r="I99" i="43" s="1"/>
  <c r="W99" i="43" s="1"/>
  <c r="E101" i="49"/>
  <c r="E99" i="48"/>
  <c r="I99" i="48" s="1"/>
  <c r="W99" i="48" s="1"/>
  <c r="E99" i="46"/>
  <c r="I99" i="46" s="1"/>
  <c r="W99" i="46" s="1"/>
  <c r="E99" i="47"/>
  <c r="I99" i="47" s="1"/>
  <c r="E99" i="45"/>
  <c r="I99" i="45" s="1"/>
  <c r="W99" i="45" s="1"/>
  <c r="E99" i="42"/>
  <c r="I99" i="42" s="1"/>
  <c r="W99" i="42" s="1"/>
  <c r="E99" i="44"/>
  <c r="I99" i="44" s="1"/>
  <c r="W99" i="44" s="1"/>
  <c r="E100" i="50"/>
  <c r="E100" i="49"/>
  <c r="E98" i="46"/>
  <c r="I98" i="46" s="1"/>
  <c r="W98" i="46" s="1"/>
  <c r="E98" i="48"/>
  <c r="I98" i="48" s="1"/>
  <c r="W98" i="48" s="1"/>
  <c r="E98" i="47"/>
  <c r="I98" i="47" s="1"/>
  <c r="I98" i="45"/>
  <c r="W98" i="45" s="1"/>
  <c r="E98" i="44"/>
  <c r="I98" i="44" s="1"/>
  <c r="W98" i="44" s="1"/>
  <c r="E98" i="42"/>
  <c r="I98" i="42" s="1"/>
  <c r="W98" i="42" s="1"/>
  <c r="E98" i="43"/>
  <c r="I98" i="43" s="1"/>
  <c r="W98" i="43" s="1"/>
  <c r="E96" i="50"/>
  <c r="E96" i="49"/>
  <c r="E94" i="42"/>
  <c r="I94" i="42" s="1"/>
  <c r="W94" i="42" s="1"/>
  <c r="E94" i="43"/>
  <c r="I94" i="43" s="1"/>
  <c r="W94" i="43" s="1"/>
  <c r="E94" i="48"/>
  <c r="I94" i="48" s="1"/>
  <c r="W94" i="48" s="1"/>
  <c r="E94" i="46"/>
  <c r="I94" i="46" s="1"/>
  <c r="W94" i="46" s="1"/>
  <c r="E94" i="47"/>
  <c r="I94" i="47" s="1"/>
  <c r="E94" i="45"/>
  <c r="I94" i="45" s="1"/>
  <c r="W94" i="45" s="1"/>
  <c r="E94" i="44"/>
  <c r="I94" i="44" s="1"/>
  <c r="W94" i="44" s="1"/>
  <c r="E79" i="50"/>
  <c r="E79" i="49"/>
  <c r="E77" i="47"/>
  <c r="I77" i="47" s="1"/>
  <c r="E77" i="46"/>
  <c r="I77" i="46" s="1"/>
  <c r="W77" i="46" s="1"/>
  <c r="E77" i="44"/>
  <c r="I77" i="44" s="1"/>
  <c r="W77" i="44" s="1"/>
  <c r="E77" i="48"/>
  <c r="I77" i="48" s="1"/>
  <c r="W77" i="48" s="1"/>
  <c r="E77" i="42"/>
  <c r="I77" i="42" s="1"/>
  <c r="W77" i="42" s="1"/>
  <c r="E77" i="45"/>
  <c r="I77" i="45" s="1"/>
  <c r="W77" i="45" s="1"/>
  <c r="E77" i="43"/>
  <c r="I77" i="43" s="1"/>
  <c r="W77" i="43" s="1"/>
  <c r="E71" i="50"/>
  <c r="E69" i="48"/>
  <c r="I69" i="48" s="1"/>
  <c r="W69" i="48" s="1"/>
  <c r="E69" i="42"/>
  <c r="I69" i="42" s="1"/>
  <c r="W69" i="42" s="1"/>
  <c r="E71" i="49"/>
  <c r="E69" i="47"/>
  <c r="I69" i="47" s="1"/>
  <c r="E69" i="43"/>
  <c r="I69" i="43" s="1"/>
  <c r="W69" i="43" s="1"/>
  <c r="E69" i="45"/>
  <c r="I69" i="45" s="1"/>
  <c r="W69" i="45" s="1"/>
  <c r="E69" i="46"/>
  <c r="I69" i="46" s="1"/>
  <c r="W69" i="46" s="1"/>
  <c r="I69" i="44"/>
  <c r="W69" i="44" s="1"/>
  <c r="E104" i="50"/>
  <c r="E102" i="45"/>
  <c r="I102" i="45" s="1"/>
  <c r="W102" i="45" s="1"/>
  <c r="E102" i="47"/>
  <c r="I102" i="47" s="1"/>
  <c r="E102" i="44"/>
  <c r="I102" i="44" s="1"/>
  <c r="W102" i="44" s="1"/>
  <c r="E102" i="42"/>
  <c r="I102" i="42" s="1"/>
  <c r="W102" i="42" s="1"/>
  <c r="E102" i="43"/>
  <c r="I102" i="43" s="1"/>
  <c r="W102" i="43" s="1"/>
  <c r="E104" i="49"/>
  <c r="I102" i="46"/>
  <c r="W102" i="46" s="1"/>
  <c r="E102" i="48"/>
  <c r="I102" i="48" s="1"/>
  <c r="W102" i="48" s="1"/>
  <c r="E75" i="50"/>
  <c r="E73" i="48"/>
  <c r="I73" i="48" s="1"/>
  <c r="W73" i="48" s="1"/>
  <c r="E73" i="42"/>
  <c r="I73" i="42" s="1"/>
  <c r="W73" i="42" s="1"/>
  <c r="E73" i="45"/>
  <c r="I73" i="45" s="1"/>
  <c r="W73" i="45" s="1"/>
  <c r="E75" i="49"/>
  <c r="E73" i="43"/>
  <c r="I73" i="43" s="1"/>
  <c r="W73" i="43" s="1"/>
  <c r="E73" i="47"/>
  <c r="I73" i="47" s="1"/>
  <c r="E73" i="46"/>
  <c r="I73" i="46" s="1"/>
  <c r="W73" i="46" s="1"/>
  <c r="E73" i="44"/>
  <c r="I73" i="44" s="1"/>
  <c r="W73" i="44" s="1"/>
  <c r="E103" i="50"/>
  <c r="E101" i="43"/>
  <c r="I101" i="43" s="1"/>
  <c r="W101" i="43" s="1"/>
  <c r="E101" i="42"/>
  <c r="I101" i="42" s="1"/>
  <c r="W101" i="42" s="1"/>
  <c r="E103" i="49"/>
  <c r="E101" i="46"/>
  <c r="I101" i="46" s="1"/>
  <c r="W101" i="46" s="1"/>
  <c r="E101" i="48"/>
  <c r="I101" i="48" s="1"/>
  <c r="W101" i="48" s="1"/>
  <c r="E101" i="47"/>
  <c r="I101" i="47" s="1"/>
  <c r="E101" i="45"/>
  <c r="I101" i="45" s="1"/>
  <c r="W101" i="45" s="1"/>
  <c r="E101" i="44"/>
  <c r="I101" i="44" s="1"/>
  <c r="W101" i="44" s="1"/>
  <c r="E99" i="50"/>
  <c r="E97" i="47"/>
  <c r="I97" i="47" s="1"/>
  <c r="I97" i="45"/>
  <c r="W97" i="45" s="1"/>
  <c r="E97" i="44"/>
  <c r="I97" i="44" s="1"/>
  <c r="W97" i="44" s="1"/>
  <c r="E97" i="43"/>
  <c r="I97" i="43" s="1"/>
  <c r="W97" i="43" s="1"/>
  <c r="E97" i="42"/>
  <c r="I97" i="42" s="1"/>
  <c r="W97" i="42" s="1"/>
  <c r="E99" i="49"/>
  <c r="E97" i="46"/>
  <c r="I97" i="46" s="1"/>
  <c r="W97" i="46" s="1"/>
  <c r="E97" i="48"/>
  <c r="I97" i="48" s="1"/>
  <c r="W97" i="48" s="1"/>
  <c r="E78" i="50"/>
  <c r="E76" i="48"/>
  <c r="I76" i="48" s="1"/>
  <c r="W76" i="48" s="1"/>
  <c r="E76" i="45"/>
  <c r="I76" i="45" s="1"/>
  <c r="W76" i="45" s="1"/>
  <c r="E78" i="49"/>
  <c r="E76" i="43"/>
  <c r="I76" i="43" s="1"/>
  <c r="W76" i="43" s="1"/>
  <c r="E76" i="42"/>
  <c r="I76" i="42" s="1"/>
  <c r="W76" i="42" s="1"/>
  <c r="E76" i="47"/>
  <c r="I76" i="47" s="1"/>
  <c r="I76" i="46"/>
  <c r="W76" i="46" s="1"/>
  <c r="E76" i="44"/>
  <c r="I76" i="44" s="1"/>
  <c r="W76" i="44" s="1"/>
  <c r="E70" i="50"/>
  <c r="E70" i="49"/>
  <c r="E68" i="47"/>
  <c r="I68" i="47" s="1"/>
  <c r="E68" i="43"/>
  <c r="I68" i="43" s="1"/>
  <c r="W68" i="43" s="1"/>
  <c r="E68" i="42"/>
  <c r="I68" i="42" s="1"/>
  <c r="W68" i="42" s="1"/>
  <c r="I68" i="45"/>
  <c r="W68" i="45" s="1"/>
  <c r="E68" i="46"/>
  <c r="I68" i="46" s="1"/>
  <c r="W68" i="46" s="1"/>
  <c r="I68" i="44"/>
  <c r="W68" i="44" s="1"/>
  <c r="E68" i="48"/>
  <c r="I68" i="48" s="1"/>
  <c r="W68" i="48" s="1"/>
  <c r="E107" i="50"/>
  <c r="E105" i="46"/>
  <c r="I105" i="46" s="1"/>
  <c r="W105" i="46" s="1"/>
  <c r="E105" i="48"/>
  <c r="I105" i="48" s="1"/>
  <c r="W105" i="48" s="1"/>
  <c r="I105" i="45"/>
  <c r="W105" i="45" s="1"/>
  <c r="E107" i="49"/>
  <c r="E105" i="47"/>
  <c r="I105" i="47" s="1"/>
  <c r="E105" i="44"/>
  <c r="I105" i="44" s="1"/>
  <c r="W105" i="44" s="1"/>
  <c r="E105" i="43"/>
  <c r="I105" i="43" s="1"/>
  <c r="W105" i="43" s="1"/>
  <c r="E105" i="42"/>
  <c r="I105" i="42" s="1"/>
  <c r="W105" i="42" s="1"/>
  <c r="E74" i="50"/>
  <c r="E72" i="47"/>
  <c r="I72" i="47" s="1"/>
  <c r="E72" i="46"/>
  <c r="I72" i="46" s="1"/>
  <c r="W72" i="46" s="1"/>
  <c r="E72" i="44"/>
  <c r="I72" i="44" s="1"/>
  <c r="W72" i="44" s="1"/>
  <c r="E72" i="48"/>
  <c r="I72" i="48" s="1"/>
  <c r="W72" i="48" s="1"/>
  <c r="E74" i="49"/>
  <c r="I72" i="45"/>
  <c r="W72" i="45" s="1"/>
  <c r="E72" i="43"/>
  <c r="I72" i="43" s="1"/>
  <c r="W72" i="43" s="1"/>
  <c r="E72" i="42"/>
  <c r="I72" i="42" s="1"/>
  <c r="W72" i="42" s="1"/>
  <c r="E97" i="50"/>
  <c r="E95" i="46"/>
  <c r="I95" i="46" s="1"/>
  <c r="W95" i="46" s="1"/>
  <c r="E95" i="47"/>
  <c r="I95" i="47" s="1"/>
  <c r="E95" i="45"/>
  <c r="I95" i="45" s="1"/>
  <c r="W95" i="45" s="1"/>
  <c r="E95" i="42"/>
  <c r="I95" i="42" s="1"/>
  <c r="W95" i="42" s="1"/>
  <c r="I95" i="44"/>
  <c r="W95" i="44" s="1"/>
  <c r="E97" i="49"/>
  <c r="E95" i="43"/>
  <c r="I95" i="43" s="1"/>
  <c r="W95" i="43" s="1"/>
  <c r="E95" i="48"/>
  <c r="I95" i="48" s="1"/>
  <c r="W95" i="48" s="1"/>
  <c r="E106" i="50"/>
  <c r="E104" i="47"/>
  <c r="I104" i="47" s="1"/>
  <c r="E104" i="44"/>
  <c r="I104" i="44" s="1"/>
  <c r="W104" i="44" s="1"/>
  <c r="E104" i="43"/>
  <c r="I104" i="43" s="1"/>
  <c r="W104" i="43" s="1"/>
  <c r="E104" i="46"/>
  <c r="I104" i="46" s="1"/>
  <c r="W104" i="46" s="1"/>
  <c r="E106" i="49"/>
  <c r="E104" i="48"/>
  <c r="I104" i="48" s="1"/>
  <c r="W104" i="48" s="1"/>
  <c r="E104" i="45"/>
  <c r="I104" i="45" s="1"/>
  <c r="W104" i="45" s="1"/>
  <c r="E104" i="42"/>
  <c r="I104" i="42" s="1"/>
  <c r="W104" i="42" s="1"/>
  <c r="E98" i="50"/>
  <c r="E98" i="49"/>
  <c r="E96" i="43"/>
  <c r="I96" i="43" s="1"/>
  <c r="W96" i="43" s="1"/>
  <c r="E96" i="48"/>
  <c r="I96" i="48" s="1"/>
  <c r="W96" i="48" s="1"/>
  <c r="E96" i="46"/>
  <c r="I96" i="46" s="1"/>
  <c r="W96" i="46" s="1"/>
  <c r="E96" i="42"/>
  <c r="I96" i="42" s="1"/>
  <c r="W96" i="42" s="1"/>
  <c r="E96" i="47"/>
  <c r="I96" i="47" s="1"/>
  <c r="E96" i="45"/>
  <c r="I96" i="45" s="1"/>
  <c r="W96" i="45" s="1"/>
  <c r="E96" i="44"/>
  <c r="I96" i="44" s="1"/>
  <c r="W96" i="44" s="1"/>
  <c r="E73" i="50"/>
  <c r="E71" i="48"/>
  <c r="I71" i="48" s="1"/>
  <c r="W71" i="48" s="1"/>
  <c r="E73" i="49"/>
  <c r="E71" i="47"/>
  <c r="I71" i="47" s="1"/>
  <c r="E71" i="43"/>
  <c r="I71" i="43" s="1"/>
  <c r="W71" i="43" s="1"/>
  <c r="E71" i="45"/>
  <c r="I71" i="45" s="1"/>
  <c r="W71" i="45" s="1"/>
  <c r="E71" i="46"/>
  <c r="I71" i="46" s="1"/>
  <c r="W71" i="46" s="1"/>
  <c r="I71" i="44"/>
  <c r="W71" i="44" s="1"/>
  <c r="E71" i="42"/>
  <c r="I71" i="42" s="1"/>
  <c r="W71" i="42" s="1"/>
  <c r="E105" i="50"/>
  <c r="E103" i="43"/>
  <c r="I103" i="43" s="1"/>
  <c r="W103" i="43" s="1"/>
  <c r="E103" i="46"/>
  <c r="I103" i="46" s="1"/>
  <c r="W103" i="46" s="1"/>
  <c r="E105" i="49"/>
  <c r="E103" i="48"/>
  <c r="I103" i="48" s="1"/>
  <c r="W103" i="48" s="1"/>
  <c r="E103" i="45"/>
  <c r="I103" i="45" s="1"/>
  <c r="W103" i="45" s="1"/>
  <c r="E103" i="47"/>
  <c r="I103" i="47" s="1"/>
  <c r="E103" i="42"/>
  <c r="I103" i="42" s="1"/>
  <c r="W103" i="42" s="1"/>
  <c r="E103" i="44"/>
  <c r="I103" i="44" s="1"/>
  <c r="W103" i="44" s="1"/>
  <c r="E102" i="50"/>
  <c r="E100" i="48"/>
  <c r="I100" i="48" s="1"/>
  <c r="W100" i="48" s="1"/>
  <c r="E100" i="46"/>
  <c r="I100" i="46" s="1"/>
  <c r="W100" i="46" s="1"/>
  <c r="E100" i="42"/>
  <c r="I100" i="42" s="1"/>
  <c r="W100" i="42" s="1"/>
  <c r="E100" i="47"/>
  <c r="I100" i="47" s="1"/>
  <c r="E100" i="45"/>
  <c r="I100" i="45" s="1"/>
  <c r="W100" i="45" s="1"/>
  <c r="E100" i="44"/>
  <c r="I100" i="44" s="1"/>
  <c r="W100" i="44" s="1"/>
  <c r="E100" i="43"/>
  <c r="I100" i="43" s="1"/>
  <c r="W100" i="43" s="1"/>
  <c r="E102" i="49"/>
  <c r="E77" i="50"/>
  <c r="E77" i="49"/>
  <c r="E75" i="43"/>
  <c r="I75" i="43" s="1"/>
  <c r="W75" i="43" s="1"/>
  <c r="E75" i="47"/>
  <c r="I75" i="47" s="1"/>
  <c r="E75" i="46"/>
  <c r="I75" i="46" s="1"/>
  <c r="W75" i="46" s="1"/>
  <c r="E75" i="44"/>
  <c r="I75" i="44" s="1"/>
  <c r="W75" i="44" s="1"/>
  <c r="E75" i="42"/>
  <c r="I75" i="42" s="1"/>
  <c r="W75" i="42" s="1"/>
  <c r="E75" i="48"/>
  <c r="I75" i="48" s="1"/>
  <c r="W75" i="48" s="1"/>
  <c r="E75" i="45"/>
  <c r="I75" i="45" s="1"/>
  <c r="W75" i="45" s="1"/>
  <c r="J50" i="33"/>
  <c r="Q50" i="33" s="1"/>
  <c r="J128" i="33"/>
  <c r="Q128" i="33" s="1"/>
  <c r="J49" i="33"/>
  <c r="Q49" i="33" s="1"/>
  <c r="J48" i="33"/>
  <c r="Q48" i="33" s="1"/>
  <c r="J137" i="33"/>
  <c r="Q137" i="33" s="1"/>
  <c r="J18" i="33"/>
  <c r="Q18" i="33" s="1"/>
  <c r="J37" i="33"/>
  <c r="Q37" i="33" s="1"/>
  <c r="J46" i="33"/>
  <c r="Q46" i="33" s="1"/>
  <c r="J57" i="33"/>
  <c r="Q57" i="33" s="1"/>
  <c r="J66" i="33"/>
  <c r="Q66" i="33" s="1"/>
  <c r="J75" i="33"/>
  <c r="J83" i="33"/>
  <c r="Q83" i="33" s="1"/>
  <c r="J92" i="33"/>
  <c r="Q92" i="33" s="1"/>
  <c r="J38" i="33"/>
  <c r="Q38" i="33" s="1"/>
  <c r="J47" i="33"/>
  <c r="Q47" i="33" s="1"/>
  <c r="J58" i="33"/>
  <c r="Q58" i="33" s="1"/>
  <c r="J68" i="33"/>
  <c r="J76" i="33"/>
  <c r="J84" i="33"/>
  <c r="Q84" i="33" s="1"/>
  <c r="J93" i="33"/>
  <c r="Q93" i="33" s="1"/>
  <c r="J101" i="33"/>
  <c r="J109" i="33"/>
  <c r="Q109" i="33" s="1"/>
  <c r="J117" i="33"/>
  <c r="Q117" i="33" s="1"/>
  <c r="J125" i="33"/>
  <c r="Q125" i="33" s="1"/>
  <c r="J135" i="33"/>
  <c r="Q135" i="33" s="1"/>
  <c r="J30" i="33"/>
  <c r="Q30" i="33" s="1"/>
  <c r="J69" i="33"/>
  <c r="J85" i="33"/>
  <c r="Q85" i="33" s="1"/>
  <c r="J94" i="33"/>
  <c r="J102" i="33"/>
  <c r="J110" i="33"/>
  <c r="Q110" i="33" s="1"/>
  <c r="J118" i="33"/>
  <c r="Q118" i="33" s="1"/>
  <c r="J126" i="33"/>
  <c r="Q126" i="33" s="1"/>
  <c r="J136" i="33"/>
  <c r="Q136" i="33" s="1"/>
  <c r="J39" i="33"/>
  <c r="Q39" i="33" s="1"/>
  <c r="J59" i="33"/>
  <c r="Q59" i="33" s="1"/>
  <c r="J77" i="33"/>
  <c r="J40" i="33"/>
  <c r="Q40" i="33" s="1"/>
  <c r="J52" i="33"/>
  <c r="Q52" i="33" s="1"/>
  <c r="J60" i="33"/>
  <c r="Q60" i="33" s="1"/>
  <c r="J70" i="33"/>
  <c r="J78" i="33"/>
  <c r="Q78" i="33" s="1"/>
  <c r="J86" i="33"/>
  <c r="Q86" i="33" s="1"/>
  <c r="J95" i="33"/>
  <c r="J103" i="33"/>
  <c r="J111" i="33"/>
  <c r="Q111" i="33" s="1"/>
  <c r="J119" i="33"/>
  <c r="Q119" i="33" s="1"/>
  <c r="J129" i="33"/>
  <c r="Q129" i="33" s="1"/>
  <c r="J15" i="33"/>
  <c r="Q15" i="33" s="1"/>
  <c r="J33" i="33"/>
  <c r="Q33" i="33" s="1"/>
  <c r="J43" i="33"/>
  <c r="Q43" i="33" s="1"/>
  <c r="J54" i="33"/>
  <c r="Q54" i="33" s="1"/>
  <c r="J63" i="33"/>
  <c r="Q63" i="33" s="1"/>
  <c r="J72" i="33"/>
  <c r="J80" i="33"/>
  <c r="Q80" i="33" s="1"/>
  <c r="J89" i="33"/>
  <c r="Q89" i="33" s="1"/>
  <c r="J97" i="33"/>
  <c r="J105" i="33"/>
  <c r="J113" i="33"/>
  <c r="Q113" i="33" s="1"/>
  <c r="J121" i="33"/>
  <c r="Q121" i="33" s="1"/>
  <c r="J131" i="33"/>
  <c r="Q131" i="33" s="1"/>
  <c r="J16" i="33"/>
  <c r="Q16" i="33" s="1"/>
  <c r="J34" i="33"/>
  <c r="Q34" i="33" s="1"/>
  <c r="J44" i="33"/>
  <c r="Q44" i="33" s="1"/>
  <c r="J55" i="33"/>
  <c r="Q55" i="33" s="1"/>
  <c r="J64" i="33"/>
  <c r="Q64" i="33" s="1"/>
  <c r="J73" i="33"/>
  <c r="J81" i="33"/>
  <c r="Q81" i="33" s="1"/>
  <c r="J90" i="33"/>
  <c r="Q90" i="33" s="1"/>
  <c r="J98" i="33"/>
  <c r="J106" i="33"/>
  <c r="Q106" i="33" s="1"/>
  <c r="J114" i="33"/>
  <c r="Q114" i="33" s="1"/>
  <c r="J122" i="33"/>
  <c r="Q122" i="33" s="1"/>
  <c r="J132" i="33"/>
  <c r="Q132" i="33" s="1"/>
  <c r="J17" i="33"/>
  <c r="Q17" i="33" s="1"/>
  <c r="J56" i="33"/>
  <c r="Q56" i="33" s="1"/>
  <c r="J91" i="33"/>
  <c r="Q91" i="33" s="1"/>
  <c r="J115" i="33"/>
  <c r="Q115" i="33" s="1"/>
  <c r="J65" i="33"/>
  <c r="Q65" i="33" s="1"/>
  <c r="J62" i="33"/>
  <c r="Q62" i="33" s="1"/>
  <c r="J96" i="33"/>
  <c r="J116" i="33"/>
  <c r="Q116" i="33" s="1"/>
  <c r="J120" i="33"/>
  <c r="Q120" i="33" s="1"/>
  <c r="J45" i="33"/>
  <c r="Q45" i="33" s="1"/>
  <c r="J112" i="33"/>
  <c r="Q112" i="33" s="1"/>
  <c r="J99" i="33"/>
  <c r="J32" i="33"/>
  <c r="Q32" i="33" s="1"/>
  <c r="J71" i="33"/>
  <c r="J100" i="33"/>
  <c r="J123" i="33"/>
  <c r="Q123" i="33" s="1"/>
  <c r="J108" i="33"/>
  <c r="Q108" i="33" s="1"/>
  <c r="J53" i="33"/>
  <c r="Q53" i="33" s="1"/>
  <c r="J35" i="33"/>
  <c r="Q35" i="33" s="1"/>
  <c r="J74" i="33"/>
  <c r="J104" i="33"/>
  <c r="J124" i="33"/>
  <c r="Q124" i="33" s="1"/>
  <c r="J133" i="33"/>
  <c r="Q133" i="33" s="1"/>
  <c r="J14" i="33"/>
  <c r="Q14" i="33" s="1"/>
  <c r="J42" i="33"/>
  <c r="Q42" i="33" s="1"/>
  <c r="J79" i="33"/>
  <c r="Q79" i="33" s="1"/>
  <c r="J107" i="33"/>
  <c r="Q107" i="33" s="1"/>
  <c r="J130" i="33"/>
  <c r="Q130" i="33" s="1"/>
  <c r="J82" i="33"/>
  <c r="Q82" i="33" s="1"/>
  <c r="J87" i="33"/>
  <c r="Q87" i="33" s="1"/>
  <c r="J134" i="33"/>
  <c r="Q134" i="33" s="1"/>
  <c r="J28" i="33"/>
  <c r="Q28" i="33" s="1"/>
  <c r="J19" i="33"/>
  <c r="Q19" i="33" s="1"/>
  <c r="J29" i="33"/>
  <c r="Q29" i="33" s="1"/>
  <c r="J20" i="33"/>
  <c r="Q20" i="33" s="1"/>
  <c r="J22" i="33"/>
  <c r="Q22" i="33" s="1"/>
  <c r="J31" i="33"/>
  <c r="Q31" i="33" s="1"/>
  <c r="J24" i="33"/>
  <c r="Q24" i="33" s="1"/>
  <c r="J25" i="33"/>
  <c r="Q25" i="33" s="1"/>
  <c r="J23" i="33"/>
  <c r="Q23" i="33" s="1"/>
  <c r="J27" i="33"/>
  <c r="Q27" i="33" s="1"/>
  <c r="F76" i="34"/>
  <c r="F84" i="34"/>
  <c r="F56" i="34"/>
  <c r="F58" i="34"/>
  <c r="F54" i="34"/>
  <c r="F83" i="34"/>
  <c r="E101" i="33"/>
  <c r="I101" i="33" s="1"/>
  <c r="W101" i="33" s="1"/>
  <c r="E98" i="33"/>
  <c r="I98" i="33" s="1"/>
  <c r="W98" i="33" s="1"/>
  <c r="F80" i="34"/>
  <c r="E75" i="33"/>
  <c r="I75" i="33" s="1"/>
  <c r="W75" i="33" s="1"/>
  <c r="F53" i="34"/>
  <c r="E70" i="33"/>
  <c r="I70" i="33" s="1"/>
  <c r="W70" i="33" s="1"/>
  <c r="F85" i="34"/>
  <c r="E103" i="33"/>
  <c r="I103" i="33" s="1"/>
  <c r="W103" i="33" s="1"/>
  <c r="E100" i="33"/>
  <c r="I100" i="33" s="1"/>
  <c r="W100" i="33" s="1"/>
  <c r="F77" i="34"/>
  <c r="E95" i="33"/>
  <c r="I95" i="33" s="1"/>
  <c r="W95" i="33" s="1"/>
  <c r="F82" i="34"/>
  <c r="E77" i="33"/>
  <c r="I77" i="33" s="1"/>
  <c r="W77" i="33" s="1"/>
  <c r="F55" i="34"/>
  <c r="E72" i="33"/>
  <c r="I72" i="33" s="1"/>
  <c r="W72" i="33" s="1"/>
  <c r="E69" i="33"/>
  <c r="I69" i="33" s="1"/>
  <c r="W69" i="33" s="1"/>
  <c r="F87" i="34"/>
  <c r="E105" i="33"/>
  <c r="I105" i="33" s="1"/>
  <c r="W105" i="33" s="1"/>
  <c r="E102" i="33"/>
  <c r="I102" i="33" s="1"/>
  <c r="W102" i="33" s="1"/>
  <c r="F79" i="34"/>
  <c r="E97" i="33"/>
  <c r="I97" i="33" s="1"/>
  <c r="W97" i="33" s="1"/>
  <c r="E94" i="33"/>
  <c r="I94" i="33" s="1"/>
  <c r="W94" i="33" s="1"/>
  <c r="F60" i="34"/>
  <c r="F52" i="34"/>
  <c r="F57" i="34"/>
  <c r="E74" i="33"/>
  <c r="I74" i="33" s="1"/>
  <c r="W74" i="33" s="1"/>
  <c r="E71" i="33"/>
  <c r="I71" i="33" s="1"/>
  <c r="W71" i="33" s="1"/>
  <c r="E96" i="33"/>
  <c r="I96" i="33" s="1"/>
  <c r="W96" i="33" s="1"/>
  <c r="E104" i="33"/>
  <c r="I104" i="33" s="1"/>
  <c r="W104" i="33" s="1"/>
  <c r="F81" i="34"/>
  <c r="E99" i="33"/>
  <c r="I99" i="33" s="1"/>
  <c r="W99" i="33" s="1"/>
  <c r="F86" i="34"/>
  <c r="F78" i="34"/>
  <c r="F59" i="34"/>
  <c r="E76" i="33"/>
  <c r="I76" i="33" s="1"/>
  <c r="W76" i="33" s="1"/>
  <c r="E73" i="33"/>
  <c r="I73" i="33" s="1"/>
  <c r="W73" i="33" s="1"/>
  <c r="F51" i="34"/>
  <c r="E68" i="33"/>
  <c r="I68" i="33" s="1"/>
  <c r="W68" i="33" s="1"/>
  <c r="Q12" i="33"/>
  <c r="K12" i="33"/>
  <c r="W99" i="47" l="1"/>
  <c r="W71" i="47"/>
  <c r="W96" i="47"/>
  <c r="W77" i="47"/>
  <c r="W73" i="47"/>
  <c r="W105" i="47"/>
  <c r="W69" i="47"/>
  <c r="W94" i="47"/>
  <c r="W101" i="47"/>
  <c r="W98" i="47"/>
  <c r="W68" i="47"/>
  <c r="W103" i="47"/>
  <c r="W102" i="47"/>
  <c r="W70" i="47"/>
  <c r="W72" i="47"/>
  <c r="W74" i="47"/>
  <c r="W97" i="47"/>
  <c r="W104" i="47"/>
  <c r="W95" i="47"/>
  <c r="W76" i="47"/>
  <c r="W75" i="47"/>
  <c r="W100" i="47"/>
  <c r="P75" i="43"/>
  <c r="Q75" i="43" s="1"/>
  <c r="T75" i="43"/>
  <c r="P71" i="45"/>
  <c r="Q71" i="45" s="1"/>
  <c r="T71" i="45"/>
  <c r="P95" i="48"/>
  <c r="Q95" i="48" s="1"/>
  <c r="T95" i="48"/>
  <c r="P68" i="43"/>
  <c r="Q68" i="43" s="1"/>
  <c r="T68" i="43"/>
  <c r="P73" i="46"/>
  <c r="Q73" i="46" s="1"/>
  <c r="T73" i="46"/>
  <c r="T69" i="48"/>
  <c r="P69" i="48"/>
  <c r="Q69" i="48" s="1"/>
  <c r="P94" i="43"/>
  <c r="Q94" i="43" s="1"/>
  <c r="T94" i="43"/>
  <c r="T70" i="48"/>
  <c r="P70" i="48"/>
  <c r="Q70" i="48" s="1"/>
  <c r="P100" i="46"/>
  <c r="Q100" i="46" s="1"/>
  <c r="T100" i="46"/>
  <c r="T71" i="43"/>
  <c r="P71" i="43"/>
  <c r="Q71" i="43" s="1"/>
  <c r="T96" i="42"/>
  <c r="P96" i="42"/>
  <c r="Q96" i="42" s="1"/>
  <c r="T104" i="48"/>
  <c r="P104" i="48"/>
  <c r="Q104" i="48" s="1"/>
  <c r="P95" i="43"/>
  <c r="Q95" i="43" s="1"/>
  <c r="T95" i="43"/>
  <c r="T72" i="42"/>
  <c r="P72" i="42"/>
  <c r="Q72" i="42" s="1"/>
  <c r="T105" i="46"/>
  <c r="P105" i="46"/>
  <c r="Q105" i="46" s="1"/>
  <c r="P68" i="47"/>
  <c r="Q68" i="47" s="1"/>
  <c r="T68" i="47"/>
  <c r="T97" i="43"/>
  <c r="P97" i="43"/>
  <c r="Q97" i="43" s="1"/>
  <c r="T101" i="48"/>
  <c r="P101" i="48"/>
  <c r="Q101" i="48" s="1"/>
  <c r="P73" i="47"/>
  <c r="Q73" i="47" s="1"/>
  <c r="T73" i="47"/>
  <c r="T102" i="46"/>
  <c r="P102" i="46"/>
  <c r="Q102" i="46" s="1"/>
  <c r="P69" i="44"/>
  <c r="Q69" i="44" s="1"/>
  <c r="T69" i="44"/>
  <c r="P94" i="42"/>
  <c r="Q94" i="42" s="1"/>
  <c r="T94" i="42"/>
  <c r="T98" i="48"/>
  <c r="P98" i="48"/>
  <c r="Q98" i="48" s="1"/>
  <c r="P99" i="46"/>
  <c r="Q99" i="46" s="1"/>
  <c r="T99" i="46"/>
  <c r="P74" i="43"/>
  <c r="Q74" i="43" s="1"/>
  <c r="T74" i="43"/>
  <c r="T70" i="42"/>
  <c r="P70" i="42"/>
  <c r="Q70" i="42" s="1"/>
  <c r="P104" i="45"/>
  <c r="Q104" i="45" s="1"/>
  <c r="T104" i="45"/>
  <c r="P99" i="47"/>
  <c r="Q99" i="47" s="1"/>
  <c r="T99" i="47"/>
  <c r="T75" i="45"/>
  <c r="P75" i="45"/>
  <c r="Q75" i="45" s="1"/>
  <c r="P100" i="48"/>
  <c r="Q100" i="48" s="1"/>
  <c r="T100" i="48"/>
  <c r="P103" i="46"/>
  <c r="Q103" i="46" s="1"/>
  <c r="T103" i="46"/>
  <c r="T71" i="47"/>
  <c r="P71" i="47"/>
  <c r="Q71" i="47" s="1"/>
  <c r="P96" i="46"/>
  <c r="Q96" i="46" s="1"/>
  <c r="T96" i="46"/>
  <c r="P72" i="43"/>
  <c r="Q72" i="43" s="1"/>
  <c r="T72" i="43"/>
  <c r="T105" i="42"/>
  <c r="P105" i="42"/>
  <c r="Q105" i="42" s="1"/>
  <c r="P76" i="45"/>
  <c r="Q76" i="45" s="1"/>
  <c r="T76" i="45"/>
  <c r="T97" i="44"/>
  <c r="P97" i="44"/>
  <c r="Q97" i="44" s="1"/>
  <c r="T101" i="46"/>
  <c r="P101" i="46"/>
  <c r="Q101" i="46" s="1"/>
  <c r="P73" i="43"/>
  <c r="Q73" i="43" s="1"/>
  <c r="T73" i="43"/>
  <c r="P69" i="46"/>
  <c r="Q69" i="46" s="1"/>
  <c r="T69" i="46"/>
  <c r="T77" i="43"/>
  <c r="P77" i="43"/>
  <c r="Q77" i="43" s="1"/>
  <c r="T98" i="46"/>
  <c r="P98" i="46"/>
  <c r="Q98" i="46" s="1"/>
  <c r="T99" i="48"/>
  <c r="P99" i="48"/>
  <c r="Q99" i="48" s="1"/>
  <c r="P70" i="44"/>
  <c r="Q70" i="44" s="1"/>
  <c r="T70" i="44"/>
  <c r="P103" i="48"/>
  <c r="Q103" i="48" s="1"/>
  <c r="T103" i="48"/>
  <c r="P96" i="47"/>
  <c r="Q96" i="47" s="1"/>
  <c r="T96" i="47"/>
  <c r="P97" i="42"/>
  <c r="Q97" i="42" s="1"/>
  <c r="T97" i="42"/>
  <c r="P102" i="48"/>
  <c r="Q102" i="48" s="1"/>
  <c r="T102" i="48"/>
  <c r="T77" i="47"/>
  <c r="P77" i="47"/>
  <c r="Q77" i="47" s="1"/>
  <c r="T98" i="47"/>
  <c r="P98" i="47"/>
  <c r="Q98" i="47" s="1"/>
  <c r="T74" i="47"/>
  <c r="P74" i="47"/>
  <c r="Q74" i="47" s="1"/>
  <c r="T75" i="48"/>
  <c r="P75" i="48"/>
  <c r="Q75" i="48" s="1"/>
  <c r="P103" i="43"/>
  <c r="Q103" i="43" s="1"/>
  <c r="T103" i="43"/>
  <c r="P96" i="48"/>
  <c r="Q96" i="48" s="1"/>
  <c r="T96" i="48"/>
  <c r="T104" i="46"/>
  <c r="P104" i="46"/>
  <c r="Q104" i="46" s="1"/>
  <c r="P95" i="44"/>
  <c r="Q95" i="44" s="1"/>
  <c r="T95" i="44"/>
  <c r="P72" i="45"/>
  <c r="Q72" i="45" s="1"/>
  <c r="T72" i="45"/>
  <c r="T105" i="43"/>
  <c r="P105" i="43"/>
  <c r="Q105" i="43" s="1"/>
  <c r="T68" i="48"/>
  <c r="P68" i="48"/>
  <c r="Q68" i="48" s="1"/>
  <c r="T76" i="48"/>
  <c r="P76" i="48"/>
  <c r="Q76" i="48" s="1"/>
  <c r="T97" i="45"/>
  <c r="P97" i="45"/>
  <c r="Q97" i="45" s="1"/>
  <c r="T102" i="43"/>
  <c r="P102" i="43"/>
  <c r="Q102" i="43" s="1"/>
  <c r="P69" i="45"/>
  <c r="Q69" i="45" s="1"/>
  <c r="T69" i="45"/>
  <c r="T77" i="45"/>
  <c r="P77" i="45"/>
  <c r="Q77" i="45" s="1"/>
  <c r="T94" i="44"/>
  <c r="P94" i="44"/>
  <c r="Q94" i="44" s="1"/>
  <c r="T74" i="45"/>
  <c r="P74" i="45"/>
  <c r="Q74" i="45" s="1"/>
  <c r="P70" i="46"/>
  <c r="Q70" i="46" s="1"/>
  <c r="T70" i="46"/>
  <c r="T105" i="48"/>
  <c r="P105" i="48"/>
  <c r="Q105" i="48" s="1"/>
  <c r="P75" i="42"/>
  <c r="Q75" i="42" s="1"/>
  <c r="T75" i="42"/>
  <c r="T100" i="43"/>
  <c r="P100" i="43"/>
  <c r="Q100" i="43" s="1"/>
  <c r="T103" i="44"/>
  <c r="P103" i="44"/>
  <c r="Q103" i="44" s="1"/>
  <c r="T71" i="48"/>
  <c r="P71" i="48"/>
  <c r="Q71" i="48" s="1"/>
  <c r="P96" i="43"/>
  <c r="Q96" i="43" s="1"/>
  <c r="T96" i="43"/>
  <c r="T104" i="43"/>
  <c r="P104" i="43"/>
  <c r="Q104" i="43" s="1"/>
  <c r="P95" i="42"/>
  <c r="Q95" i="42" s="1"/>
  <c r="T95" i="42"/>
  <c r="T105" i="44"/>
  <c r="P105" i="44"/>
  <c r="Q105" i="44" s="1"/>
  <c r="P68" i="44"/>
  <c r="Q68" i="44" s="1"/>
  <c r="T68" i="44"/>
  <c r="P76" i="44"/>
  <c r="Q76" i="44" s="1"/>
  <c r="T76" i="44"/>
  <c r="T97" i="47"/>
  <c r="P97" i="47"/>
  <c r="Q97" i="47" s="1"/>
  <c r="P101" i="42"/>
  <c r="Q101" i="42" s="1"/>
  <c r="T101" i="42"/>
  <c r="P73" i="45"/>
  <c r="Q73" i="45" s="1"/>
  <c r="T73" i="45"/>
  <c r="T102" i="42"/>
  <c r="P102" i="42"/>
  <c r="Q102" i="42" s="1"/>
  <c r="P69" i="43"/>
  <c r="Q69" i="43" s="1"/>
  <c r="T69" i="43"/>
  <c r="T77" i="42"/>
  <c r="P77" i="42"/>
  <c r="Q77" i="42" s="1"/>
  <c r="P94" i="45"/>
  <c r="Q94" i="45" s="1"/>
  <c r="T94" i="45"/>
  <c r="P98" i="43"/>
  <c r="Q98" i="43" s="1"/>
  <c r="T98" i="43"/>
  <c r="T99" i="43"/>
  <c r="P99" i="43"/>
  <c r="Q99" i="43" s="1"/>
  <c r="P74" i="48"/>
  <c r="Q74" i="48" s="1"/>
  <c r="T74" i="48"/>
  <c r="P70" i="45"/>
  <c r="Q70" i="45" s="1"/>
  <c r="T70" i="45"/>
  <c r="T100" i="42"/>
  <c r="P100" i="42"/>
  <c r="Q100" i="42" s="1"/>
  <c r="P76" i="43"/>
  <c r="Q76" i="43" s="1"/>
  <c r="T76" i="43"/>
  <c r="T75" i="44"/>
  <c r="P75" i="44"/>
  <c r="Q75" i="44" s="1"/>
  <c r="P100" i="44"/>
  <c r="Q100" i="44" s="1"/>
  <c r="T100" i="44"/>
  <c r="P103" i="42"/>
  <c r="Q103" i="42" s="1"/>
  <c r="T103" i="42"/>
  <c r="P71" i="42"/>
  <c r="Q71" i="42" s="1"/>
  <c r="T71" i="42"/>
  <c r="P104" i="44"/>
  <c r="Q104" i="44" s="1"/>
  <c r="T104" i="44"/>
  <c r="P95" i="45"/>
  <c r="Q95" i="45" s="1"/>
  <c r="T95" i="45"/>
  <c r="T72" i="48"/>
  <c r="P72" i="48"/>
  <c r="Q72" i="48" s="1"/>
  <c r="T105" i="47"/>
  <c r="P105" i="47"/>
  <c r="Q105" i="47" s="1"/>
  <c r="P68" i="46"/>
  <c r="Q68" i="46" s="1"/>
  <c r="T68" i="46"/>
  <c r="P76" i="46"/>
  <c r="Q76" i="46" s="1"/>
  <c r="T76" i="46"/>
  <c r="P97" i="48"/>
  <c r="Q97" i="48" s="1"/>
  <c r="T97" i="48"/>
  <c r="P101" i="43"/>
  <c r="Q101" i="43" s="1"/>
  <c r="T101" i="43"/>
  <c r="P73" i="42"/>
  <c r="Q73" i="42" s="1"/>
  <c r="T73" i="42"/>
  <c r="T102" i="44"/>
  <c r="P102" i="44"/>
  <c r="Q102" i="44" s="1"/>
  <c r="T69" i="47"/>
  <c r="P69" i="47"/>
  <c r="Q69" i="47" s="1"/>
  <c r="T77" i="48"/>
  <c r="P77" i="48"/>
  <c r="Q77" i="48" s="1"/>
  <c r="T94" i="47"/>
  <c r="P94" i="47"/>
  <c r="Q94" i="47" s="1"/>
  <c r="T98" i="42"/>
  <c r="P98" i="42"/>
  <c r="Q98" i="42" s="1"/>
  <c r="T99" i="44"/>
  <c r="P99" i="44"/>
  <c r="Q99" i="44" s="1"/>
  <c r="T74" i="42"/>
  <c r="P74" i="42"/>
  <c r="Q74" i="42" s="1"/>
  <c r="P70" i="43"/>
  <c r="Q70" i="43" s="1"/>
  <c r="T70" i="43"/>
  <c r="T72" i="47"/>
  <c r="P72" i="47"/>
  <c r="Q72" i="47" s="1"/>
  <c r="T75" i="46"/>
  <c r="P75" i="46"/>
  <c r="Q75" i="46" s="1"/>
  <c r="P100" i="45"/>
  <c r="Q100" i="45" s="1"/>
  <c r="T100" i="45"/>
  <c r="T103" i="47"/>
  <c r="P103" i="47"/>
  <c r="Q103" i="47" s="1"/>
  <c r="T71" i="44"/>
  <c r="P71" i="44"/>
  <c r="Q71" i="44" s="1"/>
  <c r="T96" i="44"/>
  <c r="P96" i="44"/>
  <c r="Q96" i="44" s="1"/>
  <c r="P104" i="47"/>
  <c r="Q104" i="47" s="1"/>
  <c r="T104" i="47"/>
  <c r="T95" i="47"/>
  <c r="P95" i="47"/>
  <c r="Q95" i="47" s="1"/>
  <c r="P72" i="44"/>
  <c r="Q72" i="44" s="1"/>
  <c r="T72" i="44"/>
  <c r="T68" i="45"/>
  <c r="P68" i="45"/>
  <c r="Q68" i="45" s="1"/>
  <c r="T76" i="47"/>
  <c r="P76" i="47"/>
  <c r="Q76" i="47" s="1"/>
  <c r="T97" i="46"/>
  <c r="P97" i="46"/>
  <c r="Q97" i="46" s="1"/>
  <c r="T101" i="44"/>
  <c r="P101" i="44"/>
  <c r="Q101" i="44" s="1"/>
  <c r="P73" i="48"/>
  <c r="Q73" i="48" s="1"/>
  <c r="T73" i="48"/>
  <c r="P102" i="47"/>
  <c r="Q102" i="47" s="1"/>
  <c r="T102" i="47"/>
  <c r="T77" i="44"/>
  <c r="P77" i="44"/>
  <c r="Q77" i="44" s="1"/>
  <c r="T94" i="46"/>
  <c r="P94" i="46"/>
  <c r="Q94" i="46" s="1"/>
  <c r="P98" i="44"/>
  <c r="Q98" i="44" s="1"/>
  <c r="T98" i="44"/>
  <c r="P99" i="42"/>
  <c r="Q99" i="42" s="1"/>
  <c r="T99" i="42"/>
  <c r="T74" i="44"/>
  <c r="P74" i="44"/>
  <c r="Q74" i="44" s="1"/>
  <c r="P70" i="47"/>
  <c r="Q70" i="47" s="1"/>
  <c r="T70" i="47"/>
  <c r="P101" i="47"/>
  <c r="Q101" i="47" s="1"/>
  <c r="T101" i="47"/>
  <c r="P75" i="47"/>
  <c r="Q75" i="47" s="1"/>
  <c r="T75" i="47"/>
  <c r="P100" i="47"/>
  <c r="Q100" i="47" s="1"/>
  <c r="T100" i="47"/>
  <c r="T103" i="45"/>
  <c r="P103" i="45"/>
  <c r="Q103" i="45" s="1"/>
  <c r="T71" i="46"/>
  <c r="P71" i="46"/>
  <c r="Q71" i="46" s="1"/>
  <c r="P96" i="45"/>
  <c r="Q96" i="45" s="1"/>
  <c r="T96" i="45"/>
  <c r="P104" i="42"/>
  <c r="Q104" i="42" s="1"/>
  <c r="T104" i="42"/>
  <c r="P95" i="46"/>
  <c r="Q95" i="46" s="1"/>
  <c r="T95" i="46"/>
  <c r="P72" i="46"/>
  <c r="Q72" i="46" s="1"/>
  <c r="T72" i="46"/>
  <c r="T105" i="45"/>
  <c r="P105" i="45"/>
  <c r="Q105" i="45" s="1"/>
  <c r="P68" i="42"/>
  <c r="Q68" i="42" s="1"/>
  <c r="T68" i="42"/>
  <c r="T76" i="42"/>
  <c r="P76" i="42"/>
  <c r="Q76" i="42" s="1"/>
  <c r="T101" i="45"/>
  <c r="P101" i="45"/>
  <c r="Q101" i="45" s="1"/>
  <c r="T73" i="44"/>
  <c r="P73" i="44"/>
  <c r="Q73" i="44" s="1"/>
  <c r="P102" i="45"/>
  <c r="Q102" i="45" s="1"/>
  <c r="T102" i="45"/>
  <c r="P69" i="42"/>
  <c r="Q69" i="42" s="1"/>
  <c r="T69" i="42"/>
  <c r="T77" i="46"/>
  <c r="P77" i="46"/>
  <c r="Q77" i="46" s="1"/>
  <c r="T94" i="48"/>
  <c r="P94" i="48"/>
  <c r="Q94" i="48" s="1"/>
  <c r="P98" i="45"/>
  <c r="Q98" i="45" s="1"/>
  <c r="T98" i="45"/>
  <c r="T99" i="45"/>
  <c r="P99" i="45"/>
  <c r="Q99" i="45" s="1"/>
  <c r="P74" i="46"/>
  <c r="Q74" i="46" s="1"/>
  <c r="T74" i="46"/>
  <c r="P99" i="33"/>
  <c r="Q99" i="33" s="1"/>
  <c r="T99" i="33"/>
  <c r="P68" i="33"/>
  <c r="Q68" i="33" s="1"/>
  <c r="T68" i="33"/>
  <c r="P94" i="33"/>
  <c r="Q94" i="33" s="1"/>
  <c r="T94" i="33"/>
  <c r="T70" i="33"/>
  <c r="P70" i="33"/>
  <c r="Q70" i="33" s="1"/>
  <c r="T103" i="33"/>
  <c r="P103" i="33"/>
  <c r="Q103" i="33" s="1"/>
  <c r="T73" i="33"/>
  <c r="P73" i="33"/>
  <c r="Q73" i="33" s="1"/>
  <c r="T97" i="33"/>
  <c r="P97" i="33"/>
  <c r="Q97" i="33" s="1"/>
  <c r="P76" i="33"/>
  <c r="Q76" i="33" s="1"/>
  <c r="T76" i="33"/>
  <c r="T95" i="33"/>
  <c r="P95" i="33"/>
  <c r="Q95" i="33" s="1"/>
  <c r="P104" i="33"/>
  <c r="Q104" i="33" s="1"/>
  <c r="T104" i="33"/>
  <c r="P77" i="33"/>
  <c r="Q77" i="33" s="1"/>
  <c r="T77" i="33"/>
  <c r="P96" i="33"/>
  <c r="Q96" i="33" s="1"/>
  <c r="T96" i="33"/>
  <c r="P71" i="33"/>
  <c r="Q71" i="33" s="1"/>
  <c r="T71" i="33"/>
  <c r="P74" i="33"/>
  <c r="Q74" i="33" s="1"/>
  <c r="T74" i="33"/>
  <c r="T105" i="33"/>
  <c r="P105" i="33"/>
  <c r="Q105" i="33" s="1"/>
  <c r="T98" i="33"/>
  <c r="P98" i="33"/>
  <c r="Q98" i="33" s="1"/>
  <c r="P69" i="33"/>
  <c r="Q69" i="33" s="1"/>
  <c r="T69" i="33"/>
  <c r="T75" i="33"/>
  <c r="P75" i="33"/>
  <c r="Q75" i="33" s="1"/>
  <c r="P102" i="33"/>
  <c r="Q102" i="33" s="1"/>
  <c r="T102" i="33"/>
  <c r="T100" i="33"/>
  <c r="P100" i="33"/>
  <c r="Q100" i="33" s="1"/>
  <c r="P101" i="33"/>
  <c r="Q101" i="33" s="1"/>
  <c r="T101" i="33"/>
  <c r="T72" i="33"/>
  <c r="P72" i="33"/>
  <c r="Q72" i="33" s="1"/>
  <c r="D8" i="32"/>
  <c r="U37" i="32"/>
  <c r="V18" i="32"/>
  <c r="T5" i="8"/>
  <c r="F66" i="8"/>
  <c r="F93" i="8"/>
  <c r="F94" i="8"/>
  <c r="F95" i="8"/>
  <c r="F96" i="8"/>
  <c r="F97" i="8"/>
  <c r="F98" i="8"/>
  <c r="F99" i="8"/>
  <c r="F100" i="8"/>
  <c r="F101" i="8"/>
  <c r="F102" i="8"/>
  <c r="F103" i="8"/>
  <c r="F104" i="8"/>
  <c r="S8" i="8"/>
  <c r="N8" i="8"/>
  <c r="P8" i="8"/>
  <c r="T8" i="8"/>
  <c r="U8" i="8"/>
  <c r="Y8" i="8"/>
  <c r="Z8" i="8"/>
  <c r="S87" i="8"/>
  <c r="N87" i="8"/>
  <c r="P87" i="8"/>
  <c r="F67" i="8"/>
  <c r="F68" i="8"/>
  <c r="F69" i="8"/>
  <c r="F70" i="8"/>
  <c r="F71" i="8"/>
  <c r="F72" i="8"/>
  <c r="F73" i="8"/>
  <c r="F74" i="8"/>
  <c r="F75" i="8"/>
  <c r="N20" i="8"/>
  <c r="P20" i="8"/>
  <c r="S20" i="8"/>
  <c r="T87" i="8"/>
  <c r="U87" i="8"/>
  <c r="Y87" i="8"/>
  <c r="Z87" i="8"/>
  <c r="T20" i="8"/>
  <c r="U20" i="8"/>
  <c r="Y20" i="8"/>
  <c r="Z20" i="8"/>
  <c r="F8" i="32"/>
  <c r="E8" i="32"/>
  <c r="G8" i="32"/>
  <c r="T37" i="32"/>
  <c r="S37" i="32"/>
  <c r="R37" i="32"/>
  <c r="Q37" i="32"/>
  <c r="P37" i="32"/>
  <c r="O37" i="32"/>
  <c r="N37" i="32"/>
  <c r="U18" i="32"/>
  <c r="T18" i="32"/>
  <c r="S18" i="32"/>
  <c r="R18" i="32"/>
  <c r="Q18" i="32"/>
  <c r="P18" i="32"/>
  <c r="O18" i="32"/>
  <c r="N18" i="32"/>
  <c r="V35" i="32"/>
  <c r="V34" i="32"/>
  <c r="V33" i="32"/>
  <c r="V32" i="32"/>
  <c r="V31" i="32"/>
  <c r="V30" i="32"/>
  <c r="V29" i="32"/>
  <c r="V28" i="32"/>
  <c r="V27" i="32"/>
  <c r="V26" i="32"/>
  <c r="V25" i="32"/>
  <c r="V24" i="32"/>
  <c r="V37" i="32"/>
  <c r="V16" i="32"/>
  <c r="V15" i="32"/>
  <c r="V14" i="32"/>
  <c r="V13" i="32"/>
  <c r="V12" i="32"/>
  <c r="V11" i="32"/>
  <c r="V10" i="32"/>
  <c r="V9" i="32"/>
  <c r="V8" i="32"/>
  <c r="V7" i="32"/>
  <c r="V6" i="32"/>
  <c r="V5" i="32"/>
  <c r="AF13" i="9"/>
  <c r="AG13" i="9"/>
  <c r="AH13" i="9"/>
  <c r="AI13" i="9"/>
  <c r="AJ13" i="9"/>
  <c r="AK13" i="9"/>
  <c r="AL13" i="9"/>
  <c r="AE13" i="9"/>
  <c r="M6" i="10"/>
  <c r="Z6" i="10" s="1"/>
  <c r="M5" i="10"/>
  <c r="Z5" i="10" s="1"/>
  <c r="Z7" i="10" s="1"/>
  <c r="G5" i="9"/>
  <c r="I5" i="9" s="1"/>
  <c r="G6" i="9"/>
  <c r="I6" i="9" s="1"/>
  <c r="G3" i="9"/>
  <c r="G11" i="7"/>
  <c r="H11" i="7" s="1"/>
  <c r="G7" i="7"/>
  <c r="H7" i="7" s="1"/>
  <c r="D11" i="7"/>
  <c r="J11" i="7" s="1"/>
  <c r="C11" i="7"/>
  <c r="N11" i="7" s="1"/>
  <c r="B11" i="7"/>
  <c r="D7" i="7"/>
  <c r="J7" i="7" s="1"/>
  <c r="C7" i="7"/>
  <c r="N7" i="7" s="1"/>
  <c r="B7" i="7"/>
  <c r="N32" i="8"/>
  <c r="P32" i="8"/>
  <c r="S32" i="8"/>
  <c r="N33" i="8"/>
  <c r="P33" i="8"/>
  <c r="S33" i="8"/>
  <c r="N34" i="8"/>
  <c r="P34" i="8"/>
  <c r="S34" i="8"/>
  <c r="N38" i="8"/>
  <c r="P38" i="8"/>
  <c r="S38" i="8"/>
  <c r="N39" i="8"/>
  <c r="P39" i="8"/>
  <c r="S39" i="8"/>
  <c r="N40" i="8"/>
  <c r="P40" i="8"/>
  <c r="S40" i="8"/>
  <c r="N41" i="8"/>
  <c r="P41" i="8"/>
  <c r="S41" i="8"/>
  <c r="N42" i="8"/>
  <c r="P42" i="8"/>
  <c r="S42" i="8"/>
  <c r="N43" i="8"/>
  <c r="P43" i="8"/>
  <c r="S43" i="8"/>
  <c r="N44" i="8"/>
  <c r="P44" i="8"/>
  <c r="S44" i="8"/>
  <c r="N45" i="8"/>
  <c r="P45" i="8"/>
  <c r="S45" i="8"/>
  <c r="S22" i="8"/>
  <c r="S23" i="8"/>
  <c r="S24" i="8"/>
  <c r="S25" i="8"/>
  <c r="S26" i="8"/>
  <c r="S27" i="8"/>
  <c r="S28" i="8"/>
  <c r="S137" i="8"/>
  <c r="N137" i="8"/>
  <c r="P137" i="8"/>
  <c r="S136" i="8"/>
  <c r="N136" i="8"/>
  <c r="P136" i="8"/>
  <c r="S135" i="8"/>
  <c r="N135" i="8"/>
  <c r="P135" i="8"/>
  <c r="S134" i="8"/>
  <c r="N134" i="8"/>
  <c r="P134" i="8"/>
  <c r="S133" i="8"/>
  <c r="N133" i="8"/>
  <c r="P133" i="8"/>
  <c r="S132" i="8"/>
  <c r="N132" i="8"/>
  <c r="P132" i="8"/>
  <c r="S131" i="8"/>
  <c r="N131" i="8"/>
  <c r="P131" i="8"/>
  <c r="S130" i="8"/>
  <c r="N130" i="8"/>
  <c r="P130" i="8"/>
  <c r="S129" i="8"/>
  <c r="N129" i="8"/>
  <c r="P129" i="8"/>
  <c r="S128" i="8"/>
  <c r="N128" i="8"/>
  <c r="P128" i="8"/>
  <c r="S125" i="8"/>
  <c r="N125" i="8"/>
  <c r="P125" i="8"/>
  <c r="S124" i="8"/>
  <c r="N124" i="8"/>
  <c r="P124" i="8"/>
  <c r="S123" i="8"/>
  <c r="N123" i="8"/>
  <c r="P123" i="8"/>
  <c r="S122" i="8"/>
  <c r="N122" i="8"/>
  <c r="P122" i="8"/>
  <c r="S121" i="8"/>
  <c r="N121" i="8"/>
  <c r="P121" i="8"/>
  <c r="S120" i="8"/>
  <c r="N120" i="8"/>
  <c r="P120" i="8"/>
  <c r="S119" i="8"/>
  <c r="N119" i="8"/>
  <c r="P119" i="8"/>
  <c r="S118" i="8"/>
  <c r="N118" i="8"/>
  <c r="P118" i="8"/>
  <c r="S117" i="8"/>
  <c r="N117" i="8"/>
  <c r="P117" i="8"/>
  <c r="S116" i="8"/>
  <c r="N116" i="8"/>
  <c r="P116" i="8"/>
  <c r="S115" i="8"/>
  <c r="N115" i="8"/>
  <c r="P115" i="8"/>
  <c r="S104" i="8"/>
  <c r="N104" i="8"/>
  <c r="P104" i="8"/>
  <c r="S103" i="8"/>
  <c r="N103" i="8"/>
  <c r="P103" i="8"/>
  <c r="S102" i="8"/>
  <c r="N102" i="8"/>
  <c r="P102" i="8"/>
  <c r="S101" i="8"/>
  <c r="N101" i="8"/>
  <c r="P101" i="8"/>
  <c r="S100" i="8"/>
  <c r="N100" i="8"/>
  <c r="P100" i="8"/>
  <c r="S99" i="8"/>
  <c r="N99" i="8"/>
  <c r="P99" i="8"/>
  <c r="S98" i="8"/>
  <c r="N98" i="8"/>
  <c r="P98" i="8"/>
  <c r="S97" i="8"/>
  <c r="N97" i="8"/>
  <c r="P97" i="8"/>
  <c r="S96" i="8"/>
  <c r="N96" i="8"/>
  <c r="P96" i="8"/>
  <c r="S95" i="8"/>
  <c r="N95" i="8"/>
  <c r="P95" i="8"/>
  <c r="S94" i="8"/>
  <c r="N94" i="8"/>
  <c r="P94" i="8"/>
  <c r="S93" i="8"/>
  <c r="N93" i="8"/>
  <c r="P93" i="8"/>
  <c r="S91" i="8"/>
  <c r="N91" i="8"/>
  <c r="P91" i="8"/>
  <c r="S90" i="8"/>
  <c r="N90" i="8"/>
  <c r="P90" i="8"/>
  <c r="S85" i="8"/>
  <c r="N85" i="8"/>
  <c r="P85" i="8"/>
  <c r="S84" i="8"/>
  <c r="N84" i="8"/>
  <c r="P84" i="8"/>
  <c r="S83" i="8"/>
  <c r="N83" i="8"/>
  <c r="P83" i="8"/>
  <c r="S79" i="8"/>
  <c r="N79" i="8"/>
  <c r="P79" i="8"/>
  <c r="S75" i="8"/>
  <c r="N75" i="8"/>
  <c r="P75" i="8"/>
  <c r="S74" i="8"/>
  <c r="N74" i="8"/>
  <c r="P74" i="8"/>
  <c r="S73" i="8"/>
  <c r="N73" i="8"/>
  <c r="P73" i="8"/>
  <c r="S72" i="8"/>
  <c r="N72" i="8"/>
  <c r="P72" i="8"/>
  <c r="S71" i="8"/>
  <c r="N71" i="8"/>
  <c r="P71" i="8"/>
  <c r="S70" i="8"/>
  <c r="N70" i="8"/>
  <c r="P70" i="8"/>
  <c r="S69" i="8"/>
  <c r="N69" i="8"/>
  <c r="P69" i="8"/>
  <c r="S68" i="8"/>
  <c r="N68" i="8"/>
  <c r="P68" i="8"/>
  <c r="S67" i="8"/>
  <c r="N67" i="8"/>
  <c r="P67" i="8"/>
  <c r="S66" i="8"/>
  <c r="N66" i="8"/>
  <c r="P66" i="8"/>
  <c r="S61" i="8"/>
  <c r="N61" i="8"/>
  <c r="P61" i="8"/>
  <c r="S60" i="8"/>
  <c r="N60" i="8"/>
  <c r="P60" i="8"/>
  <c r="S59" i="8"/>
  <c r="N59" i="8"/>
  <c r="P59" i="8"/>
  <c r="S56" i="8"/>
  <c r="N56" i="8"/>
  <c r="P56" i="8"/>
  <c r="S55" i="8"/>
  <c r="N55" i="8"/>
  <c r="P55" i="8"/>
  <c r="S54" i="8"/>
  <c r="N54" i="8"/>
  <c r="P54" i="8"/>
  <c r="S53" i="8"/>
  <c r="N53" i="8"/>
  <c r="P53" i="8"/>
  <c r="S49" i="8"/>
  <c r="N49" i="8"/>
  <c r="P49" i="8"/>
  <c r="S48" i="8"/>
  <c r="N48" i="8"/>
  <c r="P48" i="8"/>
  <c r="N28" i="8"/>
  <c r="P28" i="8"/>
  <c r="N27" i="8"/>
  <c r="P27" i="8"/>
  <c r="N26" i="8"/>
  <c r="P26" i="8"/>
  <c r="N25" i="8"/>
  <c r="P25" i="8"/>
  <c r="N24" i="8"/>
  <c r="P24" i="8"/>
  <c r="N23" i="8"/>
  <c r="P23" i="8"/>
  <c r="N22" i="8"/>
  <c r="P22" i="8"/>
  <c r="S16" i="8"/>
  <c r="N16" i="8"/>
  <c r="P16" i="8"/>
  <c r="S15" i="8"/>
  <c r="N15" i="8"/>
  <c r="P15" i="8"/>
  <c r="S11" i="8"/>
  <c r="N11" i="8"/>
  <c r="P11" i="8"/>
  <c r="S10" i="8"/>
  <c r="N10" i="8"/>
  <c r="P10" i="8"/>
  <c r="T10" i="8" s="1"/>
  <c r="U10" i="8" s="1"/>
  <c r="Y10" i="8" s="1"/>
  <c r="Z10" i="8" s="1"/>
  <c r="S9" i="8"/>
  <c r="N9" i="8"/>
  <c r="P9" i="8"/>
  <c r="S5" i="8"/>
  <c r="N5" i="8"/>
  <c r="P5" i="8"/>
  <c r="T16" i="8"/>
  <c r="U16" i="8"/>
  <c r="Y16" i="8"/>
  <c r="Z16" i="8"/>
  <c r="T55" i="8"/>
  <c r="U55" i="8"/>
  <c r="Y55" i="8"/>
  <c r="Z55" i="8"/>
  <c r="T34" i="8"/>
  <c r="U34" i="8"/>
  <c r="Y34" i="8"/>
  <c r="Z34" i="8"/>
  <c r="T135" i="8"/>
  <c r="U135" i="8"/>
  <c r="Y135" i="8"/>
  <c r="Z135" i="8"/>
  <c r="T119" i="8"/>
  <c r="U119" i="8"/>
  <c r="Y119" i="8"/>
  <c r="Z119" i="8"/>
  <c r="T56" i="8"/>
  <c r="U56" i="8"/>
  <c r="Y56" i="8"/>
  <c r="Z56" i="8"/>
  <c r="T66" i="8"/>
  <c r="U66" i="8"/>
  <c r="Y66" i="8"/>
  <c r="Z66" i="8"/>
  <c r="T96" i="8"/>
  <c r="U96" i="8"/>
  <c r="Y96" i="8"/>
  <c r="Z96" i="8"/>
  <c r="T100" i="8"/>
  <c r="U100" i="8"/>
  <c r="Y100" i="8"/>
  <c r="Z100" i="8"/>
  <c r="T93" i="8"/>
  <c r="U93" i="8"/>
  <c r="Y93" i="8"/>
  <c r="Z93" i="8"/>
  <c r="T22" i="8"/>
  <c r="U22" i="8"/>
  <c r="Y22" i="8"/>
  <c r="Z22" i="8"/>
  <c r="T69" i="8"/>
  <c r="U69" i="8"/>
  <c r="Y69" i="8"/>
  <c r="Z69" i="8"/>
  <c r="T90" i="8"/>
  <c r="U90" i="8"/>
  <c r="Y90" i="8"/>
  <c r="Z90" i="8"/>
  <c r="T103" i="8"/>
  <c r="U103" i="8"/>
  <c r="Y103" i="8"/>
  <c r="Z103" i="8"/>
  <c r="T74" i="8"/>
  <c r="U74" i="8"/>
  <c r="Y74" i="8"/>
  <c r="Z74" i="8"/>
  <c r="T26" i="8"/>
  <c r="U26" i="8"/>
  <c r="Y26" i="8"/>
  <c r="Z26" i="8"/>
  <c r="T68" i="8"/>
  <c r="U68" i="8"/>
  <c r="Y68" i="8"/>
  <c r="Z68" i="8"/>
  <c r="T79" i="8"/>
  <c r="U79" i="8"/>
  <c r="Y79" i="8"/>
  <c r="Z79" i="8"/>
  <c r="T99" i="8"/>
  <c r="U99" i="8"/>
  <c r="Y99" i="8"/>
  <c r="Z99" i="8"/>
  <c r="T45" i="8"/>
  <c r="U45" i="8"/>
  <c r="Y45" i="8"/>
  <c r="Z45" i="8"/>
  <c r="U5" i="8"/>
  <c r="Y5" i="8"/>
  <c r="T11" i="8"/>
  <c r="U11" i="8"/>
  <c r="Y11" i="8"/>
  <c r="Z11" i="8"/>
  <c r="T49" i="8"/>
  <c r="U49" i="8"/>
  <c r="Y49" i="8"/>
  <c r="Z49" i="8"/>
  <c r="T117" i="8"/>
  <c r="U117" i="8"/>
  <c r="Y117" i="8"/>
  <c r="Z117" i="8"/>
  <c r="T129" i="8"/>
  <c r="U129" i="8"/>
  <c r="Y129" i="8"/>
  <c r="Z129" i="8"/>
  <c r="T15" i="8"/>
  <c r="U15" i="8"/>
  <c r="Y15" i="8"/>
  <c r="Z15" i="8"/>
  <c r="T53" i="8"/>
  <c r="U53" i="8"/>
  <c r="Y53" i="8"/>
  <c r="Z53" i="8"/>
  <c r="T73" i="8"/>
  <c r="U73" i="8"/>
  <c r="Y73" i="8"/>
  <c r="Z73" i="8"/>
  <c r="T59" i="8"/>
  <c r="U59" i="8"/>
  <c r="Y59" i="8"/>
  <c r="Z59" i="8"/>
  <c r="T94" i="8"/>
  <c r="U94" i="8"/>
  <c r="Y94" i="8"/>
  <c r="Z94" i="8"/>
  <c r="T101" i="8"/>
  <c r="U101" i="8"/>
  <c r="Y101" i="8"/>
  <c r="Z101" i="8"/>
  <c r="T118" i="8"/>
  <c r="U118" i="8"/>
  <c r="Y118" i="8"/>
  <c r="Z118" i="8"/>
  <c r="T72" i="8"/>
  <c r="U72" i="8"/>
  <c r="T137" i="8"/>
  <c r="U137" i="8"/>
  <c r="Y137" i="8"/>
  <c r="Z137" i="8"/>
  <c r="T67" i="8"/>
  <c r="U67" i="8"/>
  <c r="T132" i="8"/>
  <c r="U132" i="8"/>
  <c r="T9" i="8"/>
  <c r="U9" i="8"/>
  <c r="Y9" i="8"/>
  <c r="Z9" i="8"/>
  <c r="T133" i="8"/>
  <c r="U133" i="8"/>
  <c r="Y133" i="8"/>
  <c r="Z133" i="8"/>
  <c r="T136" i="8"/>
  <c r="U136" i="8"/>
  <c r="T128" i="8"/>
  <c r="U128" i="8"/>
  <c r="T131" i="8"/>
  <c r="U131" i="8"/>
  <c r="Y131" i="8"/>
  <c r="Z131" i="8"/>
  <c r="T125" i="8"/>
  <c r="U125" i="8"/>
  <c r="T102" i="8"/>
  <c r="U102" i="8"/>
  <c r="T120" i="8"/>
  <c r="U120" i="8"/>
  <c r="T123" i="8"/>
  <c r="U123" i="8"/>
  <c r="T121" i="8"/>
  <c r="U121" i="8"/>
  <c r="T95" i="8"/>
  <c r="U95" i="8"/>
  <c r="T91" i="8"/>
  <c r="U91" i="8"/>
  <c r="T71" i="8"/>
  <c r="U71" i="8"/>
  <c r="T83" i="8"/>
  <c r="U83" i="8"/>
  <c r="T75" i="8"/>
  <c r="U75" i="8"/>
  <c r="T70" i="8"/>
  <c r="U70" i="8"/>
  <c r="T84" i="8"/>
  <c r="U84" i="8"/>
  <c r="T61" i="8"/>
  <c r="U61" i="8"/>
  <c r="T54" i="8"/>
  <c r="U54" i="8"/>
  <c r="Y54" i="8"/>
  <c r="Z54" i="8"/>
  <c r="T48" i="8"/>
  <c r="U48" i="8"/>
  <c r="Y48" i="8"/>
  <c r="Z48" i="8"/>
  <c r="T40" i="8"/>
  <c r="U40" i="8"/>
  <c r="Y40" i="8"/>
  <c r="Z40" i="8"/>
  <c r="T44" i="8"/>
  <c r="U44" i="8"/>
  <c r="Y44" i="8"/>
  <c r="Z44" i="8"/>
  <c r="T42" i="8"/>
  <c r="U42" i="8"/>
  <c r="Y42" i="8"/>
  <c r="Z42" i="8"/>
  <c r="T41" i="8"/>
  <c r="U41" i="8"/>
  <c r="Y41" i="8"/>
  <c r="Z41" i="8"/>
  <c r="T43" i="8"/>
  <c r="U43" i="8"/>
  <c r="Y43" i="8"/>
  <c r="Z43" i="8"/>
  <c r="T39" i="8"/>
  <c r="U39" i="8"/>
  <c r="Y39" i="8"/>
  <c r="Z39" i="8"/>
  <c r="T38" i="8"/>
  <c r="U38" i="8"/>
  <c r="Y38" i="8"/>
  <c r="Z38" i="8"/>
  <c r="T33" i="8"/>
  <c r="U33" i="8"/>
  <c r="Y33" i="8"/>
  <c r="Z33" i="8"/>
  <c r="T32" i="8"/>
  <c r="U32" i="8"/>
  <c r="Y32" i="8"/>
  <c r="Z32" i="8"/>
  <c r="T104" i="8"/>
  <c r="U104" i="8"/>
  <c r="T124" i="8"/>
  <c r="U124" i="8"/>
  <c r="T97" i="8"/>
  <c r="U97" i="8"/>
  <c r="T98" i="8"/>
  <c r="U98" i="8"/>
  <c r="T60" i="8"/>
  <c r="U60" i="8"/>
  <c r="Y60" i="8"/>
  <c r="Z60" i="8"/>
  <c r="T134" i="8"/>
  <c r="U134" i="8"/>
  <c r="T130" i="8"/>
  <c r="U130" i="8"/>
  <c r="T115" i="8"/>
  <c r="U115" i="8"/>
  <c r="T122" i="8"/>
  <c r="U122" i="8"/>
  <c r="T116" i="8"/>
  <c r="U116" i="8"/>
  <c r="T85" i="8"/>
  <c r="U85" i="8"/>
  <c r="T28" i="8"/>
  <c r="U28" i="8"/>
  <c r="Y28" i="8"/>
  <c r="Z28" i="8"/>
  <c r="T24" i="8"/>
  <c r="U24" i="8"/>
  <c r="Y24" i="8"/>
  <c r="Z24" i="8"/>
  <c r="T23" i="8"/>
  <c r="U23" i="8"/>
  <c r="Y23" i="8"/>
  <c r="Z23" i="8"/>
  <c r="T27" i="8"/>
  <c r="U27" i="8"/>
  <c r="Y27" i="8"/>
  <c r="Z27" i="8"/>
  <c r="T25" i="8"/>
  <c r="U25" i="8"/>
  <c r="Y25" i="8"/>
  <c r="Z25" i="8"/>
  <c r="Y95" i="8"/>
  <c r="Z95" i="8"/>
  <c r="Y61" i="8"/>
  <c r="Z61" i="8"/>
  <c r="Y121" i="8"/>
  <c r="Z121" i="8"/>
  <c r="Y136" i="8"/>
  <c r="Z136" i="8"/>
  <c r="Y84" i="8"/>
  <c r="Z84" i="8"/>
  <c r="Y116" i="8"/>
  <c r="Z116" i="8"/>
  <c r="Y97" i="8"/>
  <c r="Z97" i="8"/>
  <c r="Y70" i="8"/>
  <c r="Z70" i="8"/>
  <c r="Y120" i="8"/>
  <c r="Z120" i="8"/>
  <c r="Y72" i="8"/>
  <c r="Z72" i="8"/>
  <c r="Y98" i="8"/>
  <c r="Z98" i="8"/>
  <c r="Y132" i="8"/>
  <c r="Z132" i="8"/>
  <c r="Y122" i="8"/>
  <c r="Z122" i="8"/>
  <c r="Y124" i="8"/>
  <c r="Z124" i="8"/>
  <c r="Y75" i="8"/>
  <c r="Z75" i="8"/>
  <c r="Y102" i="8"/>
  <c r="Z102" i="8"/>
  <c r="Y67" i="8"/>
  <c r="Z67" i="8"/>
  <c r="Y85" i="8"/>
  <c r="Z85" i="8"/>
  <c r="Y123" i="8"/>
  <c r="Z123" i="8"/>
  <c r="Y115" i="8"/>
  <c r="Z115" i="8"/>
  <c r="Y104" i="8"/>
  <c r="Z104" i="8"/>
  <c r="Y83" i="8"/>
  <c r="Z83" i="8"/>
  <c r="Y125" i="8"/>
  <c r="Z125" i="8"/>
  <c r="Y71" i="8"/>
  <c r="Z71" i="8"/>
  <c r="Y130" i="8"/>
  <c r="Z130" i="8"/>
  <c r="Y134" i="8"/>
  <c r="Z134" i="8"/>
  <c r="Y91" i="8"/>
  <c r="Z91" i="8"/>
  <c r="Y128" i="8"/>
  <c r="Z128" i="8"/>
  <c r="L6" i="9" l="1"/>
  <c r="M6" i="9"/>
  <c r="Q10" i="9" s="1"/>
  <c r="L5" i="9"/>
  <c r="T5" i="9" s="1"/>
  <c r="M5" i="9"/>
  <c r="I3" i="9"/>
  <c r="G9" i="9"/>
  <c r="L11" i="7"/>
  <c r="P11" i="7"/>
  <c r="P7" i="7"/>
  <c r="L7" i="7"/>
  <c r="R5" i="10"/>
  <c r="R6" i="10"/>
  <c r="R4" i="10"/>
  <c r="AM11" i="7"/>
  <c r="AN11" i="7" s="1"/>
  <c r="H73" i="56" s="1"/>
  <c r="AQ11" i="7"/>
  <c r="AR11" i="7" s="1"/>
  <c r="H74" i="56" s="1"/>
  <c r="AU11" i="7"/>
  <c r="AV11" i="7" s="1"/>
  <c r="H75" i="56" s="1"/>
  <c r="AI11" i="7"/>
  <c r="AJ11" i="7" s="1"/>
  <c r="H72" i="56" s="1"/>
  <c r="AD11" i="7"/>
  <c r="AF11" i="7" s="1"/>
  <c r="F75" i="56" s="1"/>
  <c r="Z11" i="7"/>
  <c r="AB11" i="7" s="1"/>
  <c r="F74" i="56" s="1"/>
  <c r="V11" i="7"/>
  <c r="X11" i="7" s="1"/>
  <c r="F73" i="56" s="1"/>
  <c r="R11" i="7"/>
  <c r="T11" i="7" s="1"/>
  <c r="F72" i="56" s="1"/>
  <c r="G10" i="9"/>
  <c r="AM7" i="7"/>
  <c r="AN7" i="7" s="1"/>
  <c r="AQ7" i="7"/>
  <c r="AR7" i="7" s="1"/>
  <c r="AU7" i="7"/>
  <c r="AV7" i="7" s="1"/>
  <c r="AW15" i="7" s="1"/>
  <c r="AD7" i="7"/>
  <c r="AF7" i="7" s="1"/>
  <c r="Z7" i="7"/>
  <c r="AB7" i="7" s="1"/>
  <c r="AI7" i="7"/>
  <c r="AJ7" i="7" s="1"/>
  <c r="V7" i="7"/>
  <c r="X7" i="7" s="1"/>
  <c r="R7" i="7"/>
  <c r="T7" i="7" s="1"/>
  <c r="L3" i="9" l="1"/>
  <c r="T3" i="9" s="1"/>
  <c r="Z3" i="9" s="1"/>
  <c r="M3" i="9"/>
  <c r="Q9" i="9" s="1"/>
  <c r="T6" i="9"/>
  <c r="V6" i="10"/>
  <c r="V5" i="10"/>
  <c r="V4" i="10"/>
  <c r="V7" i="10" s="1"/>
  <c r="P15" i="7"/>
  <c r="AK15" i="7"/>
  <c r="AS15" i="7"/>
  <c r="AO15" i="7"/>
  <c r="AE15" i="7"/>
  <c r="Z5" i="9"/>
  <c r="S139" i="49"/>
  <c r="S136" i="49"/>
  <c r="S6" i="62" l="1"/>
  <c r="Y17" i="62" s="1"/>
  <c r="Z17" i="62" s="1"/>
  <c r="Z6" i="9"/>
  <c r="Q4" i="43"/>
  <c r="Q4" i="47"/>
  <c r="Q4" i="33"/>
  <c r="Q4" i="45"/>
  <c r="S9" i="9"/>
  <c r="T9" i="9" s="1"/>
  <c r="Z9" i="9" s="1"/>
  <c r="S137" i="49"/>
  <c r="S135" i="49"/>
  <c r="S134" i="49"/>
  <c r="Y15" i="62" l="1"/>
  <c r="Z15" i="62" s="1"/>
  <c r="Y14" i="62"/>
  <c r="Z14" i="62" s="1"/>
  <c r="Y18" i="62"/>
  <c r="Z18" i="62" s="1"/>
  <c r="Y13" i="62"/>
  <c r="Z13" i="62" s="1"/>
  <c r="Y16" i="62"/>
  <c r="Z16" i="62" s="1"/>
  <c r="Y19" i="62"/>
  <c r="Z19" i="62" s="1"/>
  <c r="AB9" i="9"/>
  <c r="AD9" i="9"/>
  <c r="X87" i="48"/>
  <c r="Y87" i="48" s="1"/>
  <c r="W89" i="50" s="1"/>
  <c r="X59" i="44"/>
  <c r="Y59" i="44" s="1"/>
  <c r="O61" i="50" s="1"/>
  <c r="X45" i="33"/>
  <c r="Y45" i="33" s="1"/>
  <c r="AA47" i="50" s="1"/>
  <c r="S4" i="42"/>
  <c r="X62" i="42" s="1"/>
  <c r="Y62" i="42" s="1"/>
  <c r="K64" i="50" s="1"/>
  <c r="S10" i="9"/>
  <c r="T10" i="9" s="1"/>
  <c r="Z10" i="9" s="1"/>
  <c r="R16" i="43"/>
  <c r="S16" i="43" s="1"/>
  <c r="R25" i="43"/>
  <c r="S25" i="43" s="1"/>
  <c r="R33" i="43"/>
  <c r="S33" i="43" s="1"/>
  <c r="R43" i="43"/>
  <c r="S43" i="43" s="1"/>
  <c r="R52" i="43"/>
  <c r="S52" i="43" s="1"/>
  <c r="R22" i="43"/>
  <c r="S22" i="43" s="1"/>
  <c r="R30" i="43"/>
  <c r="S30" i="43" s="1"/>
  <c r="R39" i="43"/>
  <c r="S39" i="43" s="1"/>
  <c r="R18" i="43"/>
  <c r="S18" i="43" s="1"/>
  <c r="R27" i="43"/>
  <c r="S27" i="43" s="1"/>
  <c r="R35" i="43"/>
  <c r="S35" i="43" s="1"/>
  <c r="R15" i="43"/>
  <c r="S15" i="43" s="1"/>
  <c r="R24" i="43"/>
  <c r="S24" i="43" s="1"/>
  <c r="R32" i="43"/>
  <c r="S32" i="43" s="1"/>
  <c r="R42" i="43"/>
  <c r="S42" i="43" s="1"/>
  <c r="R50" i="43"/>
  <c r="S50" i="43" s="1"/>
  <c r="R59" i="43"/>
  <c r="S59" i="43" s="1"/>
  <c r="R69" i="43"/>
  <c r="S69" i="43" s="1"/>
  <c r="R20" i="43"/>
  <c r="S20" i="43" s="1"/>
  <c r="R29" i="43"/>
  <c r="S29" i="43" s="1"/>
  <c r="R38" i="43"/>
  <c r="S38" i="43" s="1"/>
  <c r="R47" i="43"/>
  <c r="S47" i="43" s="1"/>
  <c r="R17" i="43"/>
  <c r="S17" i="43" s="1"/>
  <c r="R26" i="43"/>
  <c r="S26" i="43" s="1"/>
  <c r="R34" i="43"/>
  <c r="S34" i="43" s="1"/>
  <c r="R14" i="43"/>
  <c r="S14" i="43" s="1"/>
  <c r="R23" i="43"/>
  <c r="S23" i="43" s="1"/>
  <c r="R31" i="43"/>
  <c r="S31" i="43" s="1"/>
  <c r="R40" i="43"/>
  <c r="S40" i="43" s="1"/>
  <c r="R19" i="43"/>
  <c r="S19" i="43" s="1"/>
  <c r="R28" i="43"/>
  <c r="S28" i="43" s="1"/>
  <c r="R37" i="43"/>
  <c r="S37" i="43" s="1"/>
  <c r="R46" i="43"/>
  <c r="S46" i="43" s="1"/>
  <c r="R55" i="43"/>
  <c r="S55" i="43" s="1"/>
  <c r="R64" i="43"/>
  <c r="S64" i="43" s="1"/>
  <c r="R48" i="43"/>
  <c r="S48" i="43" s="1"/>
  <c r="R49" i="43"/>
  <c r="S49" i="43" s="1"/>
  <c r="R58" i="43"/>
  <c r="S58" i="43" s="1"/>
  <c r="R74" i="43"/>
  <c r="S74" i="43" s="1"/>
  <c r="R82" i="43"/>
  <c r="S82" i="43" s="1"/>
  <c r="R91" i="43"/>
  <c r="S91" i="43" s="1"/>
  <c r="R99" i="43"/>
  <c r="S99" i="43" s="1"/>
  <c r="R107" i="43"/>
  <c r="S107" i="43" s="1"/>
  <c r="R115" i="43"/>
  <c r="S115" i="43" s="1"/>
  <c r="R63" i="43"/>
  <c r="S63" i="43" s="1"/>
  <c r="R71" i="43"/>
  <c r="S71" i="43" s="1"/>
  <c r="R79" i="43"/>
  <c r="S79" i="43" s="1"/>
  <c r="R87" i="43"/>
  <c r="S87" i="43" s="1"/>
  <c r="R96" i="43"/>
  <c r="S96" i="43" s="1"/>
  <c r="R104" i="43"/>
  <c r="S104" i="43" s="1"/>
  <c r="R44" i="43"/>
  <c r="S44" i="43" s="1"/>
  <c r="R45" i="43"/>
  <c r="S45" i="43" s="1"/>
  <c r="R68" i="43"/>
  <c r="S68" i="43" s="1"/>
  <c r="R76" i="43"/>
  <c r="S76" i="43" s="1"/>
  <c r="R84" i="43"/>
  <c r="S84" i="43" s="1"/>
  <c r="R93" i="43"/>
  <c r="S93" i="43" s="1"/>
  <c r="R101" i="43"/>
  <c r="S101" i="43" s="1"/>
  <c r="R109" i="43"/>
  <c r="S109" i="43" s="1"/>
  <c r="R56" i="43"/>
  <c r="S56" i="43" s="1"/>
  <c r="R73" i="43"/>
  <c r="S73" i="43" s="1"/>
  <c r="R81" i="43"/>
  <c r="S81" i="43" s="1"/>
  <c r="R90" i="43"/>
  <c r="S90" i="43" s="1"/>
  <c r="R98" i="43"/>
  <c r="S98" i="43" s="1"/>
  <c r="R106" i="43"/>
  <c r="S106" i="43" s="1"/>
  <c r="R114" i="43"/>
  <c r="S114" i="43" s="1"/>
  <c r="R122" i="43"/>
  <c r="S122" i="43" s="1"/>
  <c r="R131" i="43"/>
  <c r="S131" i="43" s="1"/>
  <c r="R60" i="43"/>
  <c r="S60" i="43" s="1"/>
  <c r="R78" i="43"/>
  <c r="S78" i="43" s="1"/>
  <c r="R86" i="43"/>
  <c r="S86" i="43" s="1"/>
  <c r="R95" i="43"/>
  <c r="S95" i="43" s="1"/>
  <c r="R103" i="43"/>
  <c r="S103" i="43" s="1"/>
  <c r="R111" i="43"/>
  <c r="S111" i="43" s="1"/>
  <c r="R57" i="43"/>
  <c r="S57" i="43" s="1"/>
  <c r="R65" i="43"/>
  <c r="S65" i="43" s="1"/>
  <c r="R75" i="43"/>
  <c r="S75" i="43" s="1"/>
  <c r="R83" i="43"/>
  <c r="S83" i="43" s="1"/>
  <c r="R92" i="43"/>
  <c r="S92" i="43" s="1"/>
  <c r="R100" i="43"/>
  <c r="S100" i="43" s="1"/>
  <c r="R53" i="43"/>
  <c r="S53" i="43" s="1"/>
  <c r="R62" i="43"/>
  <c r="S62" i="43" s="1"/>
  <c r="R70" i="43"/>
  <c r="S70" i="43" s="1"/>
  <c r="R72" i="43"/>
  <c r="S72" i="43" s="1"/>
  <c r="R80" i="43"/>
  <c r="S80" i="43" s="1"/>
  <c r="R89" i="43"/>
  <c r="S89" i="43" s="1"/>
  <c r="R97" i="43"/>
  <c r="S97" i="43" s="1"/>
  <c r="R105" i="43"/>
  <c r="S105" i="43" s="1"/>
  <c r="R54" i="43"/>
  <c r="S54" i="43" s="1"/>
  <c r="R66" i="43"/>
  <c r="S66" i="43" s="1"/>
  <c r="R77" i="43"/>
  <c r="S77" i="43" s="1"/>
  <c r="R85" i="43"/>
  <c r="S85" i="43" s="1"/>
  <c r="R94" i="43"/>
  <c r="S94" i="43" s="1"/>
  <c r="R102" i="43"/>
  <c r="S102" i="43" s="1"/>
  <c r="R110" i="43"/>
  <c r="S110" i="43" s="1"/>
  <c r="R118" i="43"/>
  <c r="S118" i="43" s="1"/>
  <c r="R126" i="43"/>
  <c r="S126" i="43" s="1"/>
  <c r="R135" i="43"/>
  <c r="S135" i="43" s="1"/>
  <c r="R120" i="43"/>
  <c r="S120" i="43" s="1"/>
  <c r="R128" i="43"/>
  <c r="S128" i="43" s="1"/>
  <c r="R108" i="43"/>
  <c r="S108" i="43" s="1"/>
  <c r="R124" i="43"/>
  <c r="S124" i="43" s="1"/>
  <c r="R132" i="43"/>
  <c r="S132" i="43" s="1"/>
  <c r="R129" i="43"/>
  <c r="S129" i="43" s="1"/>
  <c r="R136" i="43"/>
  <c r="S136" i="43" s="1"/>
  <c r="R116" i="43"/>
  <c r="S116" i="43" s="1"/>
  <c r="R117" i="43"/>
  <c r="S117" i="43" s="1"/>
  <c r="R121" i="43"/>
  <c r="S121" i="43" s="1"/>
  <c r="R133" i="43"/>
  <c r="S133" i="43" s="1"/>
  <c r="R125" i="43"/>
  <c r="S125" i="43" s="1"/>
  <c r="R137" i="43"/>
  <c r="S137" i="43" s="1"/>
  <c r="R112" i="43"/>
  <c r="S112" i="43" s="1"/>
  <c r="R113" i="43"/>
  <c r="S113" i="43" s="1"/>
  <c r="R130" i="43"/>
  <c r="S130" i="43" s="1"/>
  <c r="R119" i="43"/>
  <c r="S119" i="43" s="1"/>
  <c r="R134" i="43"/>
  <c r="S134" i="43" s="1"/>
  <c r="R123" i="43"/>
  <c r="S123" i="43" s="1"/>
  <c r="R12" i="43"/>
  <c r="S12" i="43" s="1"/>
  <c r="R20" i="47"/>
  <c r="S20" i="47" s="1"/>
  <c r="R29" i="47"/>
  <c r="S29" i="47" s="1"/>
  <c r="R38" i="47"/>
  <c r="S38" i="47" s="1"/>
  <c r="R47" i="47"/>
  <c r="S47" i="47" s="1"/>
  <c r="R56" i="47"/>
  <c r="S56" i="47" s="1"/>
  <c r="R65" i="47"/>
  <c r="S65" i="47" s="1"/>
  <c r="R17" i="47"/>
  <c r="S17" i="47" s="1"/>
  <c r="R26" i="47"/>
  <c r="S26" i="47" s="1"/>
  <c r="R34" i="47"/>
  <c r="S34" i="47" s="1"/>
  <c r="R44" i="47"/>
  <c r="S44" i="47" s="1"/>
  <c r="R53" i="47"/>
  <c r="S53" i="47" s="1"/>
  <c r="R62" i="47"/>
  <c r="S62" i="47" s="1"/>
  <c r="R71" i="47"/>
  <c r="S71" i="47" s="1"/>
  <c r="R79" i="47"/>
  <c r="S79" i="47" s="1"/>
  <c r="R14" i="47"/>
  <c r="S14" i="47" s="1"/>
  <c r="R23" i="47"/>
  <c r="S23" i="47" s="1"/>
  <c r="R31" i="47"/>
  <c r="S31" i="47" s="1"/>
  <c r="R40" i="47"/>
  <c r="S40" i="47" s="1"/>
  <c r="R49" i="47"/>
  <c r="S49" i="47" s="1"/>
  <c r="R58" i="47"/>
  <c r="S58" i="47" s="1"/>
  <c r="R68" i="47"/>
  <c r="S68" i="47" s="1"/>
  <c r="R76" i="47"/>
  <c r="S76" i="47" s="1"/>
  <c r="R19" i="47"/>
  <c r="S19" i="47" s="1"/>
  <c r="R28" i="47"/>
  <c r="S28" i="47" s="1"/>
  <c r="R37" i="47"/>
  <c r="S37" i="47" s="1"/>
  <c r="R46" i="47"/>
  <c r="S46" i="47" s="1"/>
  <c r="R55" i="47"/>
  <c r="S55" i="47" s="1"/>
  <c r="R64" i="47"/>
  <c r="S64" i="47" s="1"/>
  <c r="R73" i="47"/>
  <c r="S73" i="47" s="1"/>
  <c r="R16" i="47"/>
  <c r="S16" i="47" s="1"/>
  <c r="R25" i="47"/>
  <c r="S25" i="47" s="1"/>
  <c r="R33" i="47"/>
  <c r="S33" i="47" s="1"/>
  <c r="R43" i="47"/>
  <c r="S43" i="47" s="1"/>
  <c r="R52" i="47"/>
  <c r="S52" i="47" s="1"/>
  <c r="R60" i="47"/>
  <c r="S60" i="47" s="1"/>
  <c r="R70" i="47"/>
  <c r="S70" i="47" s="1"/>
  <c r="R78" i="47"/>
  <c r="S78" i="47" s="1"/>
  <c r="R22" i="47"/>
  <c r="S22" i="47" s="1"/>
  <c r="R30" i="47"/>
  <c r="S30" i="47" s="1"/>
  <c r="R39" i="47"/>
  <c r="S39" i="47" s="1"/>
  <c r="R48" i="47"/>
  <c r="S48" i="47" s="1"/>
  <c r="R57" i="47"/>
  <c r="S57" i="47" s="1"/>
  <c r="R66" i="47"/>
  <c r="S66" i="47" s="1"/>
  <c r="R75" i="47"/>
  <c r="S75" i="47" s="1"/>
  <c r="R18" i="47"/>
  <c r="S18" i="47" s="1"/>
  <c r="R27" i="47"/>
  <c r="S27" i="47" s="1"/>
  <c r="R35" i="47"/>
  <c r="S35" i="47" s="1"/>
  <c r="R45" i="47"/>
  <c r="S45" i="47" s="1"/>
  <c r="R54" i="47"/>
  <c r="S54" i="47" s="1"/>
  <c r="R63" i="47"/>
  <c r="S63" i="47" s="1"/>
  <c r="R72" i="47"/>
  <c r="S72" i="47" s="1"/>
  <c r="R80" i="47"/>
  <c r="S80" i="47" s="1"/>
  <c r="R15" i="47"/>
  <c r="S15" i="47" s="1"/>
  <c r="R24" i="47"/>
  <c r="S24" i="47" s="1"/>
  <c r="R32" i="47"/>
  <c r="S32" i="47" s="1"/>
  <c r="R42" i="47"/>
  <c r="S42" i="47" s="1"/>
  <c r="R50" i="47"/>
  <c r="S50" i="47" s="1"/>
  <c r="R59" i="47"/>
  <c r="S59" i="47" s="1"/>
  <c r="R69" i="47"/>
  <c r="S69" i="47" s="1"/>
  <c r="R74" i="47"/>
  <c r="S74" i="47" s="1"/>
  <c r="R83" i="47"/>
  <c r="S83" i="47" s="1"/>
  <c r="R92" i="47"/>
  <c r="S92" i="47" s="1"/>
  <c r="R100" i="47"/>
  <c r="S100" i="47" s="1"/>
  <c r="R108" i="47"/>
  <c r="S108" i="47" s="1"/>
  <c r="R116" i="47"/>
  <c r="S116" i="47" s="1"/>
  <c r="R124" i="47"/>
  <c r="S124" i="47" s="1"/>
  <c r="R133" i="47"/>
  <c r="S133" i="47" s="1"/>
  <c r="R89" i="47"/>
  <c r="S89" i="47" s="1"/>
  <c r="R97" i="47"/>
  <c r="S97" i="47" s="1"/>
  <c r="R105" i="47"/>
  <c r="S105" i="47" s="1"/>
  <c r="R113" i="47"/>
  <c r="S113" i="47" s="1"/>
  <c r="R121" i="47"/>
  <c r="S121" i="47" s="1"/>
  <c r="R130" i="47"/>
  <c r="S130" i="47" s="1"/>
  <c r="R85" i="47"/>
  <c r="S85" i="47" s="1"/>
  <c r="R94" i="47"/>
  <c r="S94" i="47" s="1"/>
  <c r="R102" i="47"/>
  <c r="S102" i="47" s="1"/>
  <c r="R110" i="47"/>
  <c r="S110" i="47" s="1"/>
  <c r="R118" i="47"/>
  <c r="S118" i="47" s="1"/>
  <c r="R126" i="47"/>
  <c r="S126" i="47" s="1"/>
  <c r="R135" i="47"/>
  <c r="S135" i="47" s="1"/>
  <c r="R82" i="47"/>
  <c r="S82" i="47" s="1"/>
  <c r="R91" i="47"/>
  <c r="S91" i="47" s="1"/>
  <c r="R99" i="47"/>
  <c r="S99" i="47" s="1"/>
  <c r="R107" i="47"/>
  <c r="S107" i="47" s="1"/>
  <c r="R115" i="47"/>
  <c r="S115" i="47" s="1"/>
  <c r="R123" i="47"/>
  <c r="S123" i="47" s="1"/>
  <c r="R132" i="47"/>
  <c r="S132" i="47" s="1"/>
  <c r="R87" i="47"/>
  <c r="S87" i="47" s="1"/>
  <c r="R96" i="47"/>
  <c r="S96" i="47" s="1"/>
  <c r="R104" i="47"/>
  <c r="S104" i="47" s="1"/>
  <c r="R112" i="47"/>
  <c r="S112" i="47" s="1"/>
  <c r="R120" i="47"/>
  <c r="S120" i="47" s="1"/>
  <c r="R129" i="47"/>
  <c r="S129" i="47" s="1"/>
  <c r="R137" i="47"/>
  <c r="S137" i="47" s="1"/>
  <c r="R84" i="47"/>
  <c r="S84" i="47" s="1"/>
  <c r="R93" i="47"/>
  <c r="S93" i="47" s="1"/>
  <c r="R101" i="47"/>
  <c r="S101" i="47" s="1"/>
  <c r="R109" i="47"/>
  <c r="S109" i="47" s="1"/>
  <c r="R117" i="47"/>
  <c r="S117" i="47" s="1"/>
  <c r="R125" i="47"/>
  <c r="S125" i="47" s="1"/>
  <c r="R134" i="47"/>
  <c r="S134" i="47" s="1"/>
  <c r="R77" i="47"/>
  <c r="S77" i="47" s="1"/>
  <c r="R81" i="47"/>
  <c r="S81" i="47" s="1"/>
  <c r="R90" i="47"/>
  <c r="S90" i="47" s="1"/>
  <c r="R98" i="47"/>
  <c r="S98" i="47" s="1"/>
  <c r="R106" i="47"/>
  <c r="S106" i="47" s="1"/>
  <c r="R114" i="47"/>
  <c r="S114" i="47" s="1"/>
  <c r="R122" i="47"/>
  <c r="S122" i="47" s="1"/>
  <c r="R131" i="47"/>
  <c r="S131" i="47" s="1"/>
  <c r="R86" i="47"/>
  <c r="S86" i="47" s="1"/>
  <c r="R95" i="47"/>
  <c r="S95" i="47" s="1"/>
  <c r="R103" i="47"/>
  <c r="S103" i="47" s="1"/>
  <c r="R111" i="47"/>
  <c r="S111" i="47" s="1"/>
  <c r="R119" i="47"/>
  <c r="S119" i="47" s="1"/>
  <c r="R128" i="47"/>
  <c r="S128" i="47" s="1"/>
  <c r="R136" i="47"/>
  <c r="S136" i="47" s="1"/>
  <c r="R12" i="47"/>
  <c r="S12" i="47" s="1"/>
  <c r="R15" i="33"/>
  <c r="S15" i="33" s="1"/>
  <c r="R18" i="33"/>
  <c r="S18" i="33" s="1"/>
  <c r="R27" i="33"/>
  <c r="S27" i="33" s="1"/>
  <c r="R35" i="33"/>
  <c r="S35" i="33" s="1"/>
  <c r="R45" i="33"/>
  <c r="S45" i="33" s="1"/>
  <c r="R24" i="33"/>
  <c r="S24" i="33" s="1"/>
  <c r="R32" i="33"/>
  <c r="S32" i="33" s="1"/>
  <c r="R20" i="33"/>
  <c r="S20" i="33" s="1"/>
  <c r="R29" i="33"/>
  <c r="S29" i="33" s="1"/>
  <c r="R38" i="33"/>
  <c r="S38" i="33" s="1"/>
  <c r="R47" i="33"/>
  <c r="S47" i="33" s="1"/>
  <c r="R56" i="33"/>
  <c r="S56" i="33" s="1"/>
  <c r="R16" i="33"/>
  <c r="S16" i="33" s="1"/>
  <c r="R26" i="33"/>
  <c r="S26" i="33" s="1"/>
  <c r="R34" i="33"/>
  <c r="S34" i="33" s="1"/>
  <c r="R44" i="33"/>
  <c r="S44" i="33" s="1"/>
  <c r="R53" i="33"/>
  <c r="S53" i="33" s="1"/>
  <c r="R23" i="33"/>
  <c r="S23" i="33" s="1"/>
  <c r="R31" i="33"/>
  <c r="S31" i="33" s="1"/>
  <c r="R40" i="33"/>
  <c r="S40" i="33" s="1"/>
  <c r="R49" i="33"/>
  <c r="S49" i="33" s="1"/>
  <c r="R58" i="33"/>
  <c r="S58" i="33" s="1"/>
  <c r="R17" i="33"/>
  <c r="S17" i="33" s="1"/>
  <c r="R19" i="33"/>
  <c r="S19" i="33" s="1"/>
  <c r="R28" i="33"/>
  <c r="S28" i="33" s="1"/>
  <c r="R37" i="33"/>
  <c r="S37" i="33" s="1"/>
  <c r="R46" i="33"/>
  <c r="S46" i="33" s="1"/>
  <c r="R25" i="33"/>
  <c r="S25" i="33" s="1"/>
  <c r="R33" i="33"/>
  <c r="S33" i="33" s="1"/>
  <c r="R14" i="33"/>
  <c r="S14" i="33" s="1"/>
  <c r="R22" i="33"/>
  <c r="S22" i="33" s="1"/>
  <c r="R30" i="33"/>
  <c r="S30" i="33" s="1"/>
  <c r="R39" i="33"/>
  <c r="S39" i="33" s="1"/>
  <c r="R48" i="33"/>
  <c r="S48" i="33" s="1"/>
  <c r="R57" i="33"/>
  <c r="S57" i="33" s="1"/>
  <c r="R54" i="33"/>
  <c r="S54" i="33" s="1"/>
  <c r="R66" i="33"/>
  <c r="S66" i="33" s="1"/>
  <c r="R75" i="33"/>
  <c r="S75" i="33" s="1"/>
  <c r="R83" i="33"/>
  <c r="S83" i="33" s="1"/>
  <c r="R92" i="33"/>
  <c r="S92" i="33" s="1"/>
  <c r="R100" i="33"/>
  <c r="S100" i="33" s="1"/>
  <c r="R108" i="33"/>
  <c r="S108" i="33" s="1"/>
  <c r="R116" i="33"/>
  <c r="S116" i="33" s="1"/>
  <c r="R124" i="33"/>
  <c r="S124" i="33" s="1"/>
  <c r="R52" i="33"/>
  <c r="S52" i="33" s="1"/>
  <c r="R63" i="33"/>
  <c r="S63" i="33" s="1"/>
  <c r="R72" i="33"/>
  <c r="S72" i="33" s="1"/>
  <c r="R80" i="33"/>
  <c r="S80" i="33" s="1"/>
  <c r="R89" i="33"/>
  <c r="S89" i="33" s="1"/>
  <c r="R97" i="33"/>
  <c r="S97" i="33" s="1"/>
  <c r="R105" i="33"/>
  <c r="S105" i="33" s="1"/>
  <c r="R113" i="33"/>
  <c r="S113" i="33" s="1"/>
  <c r="R59" i="33"/>
  <c r="S59" i="33" s="1"/>
  <c r="R69" i="33"/>
  <c r="S69" i="33" s="1"/>
  <c r="R77" i="33"/>
  <c r="S77" i="33" s="1"/>
  <c r="R85" i="33"/>
  <c r="S85" i="33" s="1"/>
  <c r="R94" i="33"/>
  <c r="S94" i="33" s="1"/>
  <c r="R102" i="33"/>
  <c r="S102" i="33" s="1"/>
  <c r="R110" i="33"/>
  <c r="S110" i="33" s="1"/>
  <c r="R118" i="33"/>
  <c r="S118" i="33" s="1"/>
  <c r="R43" i="33"/>
  <c r="S43" i="33" s="1"/>
  <c r="R65" i="33"/>
  <c r="S65" i="33" s="1"/>
  <c r="R74" i="33"/>
  <c r="S74" i="33" s="1"/>
  <c r="R82" i="33"/>
  <c r="S82" i="33" s="1"/>
  <c r="R91" i="33"/>
  <c r="S91" i="33" s="1"/>
  <c r="R99" i="33"/>
  <c r="S99" i="33" s="1"/>
  <c r="R107" i="33"/>
  <c r="S107" i="33" s="1"/>
  <c r="R115" i="33"/>
  <c r="S115" i="33" s="1"/>
  <c r="R123" i="33"/>
  <c r="S123" i="33" s="1"/>
  <c r="R132" i="33"/>
  <c r="S132" i="33" s="1"/>
  <c r="R50" i="33"/>
  <c r="S50" i="33" s="1"/>
  <c r="R62" i="33"/>
  <c r="S62" i="33" s="1"/>
  <c r="R71" i="33"/>
  <c r="S71" i="33" s="1"/>
  <c r="R79" i="33"/>
  <c r="S79" i="33" s="1"/>
  <c r="R87" i="33"/>
  <c r="S87" i="33" s="1"/>
  <c r="R96" i="33"/>
  <c r="S96" i="33" s="1"/>
  <c r="R104" i="33"/>
  <c r="S104" i="33" s="1"/>
  <c r="R112" i="33"/>
  <c r="S112" i="33" s="1"/>
  <c r="R120" i="33"/>
  <c r="S120" i="33" s="1"/>
  <c r="R129" i="33"/>
  <c r="S129" i="33" s="1"/>
  <c r="R68" i="33"/>
  <c r="S68" i="33" s="1"/>
  <c r="R76" i="33"/>
  <c r="S76" i="33" s="1"/>
  <c r="R84" i="33"/>
  <c r="S84" i="33" s="1"/>
  <c r="R93" i="33"/>
  <c r="S93" i="33" s="1"/>
  <c r="R101" i="33"/>
  <c r="S101" i="33" s="1"/>
  <c r="R109" i="33"/>
  <c r="S109" i="33" s="1"/>
  <c r="R117" i="33"/>
  <c r="S117" i="33" s="1"/>
  <c r="R42" i="33"/>
  <c r="S42" i="33" s="1"/>
  <c r="R55" i="33"/>
  <c r="S55" i="33" s="1"/>
  <c r="R64" i="33"/>
  <c r="S64" i="33" s="1"/>
  <c r="R73" i="33"/>
  <c r="S73" i="33" s="1"/>
  <c r="R81" i="33"/>
  <c r="S81" i="33" s="1"/>
  <c r="R90" i="33"/>
  <c r="S90" i="33" s="1"/>
  <c r="R98" i="33"/>
  <c r="S98" i="33" s="1"/>
  <c r="R106" i="33"/>
  <c r="S106" i="33" s="1"/>
  <c r="R114" i="33"/>
  <c r="S114" i="33" s="1"/>
  <c r="R60" i="33"/>
  <c r="S60" i="33" s="1"/>
  <c r="R70" i="33"/>
  <c r="S70" i="33" s="1"/>
  <c r="R78" i="33"/>
  <c r="S78" i="33" s="1"/>
  <c r="R86" i="33"/>
  <c r="S86" i="33" s="1"/>
  <c r="R95" i="33"/>
  <c r="S95" i="33" s="1"/>
  <c r="R103" i="33"/>
  <c r="S103" i="33" s="1"/>
  <c r="R111" i="33"/>
  <c r="S111" i="33" s="1"/>
  <c r="R119" i="33"/>
  <c r="S119" i="33" s="1"/>
  <c r="R128" i="33"/>
  <c r="S128" i="33" s="1"/>
  <c r="R136" i="33"/>
  <c r="S136" i="33" s="1"/>
  <c r="R125" i="33"/>
  <c r="S125" i="33" s="1"/>
  <c r="R126" i="33"/>
  <c r="S126" i="33" s="1"/>
  <c r="R134" i="33"/>
  <c r="S134" i="33" s="1"/>
  <c r="R12" i="33"/>
  <c r="S12" i="33" s="1"/>
  <c r="R121" i="33"/>
  <c r="S121" i="33" s="1"/>
  <c r="R122" i="33"/>
  <c r="S122" i="33" s="1"/>
  <c r="R131" i="33"/>
  <c r="S131" i="33" s="1"/>
  <c r="R135" i="33"/>
  <c r="S135" i="33" s="1"/>
  <c r="R133" i="33"/>
  <c r="S133" i="33" s="1"/>
  <c r="R130" i="33"/>
  <c r="S130" i="33" s="1"/>
  <c r="R137" i="33"/>
  <c r="S137" i="33" s="1"/>
  <c r="R20" i="45"/>
  <c r="S20" i="45" s="1"/>
  <c r="R29" i="45"/>
  <c r="S29" i="45" s="1"/>
  <c r="R38" i="45"/>
  <c r="S38" i="45" s="1"/>
  <c r="R47" i="45"/>
  <c r="S47" i="45" s="1"/>
  <c r="R56" i="45"/>
  <c r="S56" i="45" s="1"/>
  <c r="R26" i="45"/>
  <c r="S26" i="45" s="1"/>
  <c r="R34" i="45"/>
  <c r="S34" i="45" s="1"/>
  <c r="R44" i="45"/>
  <c r="S44" i="45" s="1"/>
  <c r="R53" i="45"/>
  <c r="S53" i="45" s="1"/>
  <c r="R15" i="45"/>
  <c r="S15" i="45" s="1"/>
  <c r="R16" i="45"/>
  <c r="S16" i="45" s="1"/>
  <c r="R23" i="45"/>
  <c r="S23" i="45" s="1"/>
  <c r="R31" i="45"/>
  <c r="S31" i="45" s="1"/>
  <c r="R40" i="45"/>
  <c r="S40" i="45" s="1"/>
  <c r="R49" i="45"/>
  <c r="S49" i="45" s="1"/>
  <c r="R58" i="45"/>
  <c r="S58" i="45" s="1"/>
  <c r="R68" i="45"/>
  <c r="S68" i="45" s="1"/>
  <c r="R76" i="45"/>
  <c r="S76" i="45" s="1"/>
  <c r="R19" i="45"/>
  <c r="S19" i="45" s="1"/>
  <c r="R28" i="45"/>
  <c r="S28" i="45" s="1"/>
  <c r="R37" i="45"/>
  <c r="S37" i="45" s="1"/>
  <c r="R46" i="45"/>
  <c r="S46" i="45" s="1"/>
  <c r="R55" i="45"/>
  <c r="S55" i="45" s="1"/>
  <c r="R64" i="45"/>
  <c r="S64" i="45" s="1"/>
  <c r="R73" i="45"/>
  <c r="S73" i="45" s="1"/>
  <c r="R17" i="45"/>
  <c r="S17" i="45" s="1"/>
  <c r="R25" i="45"/>
  <c r="S25" i="45" s="1"/>
  <c r="R33" i="45"/>
  <c r="S33" i="45" s="1"/>
  <c r="R43" i="45"/>
  <c r="S43" i="45" s="1"/>
  <c r="R52" i="45"/>
  <c r="S52" i="45" s="1"/>
  <c r="R60" i="45"/>
  <c r="S60" i="45" s="1"/>
  <c r="R14" i="45"/>
  <c r="S14" i="45" s="1"/>
  <c r="R22" i="45"/>
  <c r="S22" i="45" s="1"/>
  <c r="R30" i="45"/>
  <c r="S30" i="45" s="1"/>
  <c r="R39" i="45"/>
  <c r="S39" i="45" s="1"/>
  <c r="R48" i="45"/>
  <c r="S48" i="45" s="1"/>
  <c r="R18" i="45"/>
  <c r="S18" i="45" s="1"/>
  <c r="R27" i="45"/>
  <c r="S27" i="45" s="1"/>
  <c r="R35" i="45"/>
  <c r="S35" i="45" s="1"/>
  <c r="R45" i="45"/>
  <c r="S45" i="45" s="1"/>
  <c r="R54" i="45"/>
  <c r="S54" i="45" s="1"/>
  <c r="R63" i="45"/>
  <c r="S63" i="45" s="1"/>
  <c r="R72" i="45"/>
  <c r="S72" i="45" s="1"/>
  <c r="R80" i="45"/>
  <c r="S80" i="45" s="1"/>
  <c r="R24" i="45"/>
  <c r="S24" i="45" s="1"/>
  <c r="R32" i="45"/>
  <c r="S32" i="45" s="1"/>
  <c r="R42" i="45"/>
  <c r="S42" i="45" s="1"/>
  <c r="R50" i="45"/>
  <c r="S50" i="45" s="1"/>
  <c r="R59" i="45"/>
  <c r="S59" i="45" s="1"/>
  <c r="R69" i="45"/>
  <c r="S69" i="45" s="1"/>
  <c r="R77" i="45"/>
  <c r="S77" i="45" s="1"/>
  <c r="R74" i="45"/>
  <c r="S74" i="45" s="1"/>
  <c r="R75" i="45"/>
  <c r="S75" i="45" s="1"/>
  <c r="R83" i="45"/>
  <c r="S83" i="45" s="1"/>
  <c r="R92" i="45"/>
  <c r="S92" i="45" s="1"/>
  <c r="R100" i="45"/>
  <c r="S100" i="45" s="1"/>
  <c r="R108" i="45"/>
  <c r="S108" i="45" s="1"/>
  <c r="R116" i="45"/>
  <c r="S116" i="45" s="1"/>
  <c r="R124" i="45"/>
  <c r="S124" i="45" s="1"/>
  <c r="R89" i="45"/>
  <c r="S89" i="45" s="1"/>
  <c r="R97" i="45"/>
  <c r="S97" i="45" s="1"/>
  <c r="R105" i="45"/>
  <c r="S105" i="45" s="1"/>
  <c r="R113" i="45"/>
  <c r="S113" i="45" s="1"/>
  <c r="R62" i="45"/>
  <c r="S62" i="45" s="1"/>
  <c r="R70" i="45"/>
  <c r="S70" i="45" s="1"/>
  <c r="R71" i="45"/>
  <c r="S71" i="45" s="1"/>
  <c r="R85" i="45"/>
  <c r="S85" i="45" s="1"/>
  <c r="R94" i="45"/>
  <c r="S94" i="45" s="1"/>
  <c r="R102" i="45"/>
  <c r="S102" i="45" s="1"/>
  <c r="R110" i="45"/>
  <c r="S110" i="45" s="1"/>
  <c r="R118" i="45"/>
  <c r="S118" i="45" s="1"/>
  <c r="R126" i="45"/>
  <c r="S126" i="45" s="1"/>
  <c r="R81" i="45"/>
  <c r="S81" i="45" s="1"/>
  <c r="R91" i="45"/>
  <c r="S91" i="45" s="1"/>
  <c r="R99" i="45"/>
  <c r="S99" i="45" s="1"/>
  <c r="R107" i="45"/>
  <c r="S107" i="45" s="1"/>
  <c r="R115" i="45"/>
  <c r="S115" i="45" s="1"/>
  <c r="R123" i="45"/>
  <c r="S123" i="45" s="1"/>
  <c r="R132" i="45"/>
  <c r="S132" i="45" s="1"/>
  <c r="R65" i="45"/>
  <c r="S65" i="45" s="1"/>
  <c r="R66" i="45"/>
  <c r="S66" i="45" s="1"/>
  <c r="R82" i="45"/>
  <c r="S82" i="45" s="1"/>
  <c r="R87" i="45"/>
  <c r="S87" i="45" s="1"/>
  <c r="R96" i="45"/>
  <c r="S96" i="45" s="1"/>
  <c r="R104" i="45"/>
  <c r="S104" i="45" s="1"/>
  <c r="R112" i="45"/>
  <c r="S112" i="45" s="1"/>
  <c r="R120" i="45"/>
  <c r="S120" i="45" s="1"/>
  <c r="R84" i="45"/>
  <c r="S84" i="45" s="1"/>
  <c r="R93" i="45"/>
  <c r="S93" i="45" s="1"/>
  <c r="R101" i="45"/>
  <c r="S101" i="45" s="1"/>
  <c r="R109" i="45"/>
  <c r="S109" i="45" s="1"/>
  <c r="R117" i="45"/>
  <c r="S117" i="45" s="1"/>
  <c r="R125" i="45"/>
  <c r="S125" i="45" s="1"/>
  <c r="R134" i="45"/>
  <c r="S134" i="45" s="1"/>
  <c r="R78" i="45"/>
  <c r="S78" i="45" s="1"/>
  <c r="R79" i="45"/>
  <c r="S79" i="45" s="1"/>
  <c r="R90" i="45"/>
  <c r="S90" i="45" s="1"/>
  <c r="R98" i="45"/>
  <c r="S98" i="45" s="1"/>
  <c r="R106" i="45"/>
  <c r="S106" i="45" s="1"/>
  <c r="R114" i="45"/>
  <c r="S114" i="45" s="1"/>
  <c r="R57" i="45"/>
  <c r="S57" i="45" s="1"/>
  <c r="R86" i="45"/>
  <c r="S86" i="45" s="1"/>
  <c r="R95" i="45"/>
  <c r="S95" i="45" s="1"/>
  <c r="R103" i="45"/>
  <c r="S103" i="45" s="1"/>
  <c r="R111" i="45"/>
  <c r="S111" i="45" s="1"/>
  <c r="R119" i="45"/>
  <c r="S119" i="45" s="1"/>
  <c r="R128" i="45"/>
  <c r="S128" i="45" s="1"/>
  <c r="R121" i="45"/>
  <c r="S121" i="45" s="1"/>
  <c r="R133" i="45"/>
  <c r="S133" i="45" s="1"/>
  <c r="R135" i="45"/>
  <c r="S135" i="45" s="1"/>
  <c r="R129" i="45"/>
  <c r="S129" i="45" s="1"/>
  <c r="R137" i="45"/>
  <c r="S137" i="45" s="1"/>
  <c r="R130" i="45"/>
  <c r="S130" i="45" s="1"/>
  <c r="R131" i="45"/>
  <c r="S131" i="45" s="1"/>
  <c r="R136" i="45"/>
  <c r="S136" i="45" s="1"/>
  <c r="R122" i="45"/>
  <c r="S122" i="45" s="1"/>
  <c r="R12" i="45"/>
  <c r="S12" i="45" s="1"/>
  <c r="AG124" i="50" l="1"/>
  <c r="AG98" i="50"/>
  <c r="AA10" i="63" s="1"/>
  <c r="AG76" i="50"/>
  <c r="AG30" i="50"/>
  <c r="Y130" i="50"/>
  <c r="Y73" i="50"/>
  <c r="Y102" i="50"/>
  <c r="Y31" i="50"/>
  <c r="AK139" i="50"/>
  <c r="AK94" i="50"/>
  <c r="AK18" i="50"/>
  <c r="AC136" i="50"/>
  <c r="AC67" i="50"/>
  <c r="AC25" i="50"/>
  <c r="M10" i="56" s="1"/>
  <c r="M9" i="63" s="1"/>
  <c r="AG111" i="50"/>
  <c r="AG126" i="50"/>
  <c r="AG27" i="50"/>
  <c r="Y124" i="50"/>
  <c r="Y44" i="50"/>
  <c r="Y87" i="50"/>
  <c r="Y21" i="50"/>
  <c r="AK136" i="50"/>
  <c r="AK99" i="50"/>
  <c r="AK80" i="50"/>
  <c r="AK73" i="50"/>
  <c r="AC122" i="50"/>
  <c r="AC59" i="50"/>
  <c r="AC101" i="50"/>
  <c r="AC71" i="50"/>
  <c r="T10" i="56" s="1"/>
  <c r="T9" i="63" s="1"/>
  <c r="AG133" i="50"/>
  <c r="AG103" i="50"/>
  <c r="AG73" i="50"/>
  <c r="AG32" i="50"/>
  <c r="AG31" i="50"/>
  <c r="Y119" i="50"/>
  <c r="Y79" i="50"/>
  <c r="Y19" i="50"/>
  <c r="AK109" i="50"/>
  <c r="AK66" i="50"/>
  <c r="AC132" i="50"/>
  <c r="AC113" i="50"/>
  <c r="AC98" i="50"/>
  <c r="AC20" i="50"/>
  <c r="AG95" i="50"/>
  <c r="AG110" i="50"/>
  <c r="AG75" i="50"/>
  <c r="Y14" i="50"/>
  <c r="Y111" i="50"/>
  <c r="Y71" i="50"/>
  <c r="T9" i="56" s="1"/>
  <c r="Y60" i="50"/>
  <c r="AK116" i="50"/>
  <c r="AK101" i="50"/>
  <c r="AK74" i="50"/>
  <c r="AK51" i="50"/>
  <c r="AC138" i="50"/>
  <c r="AC108" i="50"/>
  <c r="AC52" i="50"/>
  <c r="AG105" i="50"/>
  <c r="AG66" i="50"/>
  <c r="Y97" i="50"/>
  <c r="AA9" i="56" s="1"/>
  <c r="Y45" i="50"/>
  <c r="Y68" i="50"/>
  <c r="Y18" i="50"/>
  <c r="Y47" i="50"/>
  <c r="AK121" i="50"/>
  <c r="AK108" i="50"/>
  <c r="AK111" i="50"/>
  <c r="AK106" i="50"/>
  <c r="AK93" i="50"/>
  <c r="AK87" i="50"/>
  <c r="AK126" i="50"/>
  <c r="AK61" i="50"/>
  <c r="AK65" i="50"/>
  <c r="AK59" i="50"/>
  <c r="AK54" i="50"/>
  <c r="AK48" i="50"/>
  <c r="AK42" i="50"/>
  <c r="AK46" i="50"/>
  <c r="AK31" i="50"/>
  <c r="AC114" i="50"/>
  <c r="AC131" i="50"/>
  <c r="AC120" i="50"/>
  <c r="AC107" i="50"/>
  <c r="AC102" i="50"/>
  <c r="AC97" i="50"/>
  <c r="AA10" i="56" s="1"/>
  <c r="AA9" i="63" s="1"/>
  <c r="AC100" i="50"/>
  <c r="AC86" i="50"/>
  <c r="AC81" i="50"/>
  <c r="AC76" i="50"/>
  <c r="AC30" i="50"/>
  <c r="AC19" i="50"/>
  <c r="AC44" i="50"/>
  <c r="AC32" i="50"/>
  <c r="AG123" i="50"/>
  <c r="AG109" i="50"/>
  <c r="AG82" i="50"/>
  <c r="AG25" i="50"/>
  <c r="M10" i="63" s="1"/>
  <c r="Y62" i="50"/>
  <c r="Y93" i="50"/>
  <c r="Y41" i="50"/>
  <c r="Y17" i="50"/>
  <c r="AK125" i="50"/>
  <c r="AK26" i="50"/>
  <c r="AK78" i="50"/>
  <c r="AC123" i="50"/>
  <c r="AC133" i="50"/>
  <c r="AC109" i="50"/>
  <c r="AC35" i="50"/>
  <c r="AG108" i="50"/>
  <c r="AG87" i="50"/>
  <c r="AG74" i="50"/>
  <c r="AG18" i="50"/>
  <c r="Y116" i="50"/>
  <c r="Y84" i="50"/>
  <c r="Y32" i="50"/>
  <c r="Y22" i="50"/>
  <c r="AK131" i="50"/>
  <c r="AK85" i="50"/>
  <c r="AK75" i="50"/>
  <c r="AC121" i="50"/>
  <c r="AC72" i="50"/>
  <c r="AC106" i="50"/>
  <c r="AC29" i="50"/>
  <c r="AG121" i="50"/>
  <c r="AG93" i="50"/>
  <c r="AG71" i="50"/>
  <c r="AG78" i="50"/>
  <c r="Y113" i="50"/>
  <c r="Y52" i="50"/>
  <c r="Y85" i="50"/>
  <c r="Y34" i="50"/>
  <c r="AK124" i="50"/>
  <c r="AK104" i="50"/>
  <c r="AK82" i="50"/>
  <c r="AK60" i="50"/>
  <c r="AC118" i="50"/>
  <c r="AC64" i="50"/>
  <c r="AC93" i="50"/>
  <c r="AC18" i="50"/>
  <c r="AG92" i="50"/>
  <c r="AG72" i="50"/>
  <c r="AG24" i="50"/>
  <c r="AG55" i="50"/>
  <c r="Y100" i="50"/>
  <c r="Y134" i="50"/>
  <c r="Y77" i="50"/>
  <c r="Y26" i="50"/>
  <c r="AK119" i="50"/>
  <c r="AK135" i="50"/>
  <c r="AK57" i="50"/>
  <c r="AC115" i="50"/>
  <c r="AC105" i="50"/>
  <c r="AC39" i="50"/>
  <c r="AG81" i="50"/>
  <c r="AG67" i="50"/>
  <c r="AG102" i="50"/>
  <c r="AG47" i="50"/>
  <c r="AG60" i="50"/>
  <c r="Y136" i="50"/>
  <c r="Y106" i="50"/>
  <c r="Y54" i="50"/>
  <c r="AG131" i="50"/>
  <c r="AG120" i="50"/>
  <c r="AG62" i="50"/>
  <c r="Y132" i="50"/>
  <c r="Y95" i="50"/>
  <c r="Y115" i="50"/>
  <c r="Y42" i="50"/>
  <c r="AK113" i="50"/>
  <c r="AK98" i="50"/>
  <c r="AA11" i="63" s="1"/>
  <c r="AK118" i="50"/>
  <c r="AK50" i="50"/>
  <c r="AK33" i="50"/>
  <c r="AC139" i="50"/>
  <c r="AC94" i="50"/>
  <c r="AC78" i="50"/>
  <c r="AC60" i="50"/>
  <c r="AC21" i="50"/>
  <c r="AC49" i="50"/>
  <c r="AC24" i="50"/>
  <c r="F10" i="56" s="1"/>
  <c r="F9" i="63" s="1"/>
  <c r="AG119" i="50"/>
  <c r="AG91" i="50"/>
  <c r="AG50" i="50"/>
  <c r="AG49" i="50"/>
  <c r="Y57" i="50"/>
  <c r="Y96" i="50"/>
  <c r="Y30" i="50"/>
  <c r="AK88" i="50"/>
  <c r="AK120" i="50"/>
  <c r="AK29" i="50"/>
  <c r="AK81" i="50"/>
  <c r="AC87" i="50"/>
  <c r="AC58" i="50"/>
  <c r="AC66" i="50"/>
  <c r="AC22" i="50"/>
  <c r="AG138" i="50"/>
  <c r="AG89" i="50"/>
  <c r="AG41" i="50"/>
  <c r="AG40" i="50"/>
  <c r="Y131" i="50"/>
  <c r="Y82" i="50"/>
  <c r="AK14" i="50"/>
  <c r="AK117" i="50"/>
  <c r="AK20" i="50"/>
  <c r="AK58" i="50"/>
  <c r="AC79" i="50"/>
  <c r="AC111" i="50"/>
  <c r="AC16" i="50"/>
  <c r="AG84" i="50"/>
  <c r="AG65" i="50"/>
  <c r="AG17" i="50"/>
  <c r="Y108" i="50"/>
  <c r="Y76" i="50"/>
  <c r="Y24" i="50"/>
  <c r="AK138" i="50"/>
  <c r="AK127" i="50"/>
  <c r="AK91" i="50"/>
  <c r="AK77" i="50"/>
  <c r="AK49" i="50"/>
  <c r="AC68" i="50"/>
  <c r="AC103" i="50"/>
  <c r="AC36" i="50"/>
  <c r="AG113" i="50"/>
  <c r="AG83" i="50"/>
  <c r="AG56" i="50"/>
  <c r="AG70" i="50"/>
  <c r="Y105" i="50"/>
  <c r="Y67" i="50"/>
  <c r="Y16" i="50"/>
  <c r="AK130" i="50"/>
  <c r="AK96" i="50"/>
  <c r="AK68" i="50"/>
  <c r="AK40" i="50"/>
  <c r="AC128" i="50"/>
  <c r="AC55" i="50"/>
  <c r="AC89" i="50"/>
  <c r="AC28" i="50"/>
  <c r="AG86" i="50"/>
  <c r="AG128" i="50"/>
  <c r="AG16" i="50"/>
  <c r="Y139" i="50"/>
  <c r="Y103" i="50"/>
  <c r="Y35" i="50"/>
  <c r="AG97" i="50"/>
  <c r="AA11" i="56" s="1"/>
  <c r="AG122" i="50"/>
  <c r="AG115" i="50"/>
  <c r="AG44" i="50"/>
  <c r="AG51" i="50"/>
  <c r="AG29" i="50"/>
  <c r="AG116" i="50"/>
  <c r="AG96" i="50"/>
  <c r="AG35" i="50"/>
  <c r="Y133" i="50"/>
  <c r="Y70" i="50"/>
  <c r="Y91" i="50"/>
  <c r="Y55" i="50"/>
  <c r="AK79" i="50"/>
  <c r="AK107" i="50"/>
  <c r="AK24" i="50"/>
  <c r="F11" i="63" s="1"/>
  <c r="AK67" i="50"/>
  <c r="AC130" i="50"/>
  <c r="AC74" i="50"/>
  <c r="AC46" i="50"/>
  <c r="AC37" i="50"/>
  <c r="AG130" i="50"/>
  <c r="AG101" i="50"/>
  <c r="AG79" i="50"/>
  <c r="AG21" i="50"/>
  <c r="Y121" i="50"/>
  <c r="Y64" i="50"/>
  <c r="Y94" i="50"/>
  <c r="Y46" i="50"/>
  <c r="AK133" i="50"/>
  <c r="AK112" i="50"/>
  <c r="AK17" i="50"/>
  <c r="AK70" i="50"/>
  <c r="AC119" i="50"/>
  <c r="AC124" i="50"/>
  <c r="AC57" i="50"/>
  <c r="AC27" i="50"/>
  <c r="AG100" i="50"/>
  <c r="AG118" i="50"/>
  <c r="AG19" i="50"/>
  <c r="Y123" i="50"/>
  <c r="Y122" i="50"/>
  <c r="Y74" i="50"/>
  <c r="Y36" i="50"/>
  <c r="AK122" i="50"/>
  <c r="AK76" i="50"/>
  <c r="AK72" i="50"/>
  <c r="AK64" i="50"/>
  <c r="AC137" i="50"/>
  <c r="AC116" i="50"/>
  <c r="AC48" i="50"/>
  <c r="AC61" i="50"/>
  <c r="AG132" i="50"/>
  <c r="AG68" i="50"/>
  <c r="AG61" i="50"/>
  <c r="AG22" i="50"/>
  <c r="Y114" i="50"/>
  <c r="Y65" i="50"/>
  <c r="Y28" i="50"/>
  <c r="AK114" i="50"/>
  <c r="AK71" i="50"/>
  <c r="AK62" i="50"/>
  <c r="AK55" i="50"/>
  <c r="AC56" i="50"/>
  <c r="AC95" i="50"/>
  <c r="AC84" i="50"/>
  <c r="AC41" i="50"/>
  <c r="AG139" i="50"/>
  <c r="AG64" i="50"/>
  <c r="AG52" i="50"/>
  <c r="AG46" i="50"/>
  <c r="Y92" i="50"/>
  <c r="Y125" i="50"/>
  <c r="Y61" i="50"/>
  <c r="Y51" i="50"/>
  <c r="AG80" i="50"/>
  <c r="AG134" i="50"/>
  <c r="AG94" i="50"/>
  <c r="AG37" i="50"/>
  <c r="AG57" i="50"/>
  <c r="AG36" i="50"/>
  <c r="Y128" i="50"/>
  <c r="Y88" i="50"/>
  <c r="Y83" i="50"/>
  <c r="Y98" i="50"/>
  <c r="Y117" i="50"/>
  <c r="Y120" i="50"/>
  <c r="Y126" i="50"/>
  <c r="Y56" i="50"/>
  <c r="Y27" i="50"/>
  <c r="Y58" i="50"/>
  <c r="Y37" i="50"/>
  <c r="AK100" i="50"/>
  <c r="AK103" i="50"/>
  <c r="AK84" i="50"/>
  <c r="AK132" i="50"/>
  <c r="AK52" i="50"/>
  <c r="AK56" i="50"/>
  <c r="AK45" i="50"/>
  <c r="AK39" i="50"/>
  <c r="AK36" i="50"/>
  <c r="AK22" i="50"/>
  <c r="AC134" i="50"/>
  <c r="AC112" i="50"/>
  <c r="AC99" i="50"/>
  <c r="AC88" i="50"/>
  <c r="AC92" i="50"/>
  <c r="AC73" i="50"/>
  <c r="AC34" i="50"/>
  <c r="AG137" i="50"/>
  <c r="AG88" i="50"/>
  <c r="AG136" i="50"/>
  <c r="AG114" i="50"/>
  <c r="AG125" i="50"/>
  <c r="AG112" i="50"/>
  <c r="AG107" i="50"/>
  <c r="AG85" i="50"/>
  <c r="AG34" i="50"/>
  <c r="AG54" i="50"/>
  <c r="AG48" i="50"/>
  <c r="AG42" i="50"/>
  <c r="AG28" i="50"/>
  <c r="Y135" i="50"/>
  <c r="Y127" i="50"/>
  <c r="Y80" i="50"/>
  <c r="Y75" i="50"/>
  <c r="Y86" i="50"/>
  <c r="Y89" i="50"/>
  <c r="Y109" i="50"/>
  <c r="Y112" i="50"/>
  <c r="Y107" i="50"/>
  <c r="Y118" i="50"/>
  <c r="Y59" i="50"/>
  <c r="Y48" i="50"/>
  <c r="Y33" i="50"/>
  <c r="Y49" i="50"/>
  <c r="Y29" i="50"/>
  <c r="AK105" i="50"/>
  <c r="AK92" i="50"/>
  <c r="AK95" i="50"/>
  <c r="AK89" i="50"/>
  <c r="AK137" i="50"/>
  <c r="AK123" i="50"/>
  <c r="AK110" i="50"/>
  <c r="AK44" i="50"/>
  <c r="AK47" i="50"/>
  <c r="AK41" i="50"/>
  <c r="AK35" i="50"/>
  <c r="AK30" i="50"/>
  <c r="AK25" i="50"/>
  <c r="AK28" i="50"/>
  <c r="AC14" i="50"/>
  <c r="AC127" i="50"/>
  <c r="AC126" i="50"/>
  <c r="AC104" i="50"/>
  <c r="AC91" i="50"/>
  <c r="AC85" i="50"/>
  <c r="AC80" i="50"/>
  <c r="AC83" i="50"/>
  <c r="AC70" i="50"/>
  <c r="AC65" i="50"/>
  <c r="AC51" i="50"/>
  <c r="AC42" i="50"/>
  <c r="AC40" i="50"/>
  <c r="AC26" i="50"/>
  <c r="AC54" i="50"/>
  <c r="AG14" i="50"/>
  <c r="AG135" i="50"/>
  <c r="AG59" i="50"/>
  <c r="AG127" i="50"/>
  <c r="AG106" i="50"/>
  <c r="AG117" i="50"/>
  <c r="AG104" i="50"/>
  <c r="AG99" i="50"/>
  <c r="AG77" i="50"/>
  <c r="AG26" i="50"/>
  <c r="AG20" i="50"/>
  <c r="AG45" i="50"/>
  <c r="AG39" i="50"/>
  <c r="AG33" i="50"/>
  <c r="AG58" i="50"/>
  <c r="Y137" i="50"/>
  <c r="Y138" i="50"/>
  <c r="Y72" i="50"/>
  <c r="Y66" i="50"/>
  <c r="Y78" i="50"/>
  <c r="Y81" i="50"/>
  <c r="Y101" i="50"/>
  <c r="Y104" i="50"/>
  <c r="Y99" i="50"/>
  <c r="Y110" i="50"/>
  <c r="Y50" i="50"/>
  <c r="Y39" i="50"/>
  <c r="Y25" i="50"/>
  <c r="M9" i="56" s="1"/>
  <c r="Y40" i="50"/>
  <c r="Y20" i="50"/>
  <c r="AK97" i="50"/>
  <c r="AA12" i="56" s="1"/>
  <c r="AK83" i="50"/>
  <c r="AK86" i="50"/>
  <c r="AK134" i="50"/>
  <c r="AK128" i="50"/>
  <c r="AK115" i="50"/>
  <c r="AK102" i="50"/>
  <c r="AK34" i="50"/>
  <c r="AK37" i="50"/>
  <c r="AK32" i="50"/>
  <c r="AK27" i="50"/>
  <c r="AK21" i="50"/>
  <c r="AK16" i="50"/>
  <c r="AK19" i="50"/>
  <c r="AC125" i="50"/>
  <c r="AC135" i="50"/>
  <c r="AC110" i="50"/>
  <c r="AC96" i="50"/>
  <c r="AC82" i="50"/>
  <c r="AC77" i="50"/>
  <c r="AC62" i="50"/>
  <c r="AC75" i="50"/>
  <c r="AC47" i="50"/>
  <c r="AC117" i="50"/>
  <c r="AC50" i="50"/>
  <c r="AC33" i="50"/>
  <c r="AC31" i="50"/>
  <c r="AC17" i="50"/>
  <c r="AC45" i="50"/>
  <c r="X75" i="48"/>
  <c r="Y75" i="48" s="1"/>
  <c r="W77" i="50" s="1"/>
  <c r="AB10" i="9"/>
  <c r="AB13" i="9" s="1"/>
  <c r="AD10" i="9"/>
  <c r="AD13" i="9" s="1"/>
  <c r="X135" i="48"/>
  <c r="Y135" i="48" s="1"/>
  <c r="W137" i="50" s="1"/>
  <c r="X102" i="48"/>
  <c r="Y102" i="48" s="1"/>
  <c r="W104" i="50" s="1"/>
  <c r="X29" i="48"/>
  <c r="Y29" i="48" s="1"/>
  <c r="W31" i="50" s="1"/>
  <c r="X42" i="48"/>
  <c r="Y42" i="48" s="1"/>
  <c r="W44" i="50" s="1"/>
  <c r="X101" i="48"/>
  <c r="Y101" i="48" s="1"/>
  <c r="W103" i="50" s="1"/>
  <c r="X27" i="48"/>
  <c r="Y27" i="48" s="1"/>
  <c r="W29" i="50" s="1"/>
  <c r="X115" i="48"/>
  <c r="Y115" i="48" s="1"/>
  <c r="W117" i="50" s="1"/>
  <c r="X65" i="48"/>
  <c r="Y65" i="48" s="1"/>
  <c r="W67" i="50" s="1"/>
  <c r="X84" i="48"/>
  <c r="Y84" i="48" s="1"/>
  <c r="W86" i="50" s="1"/>
  <c r="X132" i="48"/>
  <c r="Y132" i="48" s="1"/>
  <c r="W134" i="50" s="1"/>
  <c r="X118" i="48"/>
  <c r="Y118" i="48" s="1"/>
  <c r="W120" i="50" s="1"/>
  <c r="X58" i="48"/>
  <c r="Y58" i="48" s="1"/>
  <c r="W60" i="50" s="1"/>
  <c r="X99" i="48"/>
  <c r="Y99" i="48" s="1"/>
  <c r="W101" i="50" s="1"/>
  <c r="X85" i="48"/>
  <c r="Y85" i="48" s="1"/>
  <c r="W87" i="50" s="1"/>
  <c r="X124" i="48"/>
  <c r="Y124" i="48" s="1"/>
  <c r="W126" i="50" s="1"/>
  <c r="X82" i="48"/>
  <c r="Y82" i="48" s="1"/>
  <c r="W84" i="50" s="1"/>
  <c r="X69" i="48"/>
  <c r="Y69" i="48" s="1"/>
  <c r="W71" i="50" s="1"/>
  <c r="X108" i="48"/>
  <c r="Y108" i="48" s="1"/>
  <c r="W110" i="50" s="1"/>
  <c r="X47" i="48"/>
  <c r="Y47" i="48" s="1"/>
  <c r="W49" i="50" s="1"/>
  <c r="X24" i="48"/>
  <c r="Y24" i="48" s="1"/>
  <c r="W26" i="50" s="1"/>
  <c r="X125" i="48"/>
  <c r="Y125" i="48" s="1"/>
  <c r="W127" i="50" s="1"/>
  <c r="X123" i="48"/>
  <c r="Y123" i="48" s="1"/>
  <c r="W125" i="50" s="1"/>
  <c r="X91" i="48"/>
  <c r="Y91" i="48" s="1"/>
  <c r="W93" i="50" s="1"/>
  <c r="X56" i="48"/>
  <c r="Y56" i="48" s="1"/>
  <c r="W58" i="50" s="1"/>
  <c r="X20" i="48"/>
  <c r="Y20" i="48" s="1"/>
  <c r="W22" i="50" s="1"/>
  <c r="X110" i="48"/>
  <c r="Y110" i="48" s="1"/>
  <c r="W112" i="50" s="1"/>
  <c r="X77" i="48"/>
  <c r="Y77" i="48" s="1"/>
  <c r="W79" i="50" s="1"/>
  <c r="X32" i="48"/>
  <c r="Y32" i="48" s="1"/>
  <c r="W34" i="50" s="1"/>
  <c r="X117" i="48"/>
  <c r="Y117" i="48" s="1"/>
  <c r="W119" i="50" s="1"/>
  <c r="X68" i="48"/>
  <c r="Y68" i="48" s="1"/>
  <c r="W70" i="50" s="1"/>
  <c r="X18" i="48"/>
  <c r="Y18" i="48" s="1"/>
  <c r="W20" i="50" s="1"/>
  <c r="X83" i="48"/>
  <c r="Y83" i="48" s="1"/>
  <c r="W85" i="50" s="1"/>
  <c r="X30" i="48"/>
  <c r="Y30" i="48" s="1"/>
  <c r="W32" i="50" s="1"/>
  <c r="X119" i="48"/>
  <c r="Y119" i="48" s="1"/>
  <c r="W121" i="50" s="1"/>
  <c r="X86" i="48"/>
  <c r="Y86" i="48" s="1"/>
  <c r="W88" i="50" s="1"/>
  <c r="X52" i="48"/>
  <c r="Y52" i="48" s="1"/>
  <c r="W54" i="50" s="1"/>
  <c r="X16" i="48"/>
  <c r="Y16" i="48" s="1"/>
  <c r="W18" i="50" s="1"/>
  <c r="X106" i="48"/>
  <c r="Y106" i="48" s="1"/>
  <c r="W108" i="50" s="1"/>
  <c r="X73" i="48"/>
  <c r="Y73" i="48" s="1"/>
  <c r="W75" i="50" s="1"/>
  <c r="X28" i="48"/>
  <c r="Y28" i="48" s="1"/>
  <c r="W30" i="50" s="1"/>
  <c r="X113" i="48"/>
  <c r="Y113" i="48" s="1"/>
  <c r="W115" i="50" s="1"/>
  <c r="X63" i="48"/>
  <c r="Y63" i="48" s="1"/>
  <c r="W65" i="50" s="1"/>
  <c r="X14" i="48"/>
  <c r="Y14" i="48" s="1"/>
  <c r="W16" i="50" s="1"/>
  <c r="X79" i="48"/>
  <c r="Y79" i="48" s="1"/>
  <c r="W81" i="50" s="1"/>
  <c r="X111" i="48"/>
  <c r="Y111" i="48" s="1"/>
  <c r="W113" i="50" s="1"/>
  <c r="X78" i="48"/>
  <c r="Y78" i="48" s="1"/>
  <c r="W80" i="50" s="1"/>
  <c r="X43" i="48"/>
  <c r="Y43" i="48" s="1"/>
  <c r="W45" i="50" s="1"/>
  <c r="X131" i="48"/>
  <c r="Y131" i="48" s="1"/>
  <c r="W133" i="50" s="1"/>
  <c r="X98" i="48"/>
  <c r="Y98" i="48" s="1"/>
  <c r="W100" i="50" s="1"/>
  <c r="X64" i="48"/>
  <c r="Y64" i="48" s="1"/>
  <c r="W66" i="50" s="1"/>
  <c r="X19" i="48"/>
  <c r="Y19" i="48" s="1"/>
  <c r="W21" i="50" s="1"/>
  <c r="X97" i="48"/>
  <c r="Y97" i="48" s="1"/>
  <c r="W99" i="50" s="1"/>
  <c r="X54" i="48"/>
  <c r="Y54" i="48" s="1"/>
  <c r="W56" i="50" s="1"/>
  <c r="X120" i="48"/>
  <c r="Y120" i="48" s="1"/>
  <c r="W122" i="50" s="1"/>
  <c r="X71" i="48"/>
  <c r="Y71" i="48" s="1"/>
  <c r="W73" i="50" s="1"/>
  <c r="X107" i="48"/>
  <c r="Y107" i="48" s="1"/>
  <c r="W109" i="50" s="1"/>
  <c r="X74" i="48"/>
  <c r="Y74" i="48" s="1"/>
  <c r="W76" i="50" s="1"/>
  <c r="X38" i="48"/>
  <c r="Y38" i="48" s="1"/>
  <c r="W40" i="50" s="1"/>
  <c r="X126" i="48"/>
  <c r="Y126" i="48" s="1"/>
  <c r="W128" i="50" s="1"/>
  <c r="X94" i="48"/>
  <c r="Y94" i="48" s="1"/>
  <c r="W96" i="50" s="1"/>
  <c r="X59" i="48"/>
  <c r="Y59" i="48" s="1"/>
  <c r="W61" i="50" s="1"/>
  <c r="X134" i="48"/>
  <c r="Y134" i="48" s="1"/>
  <c r="W136" i="50" s="1"/>
  <c r="X93" i="48"/>
  <c r="Y93" i="48" s="1"/>
  <c r="W95" i="50" s="1"/>
  <c r="X49" i="48"/>
  <c r="Y49" i="48" s="1"/>
  <c r="W51" i="50" s="1"/>
  <c r="X116" i="48"/>
  <c r="Y116" i="48" s="1"/>
  <c r="W118" i="50" s="1"/>
  <c r="X22" i="48"/>
  <c r="Y22" i="48" s="1"/>
  <c r="W24" i="50" s="1"/>
  <c r="X136" i="48"/>
  <c r="Y136" i="48" s="1"/>
  <c r="W138" i="50" s="1"/>
  <c r="X103" i="48"/>
  <c r="Y103" i="48" s="1"/>
  <c r="W105" i="50" s="1"/>
  <c r="X70" i="48"/>
  <c r="Y70" i="48" s="1"/>
  <c r="W72" i="50" s="1"/>
  <c r="X33" i="48"/>
  <c r="Y33" i="48" s="1"/>
  <c r="W35" i="50" s="1"/>
  <c r="X122" i="48"/>
  <c r="Y122" i="48" s="1"/>
  <c r="W124" i="50" s="1"/>
  <c r="X90" i="48"/>
  <c r="Y90" i="48" s="1"/>
  <c r="W92" i="50" s="1"/>
  <c r="X55" i="48"/>
  <c r="Y55" i="48" s="1"/>
  <c r="W57" i="50" s="1"/>
  <c r="X130" i="48"/>
  <c r="Y130" i="48" s="1"/>
  <c r="W132" i="50" s="1"/>
  <c r="X89" i="48"/>
  <c r="Y89" i="48" s="1"/>
  <c r="W91" i="50" s="1"/>
  <c r="X31" i="48"/>
  <c r="Y31" i="48" s="1"/>
  <c r="W33" i="50" s="1"/>
  <c r="X112" i="48"/>
  <c r="Y112" i="48" s="1"/>
  <c r="W114" i="50" s="1"/>
  <c r="X17" i="48"/>
  <c r="Y17" i="48" s="1"/>
  <c r="W19" i="50" s="1"/>
  <c r="X128" i="48"/>
  <c r="Y128" i="48" s="1"/>
  <c r="W130" i="50" s="1"/>
  <c r="X95" i="48"/>
  <c r="Y95" i="48" s="1"/>
  <c r="W97" i="50" s="1"/>
  <c r="AC8" i="56" s="1"/>
  <c r="X60" i="48"/>
  <c r="Y60" i="48" s="1"/>
  <c r="W62" i="50" s="1"/>
  <c r="X25" i="48"/>
  <c r="Y25" i="48" s="1"/>
  <c r="W27" i="50" s="1"/>
  <c r="X114" i="48"/>
  <c r="Y114" i="48" s="1"/>
  <c r="W116" i="50" s="1"/>
  <c r="X81" i="48"/>
  <c r="Y81" i="48" s="1"/>
  <c r="W83" i="50" s="1"/>
  <c r="X37" i="48"/>
  <c r="Y37" i="48" s="1"/>
  <c r="W39" i="50" s="1"/>
  <c r="X121" i="48"/>
  <c r="Y121" i="48" s="1"/>
  <c r="W123" i="50" s="1"/>
  <c r="X80" i="48"/>
  <c r="Y80" i="48" s="1"/>
  <c r="W82" i="50" s="1"/>
  <c r="X23" i="48"/>
  <c r="Y23" i="48" s="1"/>
  <c r="W25" i="50" s="1"/>
  <c r="X26" i="48"/>
  <c r="Y26" i="48" s="1"/>
  <c r="W28" i="50" s="1"/>
  <c r="X45" i="48"/>
  <c r="Y45" i="48" s="1"/>
  <c r="W47" i="50" s="1"/>
  <c r="X137" i="48"/>
  <c r="Y137" i="48" s="1"/>
  <c r="W139" i="50" s="1"/>
  <c r="X104" i="48"/>
  <c r="Y104" i="48" s="1"/>
  <c r="W106" i="50" s="1"/>
  <c r="X62" i="48"/>
  <c r="Y62" i="48" s="1"/>
  <c r="W64" i="50" s="1"/>
  <c r="X50" i="48"/>
  <c r="Y50" i="48" s="1"/>
  <c r="W52" i="50" s="1"/>
  <c r="X15" i="48"/>
  <c r="Y15" i="48" s="1"/>
  <c r="W17" i="50" s="1"/>
  <c r="X109" i="48"/>
  <c r="Y109" i="48" s="1"/>
  <c r="W111" i="50" s="1"/>
  <c r="X76" i="48"/>
  <c r="Y76" i="48" s="1"/>
  <c r="W78" i="50" s="1"/>
  <c r="X40" i="48"/>
  <c r="Y40" i="48" s="1"/>
  <c r="W42" i="50" s="1"/>
  <c r="X133" i="48"/>
  <c r="Y133" i="48" s="1"/>
  <c r="W135" i="50" s="1"/>
  <c r="X96" i="48"/>
  <c r="Y96" i="48" s="1"/>
  <c r="W98" i="50" s="1"/>
  <c r="AC8" i="63" s="1"/>
  <c r="X57" i="48"/>
  <c r="Y57" i="48" s="1"/>
  <c r="W59" i="50" s="1"/>
  <c r="X46" i="48"/>
  <c r="Y46" i="48" s="1"/>
  <c r="W48" i="50" s="1"/>
  <c r="X12" i="48"/>
  <c r="Y12" i="48" s="1"/>
  <c r="W14" i="50" s="1"/>
  <c r="X105" i="48"/>
  <c r="Y105" i="48" s="1"/>
  <c r="W107" i="50" s="1"/>
  <c r="X72" i="48"/>
  <c r="Y72" i="48" s="1"/>
  <c r="W74" i="50" s="1"/>
  <c r="X35" i="48"/>
  <c r="Y35" i="48" s="1"/>
  <c r="W37" i="50" s="1"/>
  <c r="X129" i="48"/>
  <c r="Y129" i="48" s="1"/>
  <c r="W131" i="50" s="1"/>
  <c r="X92" i="48"/>
  <c r="Y92" i="48" s="1"/>
  <c r="W94" i="50" s="1"/>
  <c r="X44" i="48"/>
  <c r="Y44" i="48" s="1"/>
  <c r="W46" i="50" s="1"/>
  <c r="X53" i="48"/>
  <c r="Y53" i="48" s="1"/>
  <c r="W55" i="50" s="1"/>
  <c r="X48" i="48"/>
  <c r="Y48" i="48" s="1"/>
  <c r="W50" i="50" s="1"/>
  <c r="X128" i="44"/>
  <c r="Y128" i="44" s="1"/>
  <c r="O130" i="50" s="1"/>
  <c r="X56" i="44"/>
  <c r="Y56" i="44" s="1"/>
  <c r="O58" i="50" s="1"/>
  <c r="X39" i="48"/>
  <c r="Y39" i="48" s="1"/>
  <c r="W41" i="50" s="1"/>
  <c r="X34" i="48"/>
  <c r="Y34" i="48" s="1"/>
  <c r="W36" i="50" s="1"/>
  <c r="X100" i="48"/>
  <c r="Y100" i="48" s="1"/>
  <c r="W102" i="50" s="1"/>
  <c r="X66" i="48"/>
  <c r="Y66" i="48" s="1"/>
  <c r="W68" i="50" s="1"/>
  <c r="X125" i="33"/>
  <c r="Y125" i="33" s="1"/>
  <c r="AA127" i="50" s="1"/>
  <c r="F9" i="56"/>
  <c r="X30" i="44"/>
  <c r="Y30" i="44" s="1"/>
  <c r="O32" i="50" s="1"/>
  <c r="X73" i="44"/>
  <c r="Y73" i="44" s="1"/>
  <c r="O75" i="50" s="1"/>
  <c r="X30" i="33"/>
  <c r="Y30" i="33" s="1"/>
  <c r="AA32" i="50" s="1"/>
  <c r="X16" i="33"/>
  <c r="Y16" i="33" s="1"/>
  <c r="AA18" i="50" s="1"/>
  <c r="X48" i="33"/>
  <c r="Y48" i="33" s="1"/>
  <c r="AA50" i="50" s="1"/>
  <c r="X33" i="33"/>
  <c r="Y33" i="33" s="1"/>
  <c r="AA35" i="50" s="1"/>
  <c r="X19" i="33"/>
  <c r="Y19" i="33" s="1"/>
  <c r="AA21" i="50" s="1"/>
  <c r="X136" i="33"/>
  <c r="Y136" i="33" s="1"/>
  <c r="AA138" i="50" s="1"/>
  <c r="X122" i="33"/>
  <c r="Y122" i="33" s="1"/>
  <c r="AA124" i="50" s="1"/>
  <c r="X109" i="33"/>
  <c r="Y109" i="33" s="1"/>
  <c r="AA111" i="50" s="1"/>
  <c r="X133" i="33"/>
  <c r="Y133" i="33" s="1"/>
  <c r="AA135" i="50" s="1"/>
  <c r="X119" i="33"/>
  <c r="Y119" i="33" s="1"/>
  <c r="AA121" i="50" s="1"/>
  <c r="X106" i="33"/>
  <c r="Y106" i="33" s="1"/>
  <c r="AA108" i="50" s="1"/>
  <c r="X93" i="33"/>
  <c r="Y93" i="33" s="1"/>
  <c r="AA95" i="50" s="1"/>
  <c r="X116" i="33"/>
  <c r="Y116" i="33" s="1"/>
  <c r="AA118" i="50" s="1"/>
  <c r="X103" i="33"/>
  <c r="Y103" i="33" s="1"/>
  <c r="AA105" i="50" s="1"/>
  <c r="X90" i="33"/>
  <c r="Y90" i="33" s="1"/>
  <c r="AA92" i="50" s="1"/>
  <c r="X76" i="33"/>
  <c r="Y76" i="33" s="1"/>
  <c r="AA78" i="50" s="1"/>
  <c r="X100" i="33"/>
  <c r="Y100" i="33" s="1"/>
  <c r="AA102" i="50" s="1"/>
  <c r="X86" i="33"/>
  <c r="Y86" i="33" s="1"/>
  <c r="AA88" i="50" s="1"/>
  <c r="X73" i="33"/>
  <c r="Y73" i="33" s="1"/>
  <c r="AA75" i="50" s="1"/>
  <c r="X58" i="33"/>
  <c r="Y58" i="33" s="1"/>
  <c r="AA60" i="50" s="1"/>
  <c r="X83" i="33"/>
  <c r="Y83" i="33" s="1"/>
  <c r="AA85" i="50" s="1"/>
  <c r="X70" i="33"/>
  <c r="Y70" i="33" s="1"/>
  <c r="AA72" i="50" s="1"/>
  <c r="X55" i="33"/>
  <c r="Y55" i="33" s="1"/>
  <c r="AA57" i="50" s="1"/>
  <c r="X40" i="33"/>
  <c r="Y40" i="33" s="1"/>
  <c r="AA42" i="50" s="1"/>
  <c r="X66" i="33"/>
  <c r="Y66" i="33" s="1"/>
  <c r="AA68" i="50" s="1"/>
  <c r="X52" i="33"/>
  <c r="Y52" i="33" s="1"/>
  <c r="AA54" i="50" s="1"/>
  <c r="X37" i="33"/>
  <c r="Y37" i="33" s="1"/>
  <c r="AA39" i="50" s="1"/>
  <c r="X23" i="33"/>
  <c r="Y23" i="33" s="1"/>
  <c r="AA25" i="50" s="1"/>
  <c r="O9" i="56" s="1"/>
  <c r="X14" i="47"/>
  <c r="Y14" i="47" s="1"/>
  <c r="AM16" i="50" s="1"/>
  <c r="X18" i="47"/>
  <c r="Y18" i="47" s="1"/>
  <c r="AM20" i="50" s="1"/>
  <c r="X23" i="47"/>
  <c r="Y23" i="47" s="1"/>
  <c r="AM25" i="50" s="1"/>
  <c r="X27" i="47"/>
  <c r="Y27" i="47" s="1"/>
  <c r="AM29" i="50" s="1"/>
  <c r="X31" i="47"/>
  <c r="Y31" i="47" s="1"/>
  <c r="AM33" i="50" s="1"/>
  <c r="X35" i="47"/>
  <c r="Y35" i="47" s="1"/>
  <c r="AM37" i="50" s="1"/>
  <c r="X40" i="47"/>
  <c r="Y40" i="47" s="1"/>
  <c r="AM42" i="50" s="1"/>
  <c r="X45" i="47"/>
  <c r="Y45" i="47" s="1"/>
  <c r="AM47" i="50" s="1"/>
  <c r="X49" i="47"/>
  <c r="Y49" i="47" s="1"/>
  <c r="AM51" i="50" s="1"/>
  <c r="X54" i="47"/>
  <c r="Y54" i="47" s="1"/>
  <c r="AM56" i="50" s="1"/>
  <c r="X58" i="47"/>
  <c r="Y58" i="47" s="1"/>
  <c r="AM60" i="50" s="1"/>
  <c r="X63" i="47"/>
  <c r="Y63" i="47" s="1"/>
  <c r="AM65" i="50" s="1"/>
  <c r="X68" i="47"/>
  <c r="Y68" i="47" s="1"/>
  <c r="AM70" i="50" s="1"/>
  <c r="X72" i="47"/>
  <c r="Y72" i="47" s="1"/>
  <c r="AM74" i="50" s="1"/>
  <c r="X76" i="47"/>
  <c r="Y76" i="47" s="1"/>
  <c r="AM78" i="50" s="1"/>
  <c r="X80" i="47"/>
  <c r="Y80" i="47" s="1"/>
  <c r="AM82" i="50" s="1"/>
  <c r="X84" i="47"/>
  <c r="Y84" i="47" s="1"/>
  <c r="AM86" i="50" s="1"/>
  <c r="X89" i="47"/>
  <c r="Y89" i="47" s="1"/>
  <c r="AM91" i="50" s="1"/>
  <c r="X93" i="47"/>
  <c r="Y93" i="47" s="1"/>
  <c r="AM95" i="50" s="1"/>
  <c r="X97" i="47"/>
  <c r="Y97" i="47" s="1"/>
  <c r="AM99" i="50" s="1"/>
  <c r="X101" i="47"/>
  <c r="Y101" i="47" s="1"/>
  <c r="AM103" i="50" s="1"/>
  <c r="X105" i="47"/>
  <c r="Y105" i="47" s="1"/>
  <c r="AM107" i="50" s="1"/>
  <c r="X109" i="47"/>
  <c r="Y109" i="47" s="1"/>
  <c r="AM111" i="50" s="1"/>
  <c r="X113" i="47"/>
  <c r="Y113" i="47" s="1"/>
  <c r="AM115" i="50" s="1"/>
  <c r="X117" i="47"/>
  <c r="Y117" i="47" s="1"/>
  <c r="AM119" i="50" s="1"/>
  <c r="X121" i="47"/>
  <c r="Y121" i="47" s="1"/>
  <c r="AM123" i="50" s="1"/>
  <c r="X125" i="47"/>
  <c r="Y125" i="47" s="1"/>
  <c r="AM127" i="50" s="1"/>
  <c r="X130" i="47"/>
  <c r="Y130" i="47" s="1"/>
  <c r="AM132" i="50" s="1"/>
  <c r="X134" i="47"/>
  <c r="Y134" i="47" s="1"/>
  <c r="AM136" i="50" s="1"/>
  <c r="X12" i="47"/>
  <c r="Y12" i="47" s="1"/>
  <c r="AM14" i="50" s="1"/>
  <c r="X15" i="47"/>
  <c r="Y15" i="47" s="1"/>
  <c r="AM17" i="50" s="1"/>
  <c r="X19" i="47"/>
  <c r="Y19" i="47" s="1"/>
  <c r="AM21" i="50" s="1"/>
  <c r="X24" i="47"/>
  <c r="Y24" i="47" s="1"/>
  <c r="AM26" i="50" s="1"/>
  <c r="X28" i="47"/>
  <c r="Y28" i="47" s="1"/>
  <c r="AM30" i="50" s="1"/>
  <c r="X32" i="47"/>
  <c r="Y32" i="47" s="1"/>
  <c r="AM34" i="50" s="1"/>
  <c r="X37" i="47"/>
  <c r="Y37" i="47" s="1"/>
  <c r="AM39" i="50" s="1"/>
  <c r="X42" i="47"/>
  <c r="Y42" i="47" s="1"/>
  <c r="AM44" i="50" s="1"/>
  <c r="X46" i="47"/>
  <c r="Y46" i="47" s="1"/>
  <c r="AM48" i="50" s="1"/>
  <c r="X50" i="47"/>
  <c r="Y50" i="47" s="1"/>
  <c r="AM52" i="50" s="1"/>
  <c r="X55" i="47"/>
  <c r="Y55" i="47" s="1"/>
  <c r="AM57" i="50" s="1"/>
  <c r="X59" i="47"/>
  <c r="Y59" i="47" s="1"/>
  <c r="AM61" i="50" s="1"/>
  <c r="X64" i="47"/>
  <c r="Y64" i="47" s="1"/>
  <c r="AM66" i="50" s="1"/>
  <c r="X69" i="47"/>
  <c r="Y69" i="47" s="1"/>
  <c r="AM71" i="50" s="1"/>
  <c r="X73" i="47"/>
  <c r="Y73" i="47" s="1"/>
  <c r="AM75" i="50" s="1"/>
  <c r="X77" i="47"/>
  <c r="Y77" i="47" s="1"/>
  <c r="AM79" i="50" s="1"/>
  <c r="X81" i="47"/>
  <c r="Y81" i="47" s="1"/>
  <c r="AM83" i="50" s="1"/>
  <c r="X85" i="47"/>
  <c r="Y85" i="47" s="1"/>
  <c r="AM87" i="50" s="1"/>
  <c r="X90" i="47"/>
  <c r="Y90" i="47" s="1"/>
  <c r="AM92" i="50" s="1"/>
  <c r="X94" i="47"/>
  <c r="Y94" i="47" s="1"/>
  <c r="AM96" i="50" s="1"/>
  <c r="X98" i="47"/>
  <c r="Y98" i="47" s="1"/>
  <c r="AM100" i="50" s="1"/>
  <c r="X102" i="47"/>
  <c r="Y102" i="47" s="1"/>
  <c r="AM104" i="50" s="1"/>
  <c r="X106" i="47"/>
  <c r="Y106" i="47" s="1"/>
  <c r="AM108" i="50" s="1"/>
  <c r="X110" i="47"/>
  <c r="Y110" i="47" s="1"/>
  <c r="AM112" i="50" s="1"/>
  <c r="X114" i="47"/>
  <c r="Y114" i="47" s="1"/>
  <c r="AM116" i="50" s="1"/>
  <c r="X118" i="47"/>
  <c r="Y118" i="47" s="1"/>
  <c r="AM120" i="50" s="1"/>
  <c r="X122" i="47"/>
  <c r="Y122" i="47" s="1"/>
  <c r="AM124" i="50" s="1"/>
  <c r="X126" i="47"/>
  <c r="Y126" i="47" s="1"/>
  <c r="AM128" i="50" s="1"/>
  <c r="X131" i="47"/>
  <c r="Y131" i="47" s="1"/>
  <c r="AM133" i="50" s="1"/>
  <c r="X135" i="47"/>
  <c r="Y135" i="47" s="1"/>
  <c r="AM137" i="50" s="1"/>
  <c r="X16" i="47"/>
  <c r="Y16" i="47" s="1"/>
  <c r="AM18" i="50" s="1"/>
  <c r="X20" i="47"/>
  <c r="Y20" i="47" s="1"/>
  <c r="AM22" i="50" s="1"/>
  <c r="X25" i="47"/>
  <c r="Y25" i="47" s="1"/>
  <c r="AM27" i="50" s="1"/>
  <c r="X29" i="47"/>
  <c r="Y29" i="47" s="1"/>
  <c r="AM31" i="50" s="1"/>
  <c r="X33" i="47"/>
  <c r="Y33" i="47" s="1"/>
  <c r="AM35" i="50" s="1"/>
  <c r="X38" i="47"/>
  <c r="Y38" i="47" s="1"/>
  <c r="AM40" i="50" s="1"/>
  <c r="X43" i="47"/>
  <c r="Y43" i="47" s="1"/>
  <c r="AM45" i="50" s="1"/>
  <c r="X47" i="47"/>
  <c r="Y47" i="47" s="1"/>
  <c r="AM49" i="50" s="1"/>
  <c r="X52" i="47"/>
  <c r="Y52" i="47" s="1"/>
  <c r="AM54" i="50" s="1"/>
  <c r="X56" i="47"/>
  <c r="Y56" i="47" s="1"/>
  <c r="AM58" i="50" s="1"/>
  <c r="X60" i="47"/>
  <c r="Y60" i="47" s="1"/>
  <c r="AM62" i="50" s="1"/>
  <c r="X65" i="47"/>
  <c r="Y65" i="47" s="1"/>
  <c r="AM67" i="50" s="1"/>
  <c r="X70" i="47"/>
  <c r="Y70" i="47" s="1"/>
  <c r="AM72" i="50" s="1"/>
  <c r="X74" i="47"/>
  <c r="Y74" i="47" s="1"/>
  <c r="AM76" i="50" s="1"/>
  <c r="X78" i="47"/>
  <c r="Y78" i="47" s="1"/>
  <c r="AM80" i="50" s="1"/>
  <c r="X82" i="47"/>
  <c r="Y82" i="47" s="1"/>
  <c r="AM84" i="50" s="1"/>
  <c r="X86" i="47"/>
  <c r="Y86" i="47" s="1"/>
  <c r="AM88" i="50" s="1"/>
  <c r="X91" i="47"/>
  <c r="Y91" i="47" s="1"/>
  <c r="AM93" i="50" s="1"/>
  <c r="X95" i="47"/>
  <c r="Y95" i="47" s="1"/>
  <c r="AM97" i="50" s="1"/>
  <c r="AC12" i="56" s="1"/>
  <c r="X99" i="47"/>
  <c r="Y99" i="47" s="1"/>
  <c r="AM101" i="50" s="1"/>
  <c r="X103" i="47"/>
  <c r="Y103" i="47" s="1"/>
  <c r="AM105" i="50" s="1"/>
  <c r="X107" i="47"/>
  <c r="Y107" i="47" s="1"/>
  <c r="AM109" i="50" s="1"/>
  <c r="X111" i="47"/>
  <c r="Y111" i="47" s="1"/>
  <c r="AM113" i="50" s="1"/>
  <c r="X115" i="47"/>
  <c r="Y115" i="47" s="1"/>
  <c r="AM117" i="50" s="1"/>
  <c r="X119" i="47"/>
  <c r="Y119" i="47" s="1"/>
  <c r="AM121" i="50" s="1"/>
  <c r="X123" i="47"/>
  <c r="Y123" i="47" s="1"/>
  <c r="AM125" i="50" s="1"/>
  <c r="X128" i="47"/>
  <c r="Y128" i="47" s="1"/>
  <c r="AM130" i="50" s="1"/>
  <c r="X132" i="47"/>
  <c r="Y132" i="47" s="1"/>
  <c r="AM134" i="50" s="1"/>
  <c r="X136" i="47"/>
  <c r="Y136" i="47" s="1"/>
  <c r="AM138" i="50" s="1"/>
  <c r="X17" i="47"/>
  <c r="Y17" i="47" s="1"/>
  <c r="AM19" i="50" s="1"/>
  <c r="X22" i="47"/>
  <c r="Y22" i="47" s="1"/>
  <c r="AM24" i="50" s="1"/>
  <c r="H11" i="63" s="1"/>
  <c r="X26" i="47"/>
  <c r="Y26" i="47" s="1"/>
  <c r="AM28" i="50" s="1"/>
  <c r="X30" i="47"/>
  <c r="Y30" i="47" s="1"/>
  <c r="AM32" i="50" s="1"/>
  <c r="X34" i="47"/>
  <c r="Y34" i="47" s="1"/>
  <c r="AM36" i="50" s="1"/>
  <c r="X39" i="47"/>
  <c r="Y39" i="47" s="1"/>
  <c r="AM41" i="50" s="1"/>
  <c r="X44" i="47"/>
  <c r="Y44" i="47" s="1"/>
  <c r="AM46" i="50" s="1"/>
  <c r="X48" i="47"/>
  <c r="Y48" i="47" s="1"/>
  <c r="AM50" i="50" s="1"/>
  <c r="X53" i="47"/>
  <c r="Y53" i="47" s="1"/>
  <c r="AM55" i="50" s="1"/>
  <c r="X57" i="47"/>
  <c r="Y57" i="47" s="1"/>
  <c r="AM59" i="50" s="1"/>
  <c r="X62" i="47"/>
  <c r="Y62" i="47" s="1"/>
  <c r="AM64" i="50" s="1"/>
  <c r="X66" i="47"/>
  <c r="Y66" i="47" s="1"/>
  <c r="AM68" i="50" s="1"/>
  <c r="X71" i="47"/>
  <c r="Y71" i="47" s="1"/>
  <c r="AM73" i="50" s="1"/>
  <c r="X75" i="47"/>
  <c r="Y75" i="47" s="1"/>
  <c r="AM77" i="50" s="1"/>
  <c r="X79" i="47"/>
  <c r="Y79" i="47" s="1"/>
  <c r="AM81" i="50" s="1"/>
  <c r="X83" i="47"/>
  <c r="Y83" i="47" s="1"/>
  <c r="AM85" i="50" s="1"/>
  <c r="X87" i="47"/>
  <c r="Y87" i="47" s="1"/>
  <c r="AM89" i="50" s="1"/>
  <c r="X92" i="47"/>
  <c r="Y92" i="47" s="1"/>
  <c r="AM94" i="50" s="1"/>
  <c r="X96" i="47"/>
  <c r="Y96" i="47" s="1"/>
  <c r="AM98" i="50" s="1"/>
  <c r="AC11" i="63" s="1"/>
  <c r="X100" i="47"/>
  <c r="Y100" i="47" s="1"/>
  <c r="AM102" i="50" s="1"/>
  <c r="X104" i="47"/>
  <c r="Y104" i="47" s="1"/>
  <c r="AM106" i="50" s="1"/>
  <c r="X108" i="47"/>
  <c r="Y108" i="47" s="1"/>
  <c r="AM110" i="50" s="1"/>
  <c r="X112" i="47"/>
  <c r="Y112" i="47" s="1"/>
  <c r="AM114" i="50" s="1"/>
  <c r="X116" i="47"/>
  <c r="Y116" i="47" s="1"/>
  <c r="AM118" i="50" s="1"/>
  <c r="X120" i="47"/>
  <c r="Y120" i="47" s="1"/>
  <c r="AM122" i="50" s="1"/>
  <c r="X124" i="47"/>
  <c r="Y124" i="47" s="1"/>
  <c r="AM126" i="50" s="1"/>
  <c r="X129" i="47"/>
  <c r="Y129" i="47" s="1"/>
  <c r="AM131" i="50" s="1"/>
  <c r="X133" i="47"/>
  <c r="Y133" i="47" s="1"/>
  <c r="AM135" i="50" s="1"/>
  <c r="X137" i="47"/>
  <c r="Y137" i="47" s="1"/>
  <c r="AM139" i="50" s="1"/>
  <c r="X14" i="45"/>
  <c r="Y14" i="45" s="1"/>
  <c r="AI16" i="50" s="1"/>
  <c r="X18" i="45"/>
  <c r="Y18" i="45" s="1"/>
  <c r="AI20" i="50" s="1"/>
  <c r="X23" i="45"/>
  <c r="Y23" i="45" s="1"/>
  <c r="AI25" i="50" s="1"/>
  <c r="O10" i="63" s="1"/>
  <c r="X27" i="45"/>
  <c r="Y27" i="45" s="1"/>
  <c r="AI29" i="50" s="1"/>
  <c r="X31" i="45"/>
  <c r="Y31" i="45" s="1"/>
  <c r="AI33" i="50" s="1"/>
  <c r="X35" i="45"/>
  <c r="Y35" i="45" s="1"/>
  <c r="AI37" i="50" s="1"/>
  <c r="X40" i="45"/>
  <c r="Y40" i="45" s="1"/>
  <c r="AI42" i="50" s="1"/>
  <c r="X45" i="45"/>
  <c r="Y45" i="45" s="1"/>
  <c r="AI47" i="50" s="1"/>
  <c r="X49" i="45"/>
  <c r="Y49" i="45" s="1"/>
  <c r="AI51" i="50" s="1"/>
  <c r="X54" i="45"/>
  <c r="Y54" i="45" s="1"/>
  <c r="AI56" i="50" s="1"/>
  <c r="X58" i="45"/>
  <c r="Y58" i="45" s="1"/>
  <c r="AI60" i="50" s="1"/>
  <c r="X63" i="45"/>
  <c r="Y63" i="45" s="1"/>
  <c r="AI65" i="50" s="1"/>
  <c r="X68" i="45"/>
  <c r="Y68" i="45" s="1"/>
  <c r="AI70" i="50" s="1"/>
  <c r="X72" i="45"/>
  <c r="Y72" i="45" s="1"/>
  <c r="AI74" i="50" s="1"/>
  <c r="X76" i="45"/>
  <c r="Y76" i="45" s="1"/>
  <c r="AI78" i="50" s="1"/>
  <c r="X80" i="45"/>
  <c r="Y80" i="45" s="1"/>
  <c r="AI82" i="50" s="1"/>
  <c r="X84" i="45"/>
  <c r="Y84" i="45" s="1"/>
  <c r="AI86" i="50" s="1"/>
  <c r="X89" i="45"/>
  <c r="Y89" i="45" s="1"/>
  <c r="AI91" i="50" s="1"/>
  <c r="X93" i="45"/>
  <c r="Y93" i="45" s="1"/>
  <c r="AI95" i="50" s="1"/>
  <c r="X97" i="45"/>
  <c r="Y97" i="45" s="1"/>
  <c r="AI99" i="50" s="1"/>
  <c r="X101" i="45"/>
  <c r="Y101" i="45" s="1"/>
  <c r="AI103" i="50" s="1"/>
  <c r="X105" i="45"/>
  <c r="Y105" i="45" s="1"/>
  <c r="AI107" i="50" s="1"/>
  <c r="X109" i="45"/>
  <c r="Y109" i="45" s="1"/>
  <c r="AI111" i="50" s="1"/>
  <c r="X113" i="45"/>
  <c r="Y113" i="45" s="1"/>
  <c r="AI115" i="50" s="1"/>
  <c r="X117" i="45"/>
  <c r="Y117" i="45" s="1"/>
  <c r="AI119" i="50" s="1"/>
  <c r="X121" i="45"/>
  <c r="Y121" i="45" s="1"/>
  <c r="AI123" i="50" s="1"/>
  <c r="X125" i="45"/>
  <c r="Y125" i="45" s="1"/>
  <c r="AI127" i="50" s="1"/>
  <c r="X130" i="45"/>
  <c r="Y130" i="45" s="1"/>
  <c r="AI132" i="50" s="1"/>
  <c r="X134" i="45"/>
  <c r="Y134" i="45" s="1"/>
  <c r="AI136" i="50" s="1"/>
  <c r="X15" i="45"/>
  <c r="Y15" i="45" s="1"/>
  <c r="AI17" i="50" s="1"/>
  <c r="X19" i="45"/>
  <c r="Y19" i="45" s="1"/>
  <c r="AI21" i="50" s="1"/>
  <c r="X24" i="45"/>
  <c r="Y24" i="45" s="1"/>
  <c r="AI26" i="50" s="1"/>
  <c r="X28" i="45"/>
  <c r="Y28" i="45" s="1"/>
  <c r="AI30" i="50" s="1"/>
  <c r="X32" i="45"/>
  <c r="Y32" i="45" s="1"/>
  <c r="AI34" i="50" s="1"/>
  <c r="X37" i="45"/>
  <c r="Y37" i="45" s="1"/>
  <c r="AI39" i="50" s="1"/>
  <c r="X42" i="45"/>
  <c r="Y42" i="45" s="1"/>
  <c r="AI44" i="50" s="1"/>
  <c r="X46" i="45"/>
  <c r="Y46" i="45" s="1"/>
  <c r="AI48" i="50" s="1"/>
  <c r="X50" i="45"/>
  <c r="Y50" i="45" s="1"/>
  <c r="AI52" i="50" s="1"/>
  <c r="X55" i="45"/>
  <c r="Y55" i="45" s="1"/>
  <c r="AI57" i="50" s="1"/>
  <c r="X59" i="45"/>
  <c r="Y59" i="45" s="1"/>
  <c r="AI61" i="50" s="1"/>
  <c r="X64" i="45"/>
  <c r="Y64" i="45" s="1"/>
  <c r="AI66" i="50" s="1"/>
  <c r="X69" i="45"/>
  <c r="Y69" i="45" s="1"/>
  <c r="AI71" i="50" s="1"/>
  <c r="X73" i="45"/>
  <c r="Y73" i="45" s="1"/>
  <c r="AI75" i="50" s="1"/>
  <c r="X77" i="45"/>
  <c r="Y77" i="45" s="1"/>
  <c r="AI79" i="50" s="1"/>
  <c r="X81" i="45"/>
  <c r="Y81" i="45" s="1"/>
  <c r="AI83" i="50" s="1"/>
  <c r="X85" i="45"/>
  <c r="Y85" i="45" s="1"/>
  <c r="AI87" i="50" s="1"/>
  <c r="X90" i="45"/>
  <c r="Y90" i="45" s="1"/>
  <c r="AI92" i="50" s="1"/>
  <c r="X94" i="45"/>
  <c r="Y94" i="45" s="1"/>
  <c r="AI96" i="50" s="1"/>
  <c r="X98" i="45"/>
  <c r="Y98" i="45" s="1"/>
  <c r="AI100" i="50" s="1"/>
  <c r="X102" i="45"/>
  <c r="Y102" i="45" s="1"/>
  <c r="AI104" i="50" s="1"/>
  <c r="X106" i="45"/>
  <c r="Y106" i="45" s="1"/>
  <c r="AI108" i="50" s="1"/>
  <c r="X110" i="45"/>
  <c r="Y110" i="45" s="1"/>
  <c r="AI112" i="50" s="1"/>
  <c r="X114" i="45"/>
  <c r="Y114" i="45" s="1"/>
  <c r="AI116" i="50" s="1"/>
  <c r="X118" i="45"/>
  <c r="Y118" i="45" s="1"/>
  <c r="AI120" i="50" s="1"/>
  <c r="X122" i="45"/>
  <c r="Y122" i="45" s="1"/>
  <c r="AI124" i="50" s="1"/>
  <c r="X126" i="45"/>
  <c r="Y126" i="45" s="1"/>
  <c r="AI128" i="50" s="1"/>
  <c r="X131" i="45"/>
  <c r="Y131" i="45" s="1"/>
  <c r="AI133" i="50" s="1"/>
  <c r="X135" i="45"/>
  <c r="Y135" i="45" s="1"/>
  <c r="AI137" i="50" s="1"/>
  <c r="X12" i="45"/>
  <c r="Y12" i="45" s="1"/>
  <c r="AI14" i="50" s="1"/>
  <c r="X16" i="45"/>
  <c r="Y16" i="45" s="1"/>
  <c r="AI18" i="50" s="1"/>
  <c r="X20" i="45"/>
  <c r="Y20" i="45" s="1"/>
  <c r="AI22" i="50" s="1"/>
  <c r="X25" i="45"/>
  <c r="Y25" i="45" s="1"/>
  <c r="AI27" i="50" s="1"/>
  <c r="X29" i="45"/>
  <c r="Y29" i="45" s="1"/>
  <c r="AI31" i="50" s="1"/>
  <c r="X33" i="45"/>
  <c r="Y33" i="45" s="1"/>
  <c r="AI35" i="50" s="1"/>
  <c r="X38" i="45"/>
  <c r="Y38" i="45" s="1"/>
  <c r="AI40" i="50" s="1"/>
  <c r="X43" i="45"/>
  <c r="Y43" i="45" s="1"/>
  <c r="AI45" i="50" s="1"/>
  <c r="X47" i="45"/>
  <c r="Y47" i="45" s="1"/>
  <c r="AI49" i="50" s="1"/>
  <c r="X52" i="45"/>
  <c r="Y52" i="45" s="1"/>
  <c r="AI54" i="50" s="1"/>
  <c r="X56" i="45"/>
  <c r="Y56" i="45" s="1"/>
  <c r="AI58" i="50" s="1"/>
  <c r="X60" i="45"/>
  <c r="Y60" i="45" s="1"/>
  <c r="AI62" i="50" s="1"/>
  <c r="X65" i="45"/>
  <c r="Y65" i="45" s="1"/>
  <c r="AI67" i="50" s="1"/>
  <c r="X70" i="45"/>
  <c r="Y70" i="45" s="1"/>
  <c r="AI72" i="50" s="1"/>
  <c r="X74" i="45"/>
  <c r="Y74" i="45" s="1"/>
  <c r="AI76" i="50" s="1"/>
  <c r="X78" i="45"/>
  <c r="Y78" i="45" s="1"/>
  <c r="AI80" i="50" s="1"/>
  <c r="X82" i="45"/>
  <c r="Y82" i="45" s="1"/>
  <c r="AI84" i="50" s="1"/>
  <c r="X86" i="45"/>
  <c r="Y86" i="45" s="1"/>
  <c r="AI88" i="50" s="1"/>
  <c r="X91" i="45"/>
  <c r="Y91" i="45" s="1"/>
  <c r="AI93" i="50" s="1"/>
  <c r="X95" i="45"/>
  <c r="Y95" i="45" s="1"/>
  <c r="AI97" i="50" s="1"/>
  <c r="AC11" i="56" s="1"/>
  <c r="X99" i="45"/>
  <c r="Y99" i="45" s="1"/>
  <c r="AI101" i="50" s="1"/>
  <c r="X103" i="45"/>
  <c r="Y103" i="45" s="1"/>
  <c r="AI105" i="50" s="1"/>
  <c r="X107" i="45"/>
  <c r="Y107" i="45" s="1"/>
  <c r="AI109" i="50" s="1"/>
  <c r="X111" i="45"/>
  <c r="Y111" i="45" s="1"/>
  <c r="AI113" i="50" s="1"/>
  <c r="X115" i="45"/>
  <c r="Y115" i="45" s="1"/>
  <c r="AI117" i="50" s="1"/>
  <c r="X119" i="45"/>
  <c r="Y119" i="45" s="1"/>
  <c r="AI121" i="50" s="1"/>
  <c r="X123" i="45"/>
  <c r="Y123" i="45" s="1"/>
  <c r="AI125" i="50" s="1"/>
  <c r="X128" i="45"/>
  <c r="Y128" i="45" s="1"/>
  <c r="AI130" i="50" s="1"/>
  <c r="X132" i="45"/>
  <c r="Y132" i="45" s="1"/>
  <c r="AI134" i="50" s="1"/>
  <c r="X136" i="45"/>
  <c r="Y136" i="45" s="1"/>
  <c r="AI138" i="50" s="1"/>
  <c r="X17" i="45"/>
  <c r="Y17" i="45" s="1"/>
  <c r="AI19" i="50" s="1"/>
  <c r="X22" i="45"/>
  <c r="Y22" i="45" s="1"/>
  <c r="AI24" i="50" s="1"/>
  <c r="H10" i="63" s="1"/>
  <c r="X26" i="45"/>
  <c r="Y26" i="45" s="1"/>
  <c r="AI28" i="50" s="1"/>
  <c r="X30" i="45"/>
  <c r="Y30" i="45" s="1"/>
  <c r="AI32" i="50" s="1"/>
  <c r="X34" i="45"/>
  <c r="Y34" i="45" s="1"/>
  <c r="AI36" i="50" s="1"/>
  <c r="X39" i="45"/>
  <c r="Y39" i="45" s="1"/>
  <c r="AI41" i="50" s="1"/>
  <c r="X44" i="45"/>
  <c r="Y44" i="45" s="1"/>
  <c r="AI46" i="50" s="1"/>
  <c r="X48" i="45"/>
  <c r="Y48" i="45" s="1"/>
  <c r="AI50" i="50" s="1"/>
  <c r="X53" i="45"/>
  <c r="Y53" i="45" s="1"/>
  <c r="AI55" i="50" s="1"/>
  <c r="X57" i="45"/>
  <c r="Y57" i="45" s="1"/>
  <c r="AI59" i="50" s="1"/>
  <c r="X62" i="45"/>
  <c r="Y62" i="45" s="1"/>
  <c r="AI64" i="50" s="1"/>
  <c r="X66" i="45"/>
  <c r="Y66" i="45" s="1"/>
  <c r="AI68" i="50" s="1"/>
  <c r="X71" i="45"/>
  <c r="Y71" i="45" s="1"/>
  <c r="AI73" i="50" s="1"/>
  <c r="X75" i="45"/>
  <c r="Y75" i="45" s="1"/>
  <c r="AI77" i="50" s="1"/>
  <c r="X79" i="45"/>
  <c r="Y79" i="45" s="1"/>
  <c r="AI81" i="50" s="1"/>
  <c r="X83" i="45"/>
  <c r="Y83" i="45" s="1"/>
  <c r="AI85" i="50" s="1"/>
  <c r="X87" i="45"/>
  <c r="Y87" i="45" s="1"/>
  <c r="AI89" i="50" s="1"/>
  <c r="X92" i="45"/>
  <c r="Y92" i="45" s="1"/>
  <c r="AI94" i="50" s="1"/>
  <c r="X96" i="45"/>
  <c r="Y96" i="45" s="1"/>
  <c r="AI98" i="50" s="1"/>
  <c r="AC10" i="63" s="1"/>
  <c r="X100" i="45"/>
  <c r="Y100" i="45" s="1"/>
  <c r="AI102" i="50" s="1"/>
  <c r="X104" i="45"/>
  <c r="Y104" i="45" s="1"/>
  <c r="AI106" i="50" s="1"/>
  <c r="X108" i="45"/>
  <c r="Y108" i="45" s="1"/>
  <c r="AI110" i="50" s="1"/>
  <c r="X112" i="45"/>
  <c r="Y112" i="45" s="1"/>
  <c r="AI114" i="50" s="1"/>
  <c r="X116" i="45"/>
  <c r="Y116" i="45" s="1"/>
  <c r="AI118" i="50" s="1"/>
  <c r="X120" i="45"/>
  <c r="Y120" i="45" s="1"/>
  <c r="AI122" i="50" s="1"/>
  <c r="X124" i="45"/>
  <c r="Y124" i="45" s="1"/>
  <c r="AI126" i="50" s="1"/>
  <c r="X129" i="45"/>
  <c r="Y129" i="45" s="1"/>
  <c r="AI131" i="50" s="1"/>
  <c r="X133" i="45"/>
  <c r="Y133" i="45" s="1"/>
  <c r="AI135" i="50" s="1"/>
  <c r="X137" i="45"/>
  <c r="Y137" i="45" s="1"/>
  <c r="AI139" i="50" s="1"/>
  <c r="X118" i="44"/>
  <c r="Y118" i="44" s="1"/>
  <c r="O120" i="50" s="1"/>
  <c r="X92" i="44"/>
  <c r="Y92" i="44" s="1"/>
  <c r="O94" i="50" s="1"/>
  <c r="X94" i="44"/>
  <c r="Y94" i="44" s="1"/>
  <c r="O96" i="50" s="1"/>
  <c r="X59" i="42"/>
  <c r="Y59" i="42" s="1"/>
  <c r="K61" i="50" s="1"/>
  <c r="X80" i="44"/>
  <c r="Y80" i="44" s="1"/>
  <c r="O82" i="50" s="1"/>
  <c r="X65" i="42"/>
  <c r="Y65" i="42" s="1"/>
  <c r="K67" i="50" s="1"/>
  <c r="X82" i="44"/>
  <c r="Y82" i="44" s="1"/>
  <c r="O84" i="50" s="1"/>
  <c r="X117" i="44"/>
  <c r="Y117" i="44" s="1"/>
  <c r="O119" i="50" s="1"/>
  <c r="X17" i="44"/>
  <c r="Y17" i="44" s="1"/>
  <c r="O19" i="50" s="1"/>
  <c r="X17" i="46"/>
  <c r="Y17" i="46" s="1"/>
  <c r="S19" i="50" s="1"/>
  <c r="X25" i="46"/>
  <c r="Y25" i="46" s="1"/>
  <c r="S27" i="50" s="1"/>
  <c r="X33" i="46"/>
  <c r="Y33" i="46" s="1"/>
  <c r="S35" i="50" s="1"/>
  <c r="X49" i="46"/>
  <c r="Y49" i="46" s="1"/>
  <c r="S51" i="50" s="1"/>
  <c r="X57" i="46"/>
  <c r="Y57" i="46" s="1"/>
  <c r="S59" i="50" s="1"/>
  <c r="X65" i="46"/>
  <c r="Y65" i="46" s="1"/>
  <c r="S67" i="50" s="1"/>
  <c r="X73" i="46"/>
  <c r="Y73" i="46" s="1"/>
  <c r="S75" i="50" s="1"/>
  <c r="X81" i="46"/>
  <c r="Y81" i="46" s="1"/>
  <c r="S83" i="50" s="1"/>
  <c r="X89" i="46"/>
  <c r="Y89" i="46" s="1"/>
  <c r="S91" i="50" s="1"/>
  <c r="X97" i="46"/>
  <c r="Y97" i="46" s="1"/>
  <c r="S99" i="50" s="1"/>
  <c r="X105" i="46"/>
  <c r="Y105" i="46" s="1"/>
  <c r="S107" i="50" s="1"/>
  <c r="X113" i="46"/>
  <c r="Y113" i="46" s="1"/>
  <c r="S115" i="50" s="1"/>
  <c r="X121" i="46"/>
  <c r="Y121" i="46" s="1"/>
  <c r="S123" i="50" s="1"/>
  <c r="X129" i="46"/>
  <c r="Y129" i="46" s="1"/>
  <c r="S131" i="50" s="1"/>
  <c r="X137" i="46"/>
  <c r="X39" i="46"/>
  <c r="Y39" i="46" s="1"/>
  <c r="S41" i="50" s="1"/>
  <c r="X103" i="46"/>
  <c r="Y103" i="46" s="1"/>
  <c r="S105" i="50" s="1"/>
  <c r="X18" i="46"/>
  <c r="Y18" i="46" s="1"/>
  <c r="X26" i="46"/>
  <c r="Y26" i="46" s="1"/>
  <c r="S28" i="50" s="1"/>
  <c r="X34" i="46"/>
  <c r="Y34" i="46" s="1"/>
  <c r="S36" i="50" s="1"/>
  <c r="X42" i="46"/>
  <c r="Y42" i="46" s="1"/>
  <c r="S44" i="50" s="1"/>
  <c r="X50" i="46"/>
  <c r="Y50" i="46" s="1"/>
  <c r="S52" i="50" s="1"/>
  <c r="X58" i="46"/>
  <c r="Y58" i="46" s="1"/>
  <c r="S60" i="50" s="1"/>
  <c r="X66" i="46"/>
  <c r="Y66" i="46" s="1"/>
  <c r="S68" i="50" s="1"/>
  <c r="X74" i="46"/>
  <c r="Y74" i="46" s="1"/>
  <c r="S76" i="50" s="1"/>
  <c r="X82" i="46"/>
  <c r="Y82" i="46" s="1"/>
  <c r="S84" i="50" s="1"/>
  <c r="X90" i="46"/>
  <c r="Y90" i="46" s="1"/>
  <c r="S92" i="50" s="1"/>
  <c r="X98" i="46"/>
  <c r="Y98" i="46" s="1"/>
  <c r="S100" i="50" s="1"/>
  <c r="X106" i="46"/>
  <c r="Y106" i="46" s="1"/>
  <c r="S108" i="50" s="1"/>
  <c r="X114" i="46"/>
  <c r="Y114" i="46" s="1"/>
  <c r="S116" i="50" s="1"/>
  <c r="X122" i="46"/>
  <c r="Y122" i="46" s="1"/>
  <c r="S124" i="50" s="1"/>
  <c r="X130" i="46"/>
  <c r="Y130" i="46" s="1"/>
  <c r="S132" i="50" s="1"/>
  <c r="X12" i="46"/>
  <c r="Y12" i="46" s="1"/>
  <c r="S14" i="50" s="1"/>
  <c r="X19" i="46"/>
  <c r="Y19" i="46" s="1"/>
  <c r="S21" i="50" s="1"/>
  <c r="X27" i="46"/>
  <c r="Y27" i="46" s="1"/>
  <c r="S29" i="50" s="1"/>
  <c r="X35" i="46"/>
  <c r="Y35" i="46" s="1"/>
  <c r="S37" i="50" s="1"/>
  <c r="X43" i="46"/>
  <c r="Y43" i="46" s="1"/>
  <c r="S45" i="50" s="1"/>
  <c r="X59" i="46"/>
  <c r="Y59" i="46" s="1"/>
  <c r="S61" i="50" s="1"/>
  <c r="X75" i="46"/>
  <c r="Y75" i="46" s="1"/>
  <c r="S77" i="50" s="1"/>
  <c r="X83" i="46"/>
  <c r="Y83" i="46" s="1"/>
  <c r="S85" i="50" s="1"/>
  <c r="X91" i="46"/>
  <c r="Y91" i="46" s="1"/>
  <c r="S93" i="50" s="1"/>
  <c r="X99" i="46"/>
  <c r="Y99" i="46" s="1"/>
  <c r="S101" i="50" s="1"/>
  <c r="X107" i="46"/>
  <c r="Y107" i="46" s="1"/>
  <c r="S109" i="50" s="1"/>
  <c r="X115" i="46"/>
  <c r="Y115" i="46" s="1"/>
  <c r="S117" i="50" s="1"/>
  <c r="X123" i="46"/>
  <c r="Y123" i="46" s="1"/>
  <c r="X131" i="46"/>
  <c r="Y131" i="46" s="1"/>
  <c r="S133" i="50" s="1"/>
  <c r="X20" i="46"/>
  <c r="Y20" i="46" s="1"/>
  <c r="S22" i="50" s="1"/>
  <c r="X28" i="46"/>
  <c r="Y28" i="46" s="1"/>
  <c r="S30" i="50" s="1"/>
  <c r="X44" i="46"/>
  <c r="Y44" i="46" s="1"/>
  <c r="S46" i="50" s="1"/>
  <c r="X52" i="46"/>
  <c r="Y52" i="46" s="1"/>
  <c r="S54" i="50" s="1"/>
  <c r="X60" i="46"/>
  <c r="Y60" i="46" s="1"/>
  <c r="S62" i="50" s="1"/>
  <c r="X68" i="46"/>
  <c r="Y68" i="46" s="1"/>
  <c r="S70" i="50" s="1"/>
  <c r="X76" i="46"/>
  <c r="Y76" i="46" s="1"/>
  <c r="S78" i="50" s="1"/>
  <c r="X84" i="46"/>
  <c r="Y84" i="46" s="1"/>
  <c r="S86" i="50" s="1"/>
  <c r="X92" i="46"/>
  <c r="Y92" i="46" s="1"/>
  <c r="S94" i="50" s="1"/>
  <c r="X100" i="46"/>
  <c r="Y100" i="46" s="1"/>
  <c r="S102" i="50" s="1"/>
  <c r="X108" i="46"/>
  <c r="Y108" i="46" s="1"/>
  <c r="S110" i="50" s="1"/>
  <c r="X116" i="46"/>
  <c r="Y116" i="46" s="1"/>
  <c r="S118" i="50" s="1"/>
  <c r="X124" i="46"/>
  <c r="Y124" i="46" s="1"/>
  <c r="S126" i="50" s="1"/>
  <c r="X132" i="46"/>
  <c r="Y132" i="46" s="1"/>
  <c r="S134" i="50" s="1"/>
  <c r="X23" i="46"/>
  <c r="Y23" i="46" s="1"/>
  <c r="S25" i="50" s="1"/>
  <c r="X47" i="46"/>
  <c r="Y47" i="46" s="1"/>
  <c r="S49" i="50" s="1"/>
  <c r="X71" i="46"/>
  <c r="Y71" i="46" s="1"/>
  <c r="X87" i="46"/>
  <c r="Y87" i="46" s="1"/>
  <c r="S89" i="50" s="1"/>
  <c r="X111" i="46"/>
  <c r="Y111" i="46" s="1"/>
  <c r="S113" i="50" s="1"/>
  <c r="X135" i="46"/>
  <c r="Y135" i="46" s="1"/>
  <c r="S137" i="50" s="1"/>
  <c r="X29" i="46"/>
  <c r="Y29" i="46" s="1"/>
  <c r="S31" i="50" s="1"/>
  <c r="X37" i="46"/>
  <c r="Y37" i="46" s="1"/>
  <c r="S39" i="50" s="1"/>
  <c r="X45" i="46"/>
  <c r="Y45" i="46" s="1"/>
  <c r="S47" i="50" s="1"/>
  <c r="X53" i="46"/>
  <c r="Y53" i="46" s="1"/>
  <c r="S55" i="50" s="1"/>
  <c r="X69" i="46"/>
  <c r="Y69" i="46" s="1"/>
  <c r="S71" i="50" s="1"/>
  <c r="X77" i="46"/>
  <c r="Y77" i="46" s="1"/>
  <c r="S79" i="50" s="1"/>
  <c r="X85" i="46"/>
  <c r="Y85" i="46" s="1"/>
  <c r="S87" i="50" s="1"/>
  <c r="X93" i="46"/>
  <c r="Y93" i="46" s="1"/>
  <c r="S95" i="50" s="1"/>
  <c r="X101" i="46"/>
  <c r="Y101" i="46" s="1"/>
  <c r="S103" i="50" s="1"/>
  <c r="X109" i="46"/>
  <c r="Y109" i="46" s="1"/>
  <c r="S111" i="50" s="1"/>
  <c r="X117" i="46"/>
  <c r="Y117" i="46" s="1"/>
  <c r="S119" i="50" s="1"/>
  <c r="X125" i="46"/>
  <c r="Y125" i="46" s="1"/>
  <c r="S127" i="50" s="1"/>
  <c r="X133" i="46"/>
  <c r="Y133" i="46" s="1"/>
  <c r="S135" i="50" s="1"/>
  <c r="X15" i="46"/>
  <c r="Y15" i="46" s="1"/>
  <c r="S17" i="50" s="1"/>
  <c r="X31" i="46"/>
  <c r="Y31" i="46" s="1"/>
  <c r="S33" i="50" s="1"/>
  <c r="X55" i="46"/>
  <c r="Y55" i="46" s="1"/>
  <c r="S57" i="50" s="1"/>
  <c r="X79" i="46"/>
  <c r="Y79" i="46" s="1"/>
  <c r="S81" i="50" s="1"/>
  <c r="X95" i="46"/>
  <c r="Y95" i="46" s="1"/>
  <c r="S97" i="50" s="1"/>
  <c r="AC7" i="56" s="1"/>
  <c r="X119" i="46"/>
  <c r="Y119" i="46" s="1"/>
  <c r="S121" i="50" s="1"/>
  <c r="X14" i="46"/>
  <c r="Y14" i="46" s="1"/>
  <c r="X22" i="46"/>
  <c r="Y22" i="46" s="1"/>
  <c r="X30" i="46"/>
  <c r="Y30" i="46" s="1"/>
  <c r="S32" i="50" s="1"/>
  <c r="X38" i="46"/>
  <c r="Y38" i="46" s="1"/>
  <c r="S40" i="50" s="1"/>
  <c r="X46" i="46"/>
  <c r="Y46" i="46" s="1"/>
  <c r="S48" i="50" s="1"/>
  <c r="X54" i="46"/>
  <c r="Y54" i="46" s="1"/>
  <c r="S56" i="50" s="1"/>
  <c r="X62" i="46"/>
  <c r="Y62" i="46" s="1"/>
  <c r="S64" i="50" s="1"/>
  <c r="X70" i="46"/>
  <c r="Y70" i="46" s="1"/>
  <c r="S72" i="50" s="1"/>
  <c r="X78" i="46"/>
  <c r="Y78" i="46" s="1"/>
  <c r="S80" i="50" s="1"/>
  <c r="X86" i="46"/>
  <c r="Y86" i="46" s="1"/>
  <c r="S88" i="50" s="1"/>
  <c r="X94" i="46"/>
  <c r="Y94" i="46" s="1"/>
  <c r="S96" i="50" s="1"/>
  <c r="X102" i="46"/>
  <c r="Y102" i="46" s="1"/>
  <c r="S104" i="50" s="1"/>
  <c r="X110" i="46"/>
  <c r="Y110" i="46" s="1"/>
  <c r="S112" i="50" s="1"/>
  <c r="X118" i="46"/>
  <c r="Y118" i="46" s="1"/>
  <c r="S120" i="50" s="1"/>
  <c r="X126" i="46"/>
  <c r="Y126" i="46" s="1"/>
  <c r="S128" i="50" s="1"/>
  <c r="X134" i="46"/>
  <c r="Y134" i="46" s="1"/>
  <c r="S136" i="50" s="1"/>
  <c r="X16" i="46"/>
  <c r="Y16" i="46" s="1"/>
  <c r="S18" i="50" s="1"/>
  <c r="X24" i="46"/>
  <c r="Y24" i="46" s="1"/>
  <c r="S26" i="50" s="1"/>
  <c r="X32" i="46"/>
  <c r="Y32" i="46" s="1"/>
  <c r="S34" i="50" s="1"/>
  <c r="X40" i="46"/>
  <c r="Y40" i="46" s="1"/>
  <c r="S42" i="50" s="1"/>
  <c r="X48" i="46"/>
  <c r="Y48" i="46" s="1"/>
  <c r="S50" i="50" s="1"/>
  <c r="X56" i="46"/>
  <c r="Y56" i="46" s="1"/>
  <c r="S58" i="50" s="1"/>
  <c r="X64" i="46"/>
  <c r="Y64" i="46" s="1"/>
  <c r="S66" i="50" s="1"/>
  <c r="X72" i="46"/>
  <c r="Y72" i="46" s="1"/>
  <c r="S74" i="50" s="1"/>
  <c r="X80" i="46"/>
  <c r="Y80" i="46" s="1"/>
  <c r="S82" i="50" s="1"/>
  <c r="X96" i="46"/>
  <c r="Y96" i="46" s="1"/>
  <c r="S98" i="50" s="1"/>
  <c r="AC7" i="63" s="1"/>
  <c r="X104" i="46"/>
  <c r="Y104" i="46" s="1"/>
  <c r="S106" i="50" s="1"/>
  <c r="X112" i="46"/>
  <c r="Y112" i="46" s="1"/>
  <c r="X120" i="46"/>
  <c r="Y120" i="46" s="1"/>
  <c r="X128" i="46"/>
  <c r="Y128" i="46" s="1"/>
  <c r="S130" i="50" s="1"/>
  <c r="X136" i="46"/>
  <c r="Y136" i="46" s="1"/>
  <c r="X63" i="46"/>
  <c r="Y63" i="46" s="1"/>
  <c r="S65" i="50" s="1"/>
  <c r="X126" i="44"/>
  <c r="Y126" i="44" s="1"/>
  <c r="O128" i="50" s="1"/>
  <c r="X64" i="44"/>
  <c r="Y64" i="44" s="1"/>
  <c r="O66" i="50" s="1"/>
  <c r="X45" i="44"/>
  <c r="Y45" i="44" s="1"/>
  <c r="O47" i="50" s="1"/>
  <c r="X44" i="44"/>
  <c r="Y44" i="44" s="1"/>
  <c r="O46" i="50" s="1"/>
  <c r="X135" i="44"/>
  <c r="Y135" i="44" s="1"/>
  <c r="O137" i="50" s="1"/>
  <c r="X109" i="44"/>
  <c r="Y109" i="44" s="1"/>
  <c r="O111" i="50" s="1"/>
  <c r="X124" i="44"/>
  <c r="Y124" i="44" s="1"/>
  <c r="O126" i="50" s="1"/>
  <c r="X16" i="44"/>
  <c r="Y16" i="44" s="1"/>
  <c r="O18" i="50" s="1"/>
  <c r="X12" i="44"/>
  <c r="Y12" i="44" s="1"/>
  <c r="O14" i="50" s="1"/>
  <c r="X134" i="44"/>
  <c r="Y134" i="44" s="1"/>
  <c r="O136" i="50" s="1"/>
  <c r="X100" i="44"/>
  <c r="Y100" i="44" s="1"/>
  <c r="O102" i="50" s="1"/>
  <c r="X58" i="44"/>
  <c r="Y58" i="44" s="1"/>
  <c r="O60" i="50" s="1"/>
  <c r="X29" i="44"/>
  <c r="Y29" i="44" s="1"/>
  <c r="O31" i="50" s="1"/>
  <c r="X136" i="44"/>
  <c r="Y136" i="44" s="1"/>
  <c r="O138" i="50" s="1"/>
  <c r="X72" i="44"/>
  <c r="Y72" i="44" s="1"/>
  <c r="O74" i="50" s="1"/>
  <c r="X65" i="44"/>
  <c r="Y65" i="44" s="1"/>
  <c r="O67" i="50" s="1"/>
  <c r="X40" i="44"/>
  <c r="Y40" i="44" s="1"/>
  <c r="O42" i="50" s="1"/>
  <c r="X14" i="44"/>
  <c r="Y14" i="44" s="1"/>
  <c r="O16" i="50" s="1"/>
  <c r="X112" i="33"/>
  <c r="Y112" i="33" s="1"/>
  <c r="AA114" i="50" s="1"/>
  <c r="X79" i="33"/>
  <c r="Y79" i="33" s="1"/>
  <c r="AA81" i="50" s="1"/>
  <c r="X44" i="33"/>
  <c r="Y44" i="33" s="1"/>
  <c r="AA46" i="50" s="1"/>
  <c r="X132" i="33"/>
  <c r="Y132" i="33" s="1"/>
  <c r="AA134" i="50" s="1"/>
  <c r="X99" i="33"/>
  <c r="Y99" i="33" s="1"/>
  <c r="AA101" i="50" s="1"/>
  <c r="X65" i="33"/>
  <c r="Y65" i="33" s="1"/>
  <c r="AA67" i="50" s="1"/>
  <c r="X29" i="33"/>
  <c r="Y29" i="33" s="1"/>
  <c r="AA31" i="50" s="1"/>
  <c r="X118" i="33"/>
  <c r="Y118" i="33" s="1"/>
  <c r="AA120" i="50" s="1"/>
  <c r="X85" i="33"/>
  <c r="Y85" i="33" s="1"/>
  <c r="AA87" i="50" s="1"/>
  <c r="X50" i="33"/>
  <c r="Y50" i="33" s="1"/>
  <c r="AA52" i="50" s="1"/>
  <c r="X15" i="33"/>
  <c r="Y15" i="33" s="1"/>
  <c r="AA17" i="50" s="1"/>
  <c r="X105" i="33"/>
  <c r="Y105" i="33" s="1"/>
  <c r="AA107" i="50" s="1"/>
  <c r="X72" i="33"/>
  <c r="Y72" i="33" s="1"/>
  <c r="AA74" i="50" s="1"/>
  <c r="X35" i="33"/>
  <c r="Y35" i="33" s="1"/>
  <c r="AA37" i="50" s="1"/>
  <c r="X12" i="33"/>
  <c r="Y12" i="33" s="1"/>
  <c r="AA14" i="50" s="1"/>
  <c r="X108" i="33"/>
  <c r="Y108" i="33" s="1"/>
  <c r="AA110" i="50" s="1"/>
  <c r="X75" i="33"/>
  <c r="Y75" i="33" s="1"/>
  <c r="AA77" i="50" s="1"/>
  <c r="X39" i="33"/>
  <c r="Y39" i="33" s="1"/>
  <c r="AA41" i="50" s="1"/>
  <c r="X128" i="33"/>
  <c r="Y128" i="33" s="1"/>
  <c r="AA130" i="50" s="1"/>
  <c r="X95" i="33"/>
  <c r="Y95" i="33" s="1"/>
  <c r="AA97" i="50" s="1"/>
  <c r="AC9" i="56" s="1"/>
  <c r="X60" i="33"/>
  <c r="Y60" i="33" s="1"/>
  <c r="AA62" i="50" s="1"/>
  <c r="X25" i="33"/>
  <c r="Y25" i="33" s="1"/>
  <c r="AA27" i="50" s="1"/>
  <c r="X114" i="33"/>
  <c r="Y114" i="33" s="1"/>
  <c r="AA116" i="50" s="1"/>
  <c r="X81" i="33"/>
  <c r="Y81" i="33" s="1"/>
  <c r="AA83" i="50" s="1"/>
  <c r="X46" i="33"/>
  <c r="Y46" i="33" s="1"/>
  <c r="AA48" i="50" s="1"/>
  <c r="X134" i="33"/>
  <c r="Y134" i="33" s="1"/>
  <c r="AA136" i="50" s="1"/>
  <c r="X101" i="33"/>
  <c r="Y101" i="33" s="1"/>
  <c r="AA103" i="50" s="1"/>
  <c r="X68" i="33"/>
  <c r="Y68" i="33" s="1"/>
  <c r="AA70" i="50" s="1"/>
  <c r="X31" i="33"/>
  <c r="Y31" i="33" s="1"/>
  <c r="AA33" i="50" s="1"/>
  <c r="X137" i="33"/>
  <c r="Y137" i="33" s="1"/>
  <c r="AA139" i="50" s="1"/>
  <c r="X104" i="33"/>
  <c r="Y104" i="33" s="1"/>
  <c r="AA106" i="50" s="1"/>
  <c r="X71" i="33"/>
  <c r="Y71" i="33" s="1"/>
  <c r="AA73" i="50" s="1"/>
  <c r="X34" i="33"/>
  <c r="Y34" i="33" s="1"/>
  <c r="AA36" i="50" s="1"/>
  <c r="X123" i="33"/>
  <c r="Y123" i="33" s="1"/>
  <c r="AA125" i="50" s="1"/>
  <c r="X91" i="33"/>
  <c r="Y91" i="33" s="1"/>
  <c r="AA93" i="50" s="1"/>
  <c r="X56" i="33"/>
  <c r="Y56" i="33" s="1"/>
  <c r="AA58" i="50" s="1"/>
  <c r="X20" i="33"/>
  <c r="Y20" i="33" s="1"/>
  <c r="AA22" i="50" s="1"/>
  <c r="X110" i="33"/>
  <c r="Y110" i="33" s="1"/>
  <c r="AA112" i="50" s="1"/>
  <c r="X77" i="33"/>
  <c r="Y77" i="33" s="1"/>
  <c r="AA79" i="50" s="1"/>
  <c r="X42" i="33"/>
  <c r="Y42" i="33" s="1"/>
  <c r="AA44" i="50" s="1"/>
  <c r="X130" i="33"/>
  <c r="Y130" i="33" s="1"/>
  <c r="AA132" i="50" s="1"/>
  <c r="X97" i="33"/>
  <c r="Y97" i="33" s="1"/>
  <c r="AA99" i="50" s="1"/>
  <c r="X63" i="33"/>
  <c r="Y63" i="33" s="1"/>
  <c r="AA65" i="50" s="1"/>
  <c r="X27" i="33"/>
  <c r="Y27" i="33" s="1"/>
  <c r="AA29" i="50" s="1"/>
  <c r="X129" i="33"/>
  <c r="Y129" i="33" s="1"/>
  <c r="AA131" i="50" s="1"/>
  <c r="X96" i="33"/>
  <c r="Y96" i="33" s="1"/>
  <c r="AA98" i="50" s="1"/>
  <c r="X62" i="33"/>
  <c r="Y62" i="33" s="1"/>
  <c r="AA64" i="50" s="1"/>
  <c r="X26" i="33"/>
  <c r="Y26" i="33" s="1"/>
  <c r="AA28" i="50" s="1"/>
  <c r="X115" i="33"/>
  <c r="Y115" i="33" s="1"/>
  <c r="AA117" i="50" s="1"/>
  <c r="X82" i="33"/>
  <c r="Y82" i="33" s="1"/>
  <c r="AA84" i="50" s="1"/>
  <c r="X47" i="33"/>
  <c r="Y47" i="33" s="1"/>
  <c r="AA49" i="50" s="1"/>
  <c r="X135" i="33"/>
  <c r="Y135" i="33" s="1"/>
  <c r="AA137" i="50" s="1"/>
  <c r="X102" i="33"/>
  <c r="Y102" i="33" s="1"/>
  <c r="AA104" i="50" s="1"/>
  <c r="X69" i="33"/>
  <c r="Y69" i="33" s="1"/>
  <c r="AA71" i="50" s="1"/>
  <c r="V9" i="56" s="1"/>
  <c r="X32" i="33"/>
  <c r="Y32" i="33" s="1"/>
  <c r="AA34" i="50" s="1"/>
  <c r="X121" i="33"/>
  <c r="Y121" i="33" s="1"/>
  <c r="AA123" i="50" s="1"/>
  <c r="X89" i="33"/>
  <c r="Y89" i="33" s="1"/>
  <c r="AA91" i="50" s="1"/>
  <c r="X54" i="33"/>
  <c r="Y54" i="33" s="1"/>
  <c r="AA56" i="50" s="1"/>
  <c r="X18" i="33"/>
  <c r="Y18" i="33" s="1"/>
  <c r="AA20" i="50" s="1"/>
  <c r="X124" i="33"/>
  <c r="Y124" i="33" s="1"/>
  <c r="AA126" i="50" s="1"/>
  <c r="X92" i="33"/>
  <c r="Y92" i="33" s="1"/>
  <c r="AA94" i="50" s="1"/>
  <c r="X57" i="33"/>
  <c r="Y57" i="33" s="1"/>
  <c r="AA59" i="50" s="1"/>
  <c r="X22" i="33"/>
  <c r="Y22" i="33" s="1"/>
  <c r="AA24" i="50" s="1"/>
  <c r="X111" i="33"/>
  <c r="Y111" i="33" s="1"/>
  <c r="AA113" i="50" s="1"/>
  <c r="X78" i="33"/>
  <c r="Y78" i="33" s="1"/>
  <c r="AA80" i="50" s="1"/>
  <c r="X43" i="33"/>
  <c r="Y43" i="33" s="1"/>
  <c r="AA45" i="50" s="1"/>
  <c r="X131" i="33"/>
  <c r="Y131" i="33" s="1"/>
  <c r="AA133" i="50" s="1"/>
  <c r="X98" i="33"/>
  <c r="Y98" i="33" s="1"/>
  <c r="AA100" i="50" s="1"/>
  <c r="X64" i="33"/>
  <c r="Y64" i="33" s="1"/>
  <c r="AA66" i="50" s="1"/>
  <c r="X28" i="33"/>
  <c r="Y28" i="33" s="1"/>
  <c r="AA30" i="50" s="1"/>
  <c r="X117" i="33"/>
  <c r="Y117" i="33" s="1"/>
  <c r="AA119" i="50" s="1"/>
  <c r="X84" i="33"/>
  <c r="Y84" i="33" s="1"/>
  <c r="AA86" i="50" s="1"/>
  <c r="X49" i="33"/>
  <c r="Y49" i="33" s="1"/>
  <c r="AA51" i="50" s="1"/>
  <c r="X14" i="33"/>
  <c r="Y14" i="33" s="1"/>
  <c r="AA16" i="50" s="1"/>
  <c r="X120" i="33"/>
  <c r="Y120" i="33" s="1"/>
  <c r="AA122" i="50" s="1"/>
  <c r="X87" i="33"/>
  <c r="Y87" i="33" s="1"/>
  <c r="AA89" i="50" s="1"/>
  <c r="X53" i="33"/>
  <c r="Y53" i="33" s="1"/>
  <c r="AA55" i="50" s="1"/>
  <c r="X17" i="33"/>
  <c r="Y17" i="33" s="1"/>
  <c r="AA19" i="50" s="1"/>
  <c r="X107" i="33"/>
  <c r="Y107" i="33" s="1"/>
  <c r="AA109" i="50" s="1"/>
  <c r="X74" i="33"/>
  <c r="Y74" i="33" s="1"/>
  <c r="AA76" i="50" s="1"/>
  <c r="X38" i="33"/>
  <c r="Y38" i="33" s="1"/>
  <c r="AA40" i="50" s="1"/>
  <c r="X126" i="33"/>
  <c r="Y126" i="33" s="1"/>
  <c r="AA128" i="50" s="1"/>
  <c r="X94" i="33"/>
  <c r="Y94" i="33" s="1"/>
  <c r="AA96" i="50" s="1"/>
  <c r="X59" i="33"/>
  <c r="Y59" i="33" s="1"/>
  <c r="AA61" i="50" s="1"/>
  <c r="X24" i="33"/>
  <c r="Y24" i="33" s="1"/>
  <c r="AA26" i="50" s="1"/>
  <c r="X113" i="33"/>
  <c r="Y113" i="33" s="1"/>
  <c r="AA115" i="50" s="1"/>
  <c r="X80" i="33"/>
  <c r="Y80" i="33" s="1"/>
  <c r="AA82" i="50" s="1"/>
  <c r="X14" i="43"/>
  <c r="Y14" i="43" s="1"/>
  <c r="AE16" i="50" s="1"/>
  <c r="X18" i="43"/>
  <c r="Y18" i="43" s="1"/>
  <c r="AE20" i="50" s="1"/>
  <c r="X23" i="43"/>
  <c r="Y23" i="43" s="1"/>
  <c r="AE25" i="50" s="1"/>
  <c r="O10" i="56" s="1"/>
  <c r="O9" i="63" s="1"/>
  <c r="X27" i="43"/>
  <c r="Y27" i="43" s="1"/>
  <c r="AE29" i="50" s="1"/>
  <c r="X31" i="43"/>
  <c r="Y31" i="43" s="1"/>
  <c r="AE33" i="50" s="1"/>
  <c r="X35" i="43"/>
  <c r="Y35" i="43" s="1"/>
  <c r="AE37" i="50" s="1"/>
  <c r="X40" i="43"/>
  <c r="Y40" i="43" s="1"/>
  <c r="AE42" i="50" s="1"/>
  <c r="X45" i="43"/>
  <c r="Y45" i="43" s="1"/>
  <c r="AE47" i="50" s="1"/>
  <c r="X49" i="43"/>
  <c r="Y49" i="43" s="1"/>
  <c r="AE51" i="50" s="1"/>
  <c r="X54" i="43"/>
  <c r="Y54" i="43" s="1"/>
  <c r="AE56" i="50" s="1"/>
  <c r="X58" i="43"/>
  <c r="Y58" i="43" s="1"/>
  <c r="AE60" i="50" s="1"/>
  <c r="X63" i="43"/>
  <c r="Y63" i="43" s="1"/>
  <c r="AE65" i="50" s="1"/>
  <c r="X68" i="43"/>
  <c r="Y68" i="43" s="1"/>
  <c r="AE70" i="50" s="1"/>
  <c r="X72" i="43"/>
  <c r="Y72" i="43" s="1"/>
  <c r="AE74" i="50" s="1"/>
  <c r="X76" i="43"/>
  <c r="Y76" i="43" s="1"/>
  <c r="AE78" i="50" s="1"/>
  <c r="X80" i="43"/>
  <c r="Y80" i="43" s="1"/>
  <c r="AE82" i="50" s="1"/>
  <c r="X84" i="43"/>
  <c r="Y84" i="43" s="1"/>
  <c r="AE86" i="50" s="1"/>
  <c r="X89" i="43"/>
  <c r="Y89" i="43" s="1"/>
  <c r="AE91" i="50" s="1"/>
  <c r="X93" i="43"/>
  <c r="Y93" i="43" s="1"/>
  <c r="AE95" i="50" s="1"/>
  <c r="X97" i="43"/>
  <c r="Y97" i="43" s="1"/>
  <c r="AE99" i="50" s="1"/>
  <c r="X101" i="43"/>
  <c r="Y101" i="43" s="1"/>
  <c r="AE103" i="50" s="1"/>
  <c r="X105" i="43"/>
  <c r="Y105" i="43" s="1"/>
  <c r="AE107" i="50" s="1"/>
  <c r="X109" i="43"/>
  <c r="Y109" i="43" s="1"/>
  <c r="AE111" i="50" s="1"/>
  <c r="X113" i="43"/>
  <c r="Y113" i="43" s="1"/>
  <c r="AE115" i="50" s="1"/>
  <c r="X117" i="43"/>
  <c r="Y117" i="43" s="1"/>
  <c r="AE119" i="50" s="1"/>
  <c r="X121" i="43"/>
  <c r="Y121" i="43" s="1"/>
  <c r="AE123" i="50" s="1"/>
  <c r="X125" i="43"/>
  <c r="Y125" i="43" s="1"/>
  <c r="AE127" i="50" s="1"/>
  <c r="X130" i="43"/>
  <c r="Y130" i="43" s="1"/>
  <c r="AE132" i="50" s="1"/>
  <c r="X134" i="43"/>
  <c r="Y134" i="43" s="1"/>
  <c r="AE136" i="50" s="1"/>
  <c r="X12" i="43"/>
  <c r="Y12" i="43" s="1"/>
  <c r="AE14" i="50" s="1"/>
  <c r="X15" i="43"/>
  <c r="Y15" i="43" s="1"/>
  <c r="AE17" i="50" s="1"/>
  <c r="X19" i="43"/>
  <c r="Y19" i="43" s="1"/>
  <c r="AE21" i="50" s="1"/>
  <c r="X24" i="43"/>
  <c r="Y24" i="43" s="1"/>
  <c r="AE26" i="50" s="1"/>
  <c r="X28" i="43"/>
  <c r="Y28" i="43" s="1"/>
  <c r="AE30" i="50" s="1"/>
  <c r="X32" i="43"/>
  <c r="Y32" i="43" s="1"/>
  <c r="AE34" i="50" s="1"/>
  <c r="X37" i="43"/>
  <c r="Y37" i="43" s="1"/>
  <c r="AE39" i="50" s="1"/>
  <c r="X42" i="43"/>
  <c r="Y42" i="43" s="1"/>
  <c r="AE44" i="50" s="1"/>
  <c r="X46" i="43"/>
  <c r="Y46" i="43" s="1"/>
  <c r="AE48" i="50" s="1"/>
  <c r="X50" i="43"/>
  <c r="Y50" i="43" s="1"/>
  <c r="AE52" i="50" s="1"/>
  <c r="X55" i="43"/>
  <c r="Y55" i="43" s="1"/>
  <c r="AE57" i="50" s="1"/>
  <c r="X59" i="43"/>
  <c r="Y59" i="43" s="1"/>
  <c r="AE61" i="50" s="1"/>
  <c r="X64" i="43"/>
  <c r="Y64" i="43" s="1"/>
  <c r="AE66" i="50" s="1"/>
  <c r="X69" i="43"/>
  <c r="Y69" i="43" s="1"/>
  <c r="AE71" i="50" s="1"/>
  <c r="V10" i="56" s="1"/>
  <c r="V9" i="63" s="1"/>
  <c r="X73" i="43"/>
  <c r="Y73" i="43" s="1"/>
  <c r="AE75" i="50" s="1"/>
  <c r="X77" i="43"/>
  <c r="Y77" i="43" s="1"/>
  <c r="AE79" i="50" s="1"/>
  <c r="X81" i="43"/>
  <c r="Y81" i="43" s="1"/>
  <c r="AE83" i="50" s="1"/>
  <c r="X85" i="43"/>
  <c r="Y85" i="43" s="1"/>
  <c r="AE87" i="50" s="1"/>
  <c r="X90" i="43"/>
  <c r="Y90" i="43" s="1"/>
  <c r="AE92" i="50" s="1"/>
  <c r="X94" i="43"/>
  <c r="Y94" i="43" s="1"/>
  <c r="AE96" i="50" s="1"/>
  <c r="X98" i="43"/>
  <c r="Y98" i="43" s="1"/>
  <c r="AE100" i="50" s="1"/>
  <c r="X102" i="43"/>
  <c r="Y102" i="43" s="1"/>
  <c r="AE104" i="50" s="1"/>
  <c r="X106" i="43"/>
  <c r="Y106" i="43" s="1"/>
  <c r="AE108" i="50" s="1"/>
  <c r="X110" i="43"/>
  <c r="Y110" i="43" s="1"/>
  <c r="AE112" i="50" s="1"/>
  <c r="X114" i="43"/>
  <c r="Y114" i="43" s="1"/>
  <c r="AE116" i="50" s="1"/>
  <c r="X118" i="43"/>
  <c r="Y118" i="43" s="1"/>
  <c r="AE120" i="50" s="1"/>
  <c r="X122" i="43"/>
  <c r="Y122" i="43" s="1"/>
  <c r="AE124" i="50" s="1"/>
  <c r="X126" i="43"/>
  <c r="Y126" i="43" s="1"/>
  <c r="AE128" i="50" s="1"/>
  <c r="X131" i="43"/>
  <c r="Y131" i="43" s="1"/>
  <c r="AE133" i="50" s="1"/>
  <c r="X135" i="43"/>
  <c r="Y135" i="43" s="1"/>
  <c r="AE137" i="50" s="1"/>
  <c r="X16" i="43"/>
  <c r="Y16" i="43" s="1"/>
  <c r="AE18" i="50" s="1"/>
  <c r="X20" i="43"/>
  <c r="Y20" i="43" s="1"/>
  <c r="AE22" i="50" s="1"/>
  <c r="X25" i="43"/>
  <c r="Y25" i="43" s="1"/>
  <c r="AE27" i="50" s="1"/>
  <c r="X29" i="43"/>
  <c r="Y29" i="43" s="1"/>
  <c r="AE31" i="50" s="1"/>
  <c r="X33" i="43"/>
  <c r="Y33" i="43" s="1"/>
  <c r="AE35" i="50" s="1"/>
  <c r="X38" i="43"/>
  <c r="Y38" i="43" s="1"/>
  <c r="AE40" i="50" s="1"/>
  <c r="X43" i="43"/>
  <c r="Y43" i="43" s="1"/>
  <c r="AE45" i="50" s="1"/>
  <c r="X47" i="43"/>
  <c r="Y47" i="43" s="1"/>
  <c r="AE49" i="50" s="1"/>
  <c r="X52" i="43"/>
  <c r="Y52" i="43" s="1"/>
  <c r="AE54" i="50" s="1"/>
  <c r="X56" i="43"/>
  <c r="Y56" i="43" s="1"/>
  <c r="AE58" i="50" s="1"/>
  <c r="X60" i="43"/>
  <c r="Y60" i="43" s="1"/>
  <c r="AE62" i="50" s="1"/>
  <c r="X65" i="43"/>
  <c r="Y65" i="43" s="1"/>
  <c r="AE67" i="50" s="1"/>
  <c r="X70" i="43"/>
  <c r="Y70" i="43" s="1"/>
  <c r="AE72" i="50" s="1"/>
  <c r="X74" i="43"/>
  <c r="Y74" i="43" s="1"/>
  <c r="AE76" i="50" s="1"/>
  <c r="X78" i="43"/>
  <c r="Y78" i="43" s="1"/>
  <c r="AE80" i="50" s="1"/>
  <c r="X82" i="43"/>
  <c r="Y82" i="43" s="1"/>
  <c r="AE84" i="50" s="1"/>
  <c r="X86" i="43"/>
  <c r="Y86" i="43" s="1"/>
  <c r="AE88" i="50" s="1"/>
  <c r="X91" i="43"/>
  <c r="Y91" i="43" s="1"/>
  <c r="AE93" i="50" s="1"/>
  <c r="X95" i="43"/>
  <c r="Y95" i="43" s="1"/>
  <c r="AE97" i="50" s="1"/>
  <c r="AC10" i="56" s="1"/>
  <c r="AC9" i="63" s="1"/>
  <c r="X99" i="43"/>
  <c r="Y99" i="43" s="1"/>
  <c r="AE101" i="50" s="1"/>
  <c r="X103" i="43"/>
  <c r="Y103" i="43" s="1"/>
  <c r="AE105" i="50" s="1"/>
  <c r="X107" i="43"/>
  <c r="Y107" i="43" s="1"/>
  <c r="AE109" i="50" s="1"/>
  <c r="X111" i="43"/>
  <c r="Y111" i="43" s="1"/>
  <c r="AE113" i="50" s="1"/>
  <c r="X115" i="43"/>
  <c r="Y115" i="43" s="1"/>
  <c r="AE117" i="50" s="1"/>
  <c r="X119" i="43"/>
  <c r="Y119" i="43" s="1"/>
  <c r="AE121" i="50" s="1"/>
  <c r="X123" i="43"/>
  <c r="Y123" i="43" s="1"/>
  <c r="AE125" i="50" s="1"/>
  <c r="X128" i="43"/>
  <c r="Y128" i="43" s="1"/>
  <c r="AE130" i="50" s="1"/>
  <c r="X132" i="43"/>
  <c r="Y132" i="43" s="1"/>
  <c r="AE134" i="50" s="1"/>
  <c r="X136" i="43"/>
  <c r="Y136" i="43" s="1"/>
  <c r="AE138" i="50" s="1"/>
  <c r="X17" i="43"/>
  <c r="Y17" i="43" s="1"/>
  <c r="AE19" i="50" s="1"/>
  <c r="X22" i="43"/>
  <c r="Y22" i="43" s="1"/>
  <c r="AE24" i="50" s="1"/>
  <c r="X26" i="43"/>
  <c r="Y26" i="43" s="1"/>
  <c r="AE28" i="50" s="1"/>
  <c r="X30" i="43"/>
  <c r="Y30" i="43" s="1"/>
  <c r="AE32" i="50" s="1"/>
  <c r="X34" i="43"/>
  <c r="Y34" i="43" s="1"/>
  <c r="AE36" i="50" s="1"/>
  <c r="X39" i="43"/>
  <c r="Y39" i="43" s="1"/>
  <c r="AE41" i="50" s="1"/>
  <c r="X44" i="43"/>
  <c r="Y44" i="43" s="1"/>
  <c r="AE46" i="50" s="1"/>
  <c r="X48" i="43"/>
  <c r="Y48" i="43" s="1"/>
  <c r="AE50" i="50" s="1"/>
  <c r="X53" i="43"/>
  <c r="Y53" i="43" s="1"/>
  <c r="AE55" i="50" s="1"/>
  <c r="X57" i="43"/>
  <c r="Y57" i="43" s="1"/>
  <c r="AE59" i="50" s="1"/>
  <c r="X62" i="43"/>
  <c r="Y62" i="43" s="1"/>
  <c r="AE64" i="50" s="1"/>
  <c r="X66" i="43"/>
  <c r="Y66" i="43" s="1"/>
  <c r="AE68" i="50" s="1"/>
  <c r="X71" i="43"/>
  <c r="Y71" i="43" s="1"/>
  <c r="AE73" i="50" s="1"/>
  <c r="X75" i="43"/>
  <c r="Y75" i="43" s="1"/>
  <c r="AE77" i="50" s="1"/>
  <c r="X79" i="43"/>
  <c r="Y79" i="43" s="1"/>
  <c r="AE81" i="50" s="1"/>
  <c r="X83" i="43"/>
  <c r="Y83" i="43" s="1"/>
  <c r="AE85" i="50" s="1"/>
  <c r="X87" i="43"/>
  <c r="Y87" i="43" s="1"/>
  <c r="AE89" i="50" s="1"/>
  <c r="X92" i="43"/>
  <c r="Y92" i="43" s="1"/>
  <c r="AE94" i="50" s="1"/>
  <c r="X96" i="43"/>
  <c r="Y96" i="43" s="1"/>
  <c r="AE98" i="50" s="1"/>
  <c r="X100" i="43"/>
  <c r="Y100" i="43" s="1"/>
  <c r="AE102" i="50" s="1"/>
  <c r="X104" i="43"/>
  <c r="Y104" i="43" s="1"/>
  <c r="AE106" i="50" s="1"/>
  <c r="X108" i="43"/>
  <c r="Y108" i="43" s="1"/>
  <c r="AE110" i="50" s="1"/>
  <c r="X112" i="43"/>
  <c r="Y112" i="43" s="1"/>
  <c r="AE114" i="50" s="1"/>
  <c r="X116" i="43"/>
  <c r="Y116" i="43" s="1"/>
  <c r="AE118" i="50" s="1"/>
  <c r="X120" i="43"/>
  <c r="Y120" i="43" s="1"/>
  <c r="AE122" i="50" s="1"/>
  <c r="X124" i="43"/>
  <c r="Y124" i="43" s="1"/>
  <c r="AE126" i="50" s="1"/>
  <c r="X129" i="43"/>
  <c r="Y129" i="43" s="1"/>
  <c r="AE131" i="50" s="1"/>
  <c r="X133" i="43"/>
  <c r="Y133" i="43" s="1"/>
  <c r="AE135" i="50" s="1"/>
  <c r="X137" i="43"/>
  <c r="Y137" i="43" s="1"/>
  <c r="AE139" i="50" s="1"/>
  <c r="X18" i="42"/>
  <c r="Y18" i="42" s="1"/>
  <c r="K20" i="50" s="1"/>
  <c r="X93" i="42"/>
  <c r="Y93" i="42" s="1"/>
  <c r="K95" i="50" s="1"/>
  <c r="X84" i="42"/>
  <c r="Y84" i="42" s="1"/>
  <c r="K86" i="50" s="1"/>
  <c r="X66" i="42"/>
  <c r="Y66" i="42" s="1"/>
  <c r="K68" i="50" s="1"/>
  <c r="X20" i="42"/>
  <c r="Y20" i="42" s="1"/>
  <c r="K22" i="50" s="1"/>
  <c r="X31" i="44"/>
  <c r="Y31" i="44" s="1"/>
  <c r="O33" i="50" s="1"/>
  <c r="X34" i="44"/>
  <c r="Y34" i="44" s="1"/>
  <c r="O36" i="50" s="1"/>
  <c r="X54" i="44"/>
  <c r="Y54" i="44" s="1"/>
  <c r="O56" i="50" s="1"/>
  <c r="X122" i="44"/>
  <c r="Y122" i="44" s="1"/>
  <c r="O124" i="50" s="1"/>
  <c r="X90" i="44"/>
  <c r="Y90" i="44" s="1"/>
  <c r="O92" i="50" s="1"/>
  <c r="X48" i="44"/>
  <c r="Y48" i="44" s="1"/>
  <c r="O50" i="50" s="1"/>
  <c r="X25" i="44"/>
  <c r="Y25" i="44" s="1"/>
  <c r="O27" i="50" s="1"/>
  <c r="X86" i="44"/>
  <c r="Y86" i="44" s="1"/>
  <c r="O88" i="50" s="1"/>
  <c r="X113" i="44"/>
  <c r="Y113" i="44" s="1"/>
  <c r="O115" i="50" s="1"/>
  <c r="X130" i="44"/>
  <c r="Y130" i="44" s="1"/>
  <c r="O132" i="50" s="1"/>
  <c r="X18" i="44"/>
  <c r="Y18" i="44" s="1"/>
  <c r="O20" i="50" s="1"/>
  <c r="X60" i="44"/>
  <c r="Y60" i="44" s="1"/>
  <c r="O62" i="50" s="1"/>
  <c r="X69" i="44"/>
  <c r="Y69" i="44" s="1"/>
  <c r="O71" i="50" s="1"/>
  <c r="X96" i="44"/>
  <c r="Y96" i="44" s="1"/>
  <c r="O98" i="50" s="1"/>
  <c r="AC6" i="63" s="1"/>
  <c r="X95" i="44"/>
  <c r="Y95" i="44" s="1"/>
  <c r="O97" i="50" s="1"/>
  <c r="AC6" i="56" s="1"/>
  <c r="X62" i="44"/>
  <c r="Y62" i="44" s="1"/>
  <c r="O64" i="50" s="1"/>
  <c r="X26" i="44"/>
  <c r="Y26" i="44" s="1"/>
  <c r="O28" i="50" s="1"/>
  <c r="X87" i="44"/>
  <c r="Y87" i="44" s="1"/>
  <c r="O89" i="50" s="1"/>
  <c r="X114" i="44"/>
  <c r="Y114" i="44" s="1"/>
  <c r="O116" i="50" s="1"/>
  <c r="X131" i="44"/>
  <c r="Y131" i="44" s="1"/>
  <c r="O133" i="50" s="1"/>
  <c r="X115" i="44"/>
  <c r="Y115" i="44" s="1"/>
  <c r="O117" i="50" s="1"/>
  <c r="X50" i="44"/>
  <c r="Y50" i="44" s="1"/>
  <c r="O52" i="50" s="1"/>
  <c r="X78" i="44"/>
  <c r="Y78" i="44" s="1"/>
  <c r="O80" i="50" s="1"/>
  <c r="X105" i="44"/>
  <c r="Y105" i="44" s="1"/>
  <c r="O107" i="50" s="1"/>
  <c r="X23" i="44"/>
  <c r="Y23" i="44" s="1"/>
  <c r="O25" i="50" s="1"/>
  <c r="X32" i="44"/>
  <c r="Y32" i="44" s="1"/>
  <c r="O34" i="50" s="1"/>
  <c r="X52" i="44"/>
  <c r="Y52" i="44" s="1"/>
  <c r="O54" i="50" s="1"/>
  <c r="X120" i="44"/>
  <c r="Y120" i="44" s="1"/>
  <c r="O122" i="50" s="1"/>
  <c r="X137" i="44"/>
  <c r="Y137" i="44" s="1"/>
  <c r="O139" i="50" s="1"/>
  <c r="X68" i="44"/>
  <c r="Y68" i="44" s="1"/>
  <c r="O70" i="50" s="1"/>
  <c r="X22" i="44"/>
  <c r="Y22" i="44" s="1"/>
  <c r="O24" i="50" s="1"/>
  <c r="X83" i="44"/>
  <c r="Y83" i="44" s="1"/>
  <c r="O85" i="50" s="1"/>
  <c r="X110" i="44"/>
  <c r="Y110" i="44" s="1"/>
  <c r="O112" i="50" s="1"/>
  <c r="X27" i="44"/>
  <c r="Y27" i="44" s="1"/>
  <c r="O29" i="50" s="1"/>
  <c r="X91" i="44"/>
  <c r="Y91" i="44" s="1"/>
  <c r="O93" i="50" s="1"/>
  <c r="X46" i="44"/>
  <c r="Y46" i="44" s="1"/>
  <c r="O48" i="50" s="1"/>
  <c r="X74" i="44"/>
  <c r="Y74" i="44" s="1"/>
  <c r="O76" i="50" s="1"/>
  <c r="X101" i="44"/>
  <c r="Y101" i="44" s="1"/>
  <c r="O103" i="50" s="1"/>
  <c r="X55" i="44"/>
  <c r="Y55" i="44" s="1"/>
  <c r="O57" i="50" s="1"/>
  <c r="X28" i="44"/>
  <c r="Y28" i="44" s="1"/>
  <c r="O30" i="50" s="1"/>
  <c r="X63" i="44"/>
  <c r="Y63" i="44" s="1"/>
  <c r="O65" i="50" s="1"/>
  <c r="X116" i="44"/>
  <c r="Y116" i="44" s="1"/>
  <c r="O118" i="50" s="1"/>
  <c r="X133" i="44"/>
  <c r="Y133" i="44" s="1"/>
  <c r="O135" i="50" s="1"/>
  <c r="X38" i="44"/>
  <c r="Y38" i="44" s="1"/>
  <c r="O40" i="50" s="1"/>
  <c r="X107" i="44"/>
  <c r="Y107" i="44" s="1"/>
  <c r="O109" i="50" s="1"/>
  <c r="X37" i="44"/>
  <c r="Y37" i="44" s="1"/>
  <c r="O39" i="50" s="1"/>
  <c r="X79" i="44"/>
  <c r="Y79" i="44" s="1"/>
  <c r="O81" i="50" s="1"/>
  <c r="X106" i="44"/>
  <c r="Y106" i="44" s="1"/>
  <c r="O108" i="50" s="1"/>
  <c r="X66" i="44"/>
  <c r="Y66" i="44" s="1"/>
  <c r="O68" i="50" s="1"/>
  <c r="X19" i="44"/>
  <c r="Y19" i="44" s="1"/>
  <c r="O21" i="50" s="1"/>
  <c r="X42" i="44"/>
  <c r="Y42" i="44" s="1"/>
  <c r="O44" i="50" s="1"/>
  <c r="X70" i="44"/>
  <c r="Y70" i="44" s="1"/>
  <c r="O72" i="50" s="1"/>
  <c r="X97" i="44"/>
  <c r="Y97" i="44" s="1"/>
  <c r="O99" i="50" s="1"/>
  <c r="X76" i="44"/>
  <c r="Y76" i="44" s="1"/>
  <c r="O78" i="50" s="1"/>
  <c r="X24" i="44"/>
  <c r="Y24" i="44" s="1"/>
  <c r="O26" i="50" s="1"/>
  <c r="X85" i="44"/>
  <c r="Y85" i="44" s="1"/>
  <c r="O87" i="50" s="1"/>
  <c r="X112" i="44"/>
  <c r="Y112" i="44" s="1"/>
  <c r="O114" i="50" s="1"/>
  <c r="X129" i="44"/>
  <c r="Y129" i="44" s="1"/>
  <c r="O131" i="50" s="1"/>
  <c r="X84" i="44"/>
  <c r="Y84" i="44" s="1"/>
  <c r="O86" i="50" s="1"/>
  <c r="X132" i="44"/>
  <c r="Y132" i="44" s="1"/>
  <c r="O134" i="50" s="1"/>
  <c r="X47" i="44"/>
  <c r="Y47" i="44" s="1"/>
  <c r="O49" i="50" s="1"/>
  <c r="X75" i="44"/>
  <c r="Y75" i="44" s="1"/>
  <c r="O77" i="50" s="1"/>
  <c r="X102" i="44"/>
  <c r="Y102" i="44" s="1"/>
  <c r="O104" i="50" s="1"/>
  <c r="X123" i="44"/>
  <c r="Y123" i="44" s="1"/>
  <c r="O125" i="50" s="1"/>
  <c r="X15" i="44"/>
  <c r="Y15" i="44" s="1"/>
  <c r="O17" i="50" s="1"/>
  <c r="X57" i="44"/>
  <c r="Y57" i="44" s="1"/>
  <c r="O59" i="50" s="1"/>
  <c r="X125" i="44"/>
  <c r="Y125" i="44" s="1"/>
  <c r="O127" i="50" s="1"/>
  <c r="X93" i="44"/>
  <c r="Y93" i="44" s="1"/>
  <c r="O95" i="50" s="1"/>
  <c r="X119" i="44"/>
  <c r="Y119" i="44" s="1"/>
  <c r="O121" i="50" s="1"/>
  <c r="X39" i="44"/>
  <c r="Y39" i="44" s="1"/>
  <c r="O41" i="50" s="1"/>
  <c r="X81" i="44"/>
  <c r="Y81" i="44" s="1"/>
  <c r="O83" i="50" s="1"/>
  <c r="X108" i="44"/>
  <c r="Y108" i="44" s="1"/>
  <c r="O110" i="50" s="1"/>
  <c r="X35" i="44"/>
  <c r="Y35" i="44" s="1"/>
  <c r="O37" i="50" s="1"/>
  <c r="X111" i="44"/>
  <c r="Y111" i="44" s="1"/>
  <c r="O113" i="50" s="1"/>
  <c r="X20" i="44"/>
  <c r="Y20" i="44" s="1"/>
  <c r="O22" i="50" s="1"/>
  <c r="X43" i="44"/>
  <c r="Y43" i="44" s="1"/>
  <c r="O45" i="50" s="1"/>
  <c r="X71" i="44"/>
  <c r="Y71" i="44" s="1"/>
  <c r="O73" i="50" s="1"/>
  <c r="X98" i="44"/>
  <c r="Y98" i="44" s="1"/>
  <c r="O100" i="50" s="1"/>
  <c r="X99" i="44"/>
  <c r="Y99" i="44" s="1"/>
  <c r="O101" i="50" s="1"/>
  <c r="X33" i="44"/>
  <c r="Y33" i="44" s="1"/>
  <c r="O35" i="50" s="1"/>
  <c r="X53" i="44"/>
  <c r="Y53" i="44" s="1"/>
  <c r="O55" i="50" s="1"/>
  <c r="X121" i="44"/>
  <c r="Y121" i="44" s="1"/>
  <c r="O123" i="50" s="1"/>
  <c r="X89" i="44"/>
  <c r="Y89" i="44" s="1"/>
  <c r="O91" i="50" s="1"/>
  <c r="X103" i="44"/>
  <c r="Y103" i="44" s="1"/>
  <c r="O105" i="50" s="1"/>
  <c r="X49" i="44"/>
  <c r="Y49" i="44" s="1"/>
  <c r="O51" i="50" s="1"/>
  <c r="X77" i="44"/>
  <c r="Y77" i="44" s="1"/>
  <c r="O79" i="50" s="1"/>
  <c r="X104" i="44"/>
  <c r="Y104" i="44" s="1"/>
  <c r="O106" i="50" s="1"/>
  <c r="X125" i="42"/>
  <c r="Y125" i="42" s="1"/>
  <c r="K127" i="50" s="1"/>
  <c r="X99" i="42"/>
  <c r="Y99" i="42" s="1"/>
  <c r="K101" i="50" s="1"/>
  <c r="X60" i="42"/>
  <c r="Y60" i="42" s="1"/>
  <c r="K62" i="50" s="1"/>
  <c r="X14" i="42"/>
  <c r="Y14" i="42" s="1"/>
  <c r="K16" i="50" s="1"/>
  <c r="X73" i="42"/>
  <c r="Y73" i="42" s="1"/>
  <c r="K75" i="50" s="1"/>
  <c r="X110" i="42"/>
  <c r="Y110" i="42" s="1"/>
  <c r="K112" i="50" s="1"/>
  <c r="X133" i="42"/>
  <c r="Y133" i="42" s="1"/>
  <c r="K135" i="50" s="1"/>
  <c r="X78" i="42"/>
  <c r="Y78" i="42" s="1"/>
  <c r="K80" i="50" s="1"/>
  <c r="X69" i="42"/>
  <c r="Y69" i="42" s="1"/>
  <c r="K71" i="50" s="1"/>
  <c r="X92" i="42"/>
  <c r="Y92" i="42" s="1"/>
  <c r="K94" i="50" s="1"/>
  <c r="X97" i="42"/>
  <c r="Y97" i="42" s="1"/>
  <c r="K99" i="50" s="1"/>
  <c r="X136" i="42"/>
  <c r="Y136" i="42" s="1"/>
  <c r="K138" i="50" s="1"/>
  <c r="X25" i="42"/>
  <c r="Y25" i="42" s="1"/>
  <c r="K27" i="50" s="1"/>
  <c r="X26" i="42"/>
  <c r="Y26" i="42" s="1"/>
  <c r="K28" i="50" s="1"/>
  <c r="X102" i="42"/>
  <c r="Y102" i="42" s="1"/>
  <c r="K104" i="50" s="1"/>
  <c r="X101" i="42"/>
  <c r="Y101" i="42" s="1"/>
  <c r="K103" i="50" s="1"/>
  <c r="X100" i="42"/>
  <c r="Y100" i="42" s="1"/>
  <c r="K102" i="50" s="1"/>
  <c r="X91" i="42"/>
  <c r="Y91" i="42" s="1"/>
  <c r="K93" i="50" s="1"/>
  <c r="X130" i="42"/>
  <c r="Y130" i="42" s="1"/>
  <c r="K132" i="50" s="1"/>
  <c r="X32" i="42"/>
  <c r="Y32" i="42" s="1"/>
  <c r="K34" i="50" s="1"/>
  <c r="X40" i="42"/>
  <c r="Y40" i="42" s="1"/>
  <c r="K42" i="50" s="1"/>
  <c r="X48" i="42"/>
  <c r="Y48" i="42" s="1"/>
  <c r="K50" i="50" s="1"/>
  <c r="X114" i="42"/>
  <c r="Y114" i="42" s="1"/>
  <c r="K116" i="50" s="1"/>
  <c r="X137" i="42"/>
  <c r="Y137" i="42" s="1"/>
  <c r="K139" i="50" s="1"/>
  <c r="X111" i="42"/>
  <c r="Y111" i="42" s="1"/>
  <c r="K113" i="50" s="1"/>
  <c r="X15" i="42"/>
  <c r="Y15" i="42" s="1"/>
  <c r="K17" i="50" s="1"/>
  <c r="X31" i="42"/>
  <c r="Y31" i="42" s="1"/>
  <c r="K33" i="50" s="1"/>
  <c r="X39" i="42"/>
  <c r="Y39" i="42" s="1"/>
  <c r="K41" i="50" s="1"/>
  <c r="X81" i="42"/>
  <c r="Y81" i="42" s="1"/>
  <c r="K83" i="50" s="1"/>
  <c r="X96" i="42"/>
  <c r="Y96" i="42" s="1"/>
  <c r="K98" i="50" s="1"/>
  <c r="AC5" i="63" s="1"/>
  <c r="X126" i="42"/>
  <c r="Y126" i="42" s="1"/>
  <c r="K128" i="50" s="1"/>
  <c r="X134" i="42"/>
  <c r="Y134" i="42" s="1"/>
  <c r="K136" i="50" s="1"/>
  <c r="X33" i="42"/>
  <c r="Y33" i="42" s="1"/>
  <c r="K35" i="50" s="1"/>
  <c r="X132" i="42"/>
  <c r="Y132" i="42" s="1"/>
  <c r="K134" i="50" s="1"/>
  <c r="X46" i="42"/>
  <c r="Y46" i="42" s="1"/>
  <c r="K48" i="50" s="1"/>
  <c r="X63" i="42"/>
  <c r="Y63" i="42" s="1"/>
  <c r="K65" i="50" s="1"/>
  <c r="X104" i="42"/>
  <c r="Y104" i="42" s="1"/>
  <c r="K106" i="50" s="1"/>
  <c r="X71" i="42"/>
  <c r="Y71" i="42" s="1"/>
  <c r="K73" i="50" s="1"/>
  <c r="X89" i="42"/>
  <c r="Y89" i="42" s="1"/>
  <c r="K91" i="50" s="1"/>
  <c r="X135" i="42"/>
  <c r="Y135" i="42" s="1"/>
  <c r="K137" i="50" s="1"/>
  <c r="X42" i="42"/>
  <c r="Y42" i="42" s="1"/>
  <c r="K44" i="50" s="1"/>
  <c r="X109" i="42"/>
  <c r="Y109" i="42" s="1"/>
  <c r="K111" i="50" s="1"/>
  <c r="X23" i="42"/>
  <c r="Y23" i="42" s="1"/>
  <c r="K25" i="50" s="1"/>
  <c r="X75" i="42"/>
  <c r="Y75" i="42" s="1"/>
  <c r="K77" i="50" s="1"/>
  <c r="X107" i="42"/>
  <c r="Y107" i="42" s="1"/>
  <c r="K109" i="50" s="1"/>
  <c r="X90" i="42"/>
  <c r="Y90" i="42" s="1"/>
  <c r="K92" i="50" s="1"/>
  <c r="X105" i="42"/>
  <c r="Y105" i="42" s="1"/>
  <c r="K107" i="50" s="1"/>
  <c r="X112" i="42"/>
  <c r="Y112" i="42" s="1"/>
  <c r="K114" i="50" s="1"/>
  <c r="X85" i="42"/>
  <c r="Y85" i="42" s="1"/>
  <c r="K87" i="50" s="1"/>
  <c r="X103" i="42"/>
  <c r="Y103" i="42" s="1"/>
  <c r="K105" i="50" s="1"/>
  <c r="X68" i="42"/>
  <c r="Y68" i="42" s="1"/>
  <c r="K70" i="50" s="1"/>
  <c r="X116" i="42"/>
  <c r="Y116" i="42" s="1"/>
  <c r="K118" i="50" s="1"/>
  <c r="X30" i="42"/>
  <c r="Y30" i="42" s="1"/>
  <c r="K32" i="50" s="1"/>
  <c r="X38" i="42"/>
  <c r="Y38" i="42" s="1"/>
  <c r="K40" i="50" s="1"/>
  <c r="X19" i="42"/>
  <c r="Y19" i="42" s="1"/>
  <c r="K21" i="50" s="1"/>
  <c r="X35" i="42"/>
  <c r="Y35" i="42" s="1"/>
  <c r="K37" i="50" s="1"/>
  <c r="X44" i="42"/>
  <c r="Y44" i="42" s="1"/>
  <c r="K46" i="50" s="1"/>
  <c r="X77" i="42"/>
  <c r="Y77" i="42" s="1"/>
  <c r="K79" i="50" s="1"/>
  <c r="X70" i="42"/>
  <c r="Y70" i="42" s="1"/>
  <c r="K72" i="50" s="1"/>
  <c r="X58" i="42"/>
  <c r="Y58" i="42" s="1"/>
  <c r="K60" i="50" s="1"/>
  <c r="X108" i="42"/>
  <c r="Y108" i="42" s="1"/>
  <c r="K110" i="50" s="1"/>
  <c r="X22" i="42"/>
  <c r="Y22" i="42" s="1"/>
  <c r="K24" i="50" s="1"/>
  <c r="X29" i="42"/>
  <c r="Y29" i="42" s="1"/>
  <c r="K31" i="50" s="1"/>
  <c r="X128" i="42"/>
  <c r="Y128" i="42" s="1"/>
  <c r="K130" i="50" s="1"/>
  <c r="X27" i="42"/>
  <c r="Y27" i="42" s="1"/>
  <c r="K29" i="50" s="1"/>
  <c r="X34" i="42"/>
  <c r="Y34" i="42" s="1"/>
  <c r="K36" i="50" s="1"/>
  <c r="X115" i="42"/>
  <c r="Y115" i="42" s="1"/>
  <c r="K117" i="50" s="1"/>
  <c r="X47" i="42"/>
  <c r="Y47" i="42" s="1"/>
  <c r="K49" i="50" s="1"/>
  <c r="X98" i="42"/>
  <c r="Y98" i="42" s="1"/>
  <c r="K100" i="50" s="1"/>
  <c r="X28" i="42"/>
  <c r="Y28" i="42" s="1"/>
  <c r="K30" i="50" s="1"/>
  <c r="X113" i="42"/>
  <c r="Y113" i="42" s="1"/>
  <c r="K115" i="50" s="1"/>
  <c r="X45" i="42"/>
  <c r="Y45" i="42" s="1"/>
  <c r="K47" i="50" s="1"/>
  <c r="X120" i="42"/>
  <c r="Y120" i="42" s="1"/>
  <c r="K122" i="50" s="1"/>
  <c r="X53" i="42"/>
  <c r="Y53" i="42" s="1"/>
  <c r="K55" i="50" s="1"/>
  <c r="X118" i="42"/>
  <c r="Y118" i="42" s="1"/>
  <c r="K120" i="50" s="1"/>
  <c r="X50" i="42"/>
  <c r="Y50" i="42" s="1"/>
  <c r="K52" i="50" s="1"/>
  <c r="X16" i="42"/>
  <c r="Y16" i="42" s="1"/>
  <c r="K18" i="50" s="1"/>
  <c r="X76" i="42"/>
  <c r="Y76" i="42" s="1"/>
  <c r="K78" i="50" s="1"/>
  <c r="X95" i="42"/>
  <c r="Y95" i="42" s="1"/>
  <c r="K97" i="50" s="1"/>
  <c r="AC5" i="56" s="1"/>
  <c r="X83" i="42"/>
  <c r="Y83" i="42" s="1"/>
  <c r="K85" i="50" s="1"/>
  <c r="X86" i="42"/>
  <c r="Y86" i="42" s="1"/>
  <c r="K88" i="50" s="1"/>
  <c r="X82" i="42"/>
  <c r="Y82" i="42" s="1"/>
  <c r="K84" i="50" s="1"/>
  <c r="X131" i="42"/>
  <c r="Y131" i="42" s="1"/>
  <c r="K133" i="50" s="1"/>
  <c r="X64" i="42"/>
  <c r="Y64" i="42" s="1"/>
  <c r="K66" i="50" s="1"/>
  <c r="X43" i="42"/>
  <c r="Y43" i="42" s="1"/>
  <c r="K45" i="50" s="1"/>
  <c r="X80" i="42"/>
  <c r="Y80" i="42" s="1"/>
  <c r="K82" i="50" s="1"/>
  <c r="X119" i="42"/>
  <c r="Y119" i="42" s="1"/>
  <c r="K121" i="50" s="1"/>
  <c r="X87" i="42"/>
  <c r="Y87" i="42" s="1"/>
  <c r="K89" i="50" s="1"/>
  <c r="X17" i="42"/>
  <c r="Y17" i="42" s="1"/>
  <c r="K19" i="50" s="1"/>
  <c r="X74" i="42"/>
  <c r="Y74" i="42" s="1"/>
  <c r="K76" i="50" s="1"/>
  <c r="X122" i="42"/>
  <c r="Y122" i="42" s="1"/>
  <c r="K124" i="50" s="1"/>
  <c r="X55" i="42"/>
  <c r="Y55" i="42" s="1"/>
  <c r="K57" i="50" s="1"/>
  <c r="X12" i="42"/>
  <c r="Y12" i="42" s="1"/>
  <c r="K14" i="50" s="1"/>
  <c r="X72" i="42"/>
  <c r="Y72" i="42" s="1"/>
  <c r="K74" i="50" s="1"/>
  <c r="X52" i="42"/>
  <c r="Y52" i="42" s="1"/>
  <c r="K54" i="50" s="1"/>
  <c r="X79" i="42"/>
  <c r="Y79" i="42" s="1"/>
  <c r="K81" i="50" s="1"/>
  <c r="X94" i="42"/>
  <c r="Y94" i="42" s="1"/>
  <c r="K96" i="50" s="1"/>
  <c r="X24" i="42"/>
  <c r="Y24" i="42" s="1"/>
  <c r="K26" i="50" s="1"/>
  <c r="X117" i="42"/>
  <c r="Y117" i="42" s="1"/>
  <c r="K119" i="50" s="1"/>
  <c r="X49" i="42"/>
  <c r="Y49" i="42" s="1"/>
  <c r="K51" i="50" s="1"/>
  <c r="X124" i="42"/>
  <c r="Y124" i="42" s="1"/>
  <c r="K126" i="50" s="1"/>
  <c r="X57" i="42"/>
  <c r="Y57" i="42" s="1"/>
  <c r="K59" i="50" s="1"/>
  <c r="X123" i="42"/>
  <c r="Y123" i="42" s="1"/>
  <c r="K125" i="50" s="1"/>
  <c r="X56" i="42"/>
  <c r="Y56" i="42" s="1"/>
  <c r="K58" i="50" s="1"/>
  <c r="X106" i="42"/>
  <c r="Y106" i="42" s="1"/>
  <c r="K108" i="50" s="1"/>
  <c r="X37" i="42"/>
  <c r="Y37" i="42" s="1"/>
  <c r="K39" i="50" s="1"/>
  <c r="X121" i="42"/>
  <c r="Y121" i="42" s="1"/>
  <c r="K123" i="50" s="1"/>
  <c r="X54" i="42"/>
  <c r="Y54" i="42" s="1"/>
  <c r="K56" i="50" s="1"/>
  <c r="X129" i="42"/>
  <c r="Y129" i="42" s="1"/>
  <c r="K131" i="50" s="1"/>
  <c r="F12" i="56" l="1"/>
  <c r="V12" i="56"/>
  <c r="V11" i="63"/>
  <c r="O12" i="56"/>
  <c r="O11" i="63"/>
  <c r="V8" i="56"/>
  <c r="V8" i="63"/>
  <c r="T12" i="56"/>
  <c r="T11" i="63"/>
  <c r="V7" i="56"/>
  <c r="V7" i="63"/>
  <c r="O8" i="56"/>
  <c r="O8" i="63"/>
  <c r="F11" i="56"/>
  <c r="F10" i="63"/>
  <c r="T11" i="56"/>
  <c r="T10" i="63"/>
  <c r="H5" i="56"/>
  <c r="H5" i="63"/>
  <c r="O7" i="56"/>
  <c r="O7" i="63"/>
  <c r="V11" i="56"/>
  <c r="V10" i="63"/>
  <c r="V5" i="56"/>
  <c r="V5" i="63"/>
  <c r="O5" i="56"/>
  <c r="O5" i="63"/>
  <c r="H8" i="56"/>
  <c r="H8" i="63"/>
  <c r="M12" i="56"/>
  <c r="M11" i="63"/>
  <c r="H6" i="56"/>
  <c r="H6" i="63"/>
  <c r="V6" i="56"/>
  <c r="V6" i="63"/>
  <c r="O6" i="56"/>
  <c r="O6" i="63"/>
  <c r="O11" i="56"/>
  <c r="M11" i="56"/>
  <c r="R6" i="62"/>
  <c r="S122" i="50"/>
  <c r="S73" i="50"/>
  <c r="S20" i="50"/>
  <c r="S114" i="50"/>
  <c r="S125" i="50"/>
  <c r="S16" i="50"/>
  <c r="S138" i="50"/>
  <c r="H9" i="56"/>
  <c r="H12" i="56"/>
  <c r="H10" i="56"/>
  <c r="H9" i="63" s="1"/>
  <c r="H11" i="56"/>
  <c r="R4" i="48"/>
  <c r="R4" i="42"/>
  <c r="R4" i="46"/>
  <c r="R4" i="44"/>
  <c r="R4" i="45"/>
  <c r="R4" i="33"/>
  <c r="R4" i="43"/>
  <c r="R4" i="47"/>
  <c r="S24" i="50"/>
  <c r="H7" i="63" s="1"/>
  <c r="S138" i="49"/>
  <c r="V16" i="62" l="1"/>
  <c r="W16" i="62" s="1"/>
  <c r="V17" i="62"/>
  <c r="W17" i="62" s="1"/>
  <c r="V18" i="62"/>
  <c r="W18" i="62" s="1"/>
  <c r="V13" i="62"/>
  <c r="W13" i="62" s="1"/>
  <c r="V15" i="62"/>
  <c r="W15" i="62" s="1"/>
  <c r="V19" i="62"/>
  <c r="W19" i="62" s="1"/>
  <c r="V14" i="62"/>
  <c r="W14" i="62" s="1"/>
  <c r="Y137" i="46"/>
  <c r="S139" i="50" s="1"/>
  <c r="U16" i="46"/>
  <c r="V16" i="46" s="1"/>
  <c r="U24" i="46"/>
  <c r="V24" i="46" s="1"/>
  <c r="U32" i="46"/>
  <c r="V32" i="46" s="1"/>
  <c r="U40" i="46"/>
  <c r="V40" i="46" s="1"/>
  <c r="U48" i="46"/>
  <c r="V48" i="46" s="1"/>
  <c r="U56" i="46"/>
  <c r="V56" i="46" s="1"/>
  <c r="U64" i="46"/>
  <c r="V64" i="46" s="1"/>
  <c r="U72" i="46"/>
  <c r="V72" i="46" s="1"/>
  <c r="U80" i="46"/>
  <c r="V80" i="46" s="1"/>
  <c r="U96" i="46"/>
  <c r="V96" i="46" s="1"/>
  <c r="U104" i="46"/>
  <c r="V104" i="46" s="1"/>
  <c r="U112" i="46"/>
  <c r="V112" i="46" s="1"/>
  <c r="U120" i="46"/>
  <c r="V120" i="46" s="1"/>
  <c r="U128" i="46"/>
  <c r="V128" i="46" s="1"/>
  <c r="U136" i="46"/>
  <c r="V136" i="46" s="1"/>
  <c r="U121" i="46"/>
  <c r="V121" i="46" s="1"/>
  <c r="U17" i="46"/>
  <c r="V17" i="46" s="1"/>
  <c r="U25" i="46"/>
  <c r="V25" i="46" s="1"/>
  <c r="U33" i="46"/>
  <c r="V33" i="46" s="1"/>
  <c r="U49" i="46"/>
  <c r="V49" i="46" s="1"/>
  <c r="U57" i="46"/>
  <c r="V57" i="46" s="1"/>
  <c r="U65" i="46"/>
  <c r="V65" i="46" s="1"/>
  <c r="U73" i="46"/>
  <c r="V73" i="46" s="1"/>
  <c r="U81" i="46"/>
  <c r="V81" i="46" s="1"/>
  <c r="U89" i="46"/>
  <c r="V89" i="46" s="1"/>
  <c r="U97" i="46"/>
  <c r="V97" i="46" s="1"/>
  <c r="U105" i="46"/>
  <c r="V105" i="46" s="1"/>
  <c r="U113" i="46"/>
  <c r="V113" i="46" s="1"/>
  <c r="U18" i="46"/>
  <c r="V18" i="46" s="1"/>
  <c r="U26" i="46"/>
  <c r="V26" i="46" s="1"/>
  <c r="U34" i="46"/>
  <c r="V34" i="46" s="1"/>
  <c r="U42" i="46"/>
  <c r="V42" i="46" s="1"/>
  <c r="U50" i="46"/>
  <c r="V50" i="46" s="1"/>
  <c r="U58" i="46"/>
  <c r="V58" i="46" s="1"/>
  <c r="U66" i="46"/>
  <c r="V66" i="46" s="1"/>
  <c r="U74" i="46"/>
  <c r="V74" i="46" s="1"/>
  <c r="U82" i="46"/>
  <c r="V82" i="46" s="1"/>
  <c r="U90" i="46"/>
  <c r="V90" i="46" s="1"/>
  <c r="U98" i="46"/>
  <c r="V98" i="46" s="1"/>
  <c r="U106" i="46"/>
  <c r="V106" i="46" s="1"/>
  <c r="U114" i="46"/>
  <c r="V114" i="46" s="1"/>
  <c r="U122" i="46"/>
  <c r="V122" i="46" s="1"/>
  <c r="U130" i="46"/>
  <c r="V130" i="46" s="1"/>
  <c r="U12" i="46"/>
  <c r="V12" i="46" s="1"/>
  <c r="U19" i="46"/>
  <c r="V19" i="46" s="1"/>
  <c r="U27" i="46"/>
  <c r="V27" i="46" s="1"/>
  <c r="U35" i="46"/>
  <c r="V35" i="46" s="1"/>
  <c r="U43" i="46"/>
  <c r="V43" i="46" s="1"/>
  <c r="U59" i="46"/>
  <c r="V59" i="46" s="1"/>
  <c r="U75" i="46"/>
  <c r="V75" i="46" s="1"/>
  <c r="U83" i="46"/>
  <c r="V83" i="46" s="1"/>
  <c r="U91" i="46"/>
  <c r="V91" i="46" s="1"/>
  <c r="U99" i="46"/>
  <c r="V99" i="46" s="1"/>
  <c r="U107" i="46"/>
  <c r="V107" i="46" s="1"/>
  <c r="U115" i="46"/>
  <c r="V115" i="46" s="1"/>
  <c r="U123" i="46"/>
  <c r="V123" i="46" s="1"/>
  <c r="U131" i="46"/>
  <c r="V131" i="46" s="1"/>
  <c r="U133" i="46"/>
  <c r="V133" i="46" s="1"/>
  <c r="U20" i="46"/>
  <c r="V20" i="46" s="1"/>
  <c r="U28" i="46"/>
  <c r="V28" i="46" s="1"/>
  <c r="U44" i="46"/>
  <c r="V44" i="46" s="1"/>
  <c r="U52" i="46"/>
  <c r="V52" i="46" s="1"/>
  <c r="U60" i="46"/>
  <c r="V60" i="46" s="1"/>
  <c r="U68" i="46"/>
  <c r="V68" i="46" s="1"/>
  <c r="U76" i="46"/>
  <c r="V76" i="46" s="1"/>
  <c r="U84" i="46"/>
  <c r="V84" i="46" s="1"/>
  <c r="U92" i="46"/>
  <c r="V92" i="46" s="1"/>
  <c r="U100" i="46"/>
  <c r="V100" i="46" s="1"/>
  <c r="U108" i="46"/>
  <c r="V108" i="46" s="1"/>
  <c r="U116" i="46"/>
  <c r="V116" i="46" s="1"/>
  <c r="U124" i="46"/>
  <c r="V124" i="46" s="1"/>
  <c r="U132" i="46"/>
  <c r="V132" i="46" s="1"/>
  <c r="U125" i="46"/>
  <c r="V125" i="46" s="1"/>
  <c r="U29" i="46"/>
  <c r="V29" i="46" s="1"/>
  <c r="U37" i="46"/>
  <c r="V37" i="46" s="1"/>
  <c r="U45" i="46"/>
  <c r="V45" i="46" s="1"/>
  <c r="U53" i="46"/>
  <c r="V53" i="46" s="1"/>
  <c r="U69" i="46"/>
  <c r="V69" i="46" s="1"/>
  <c r="U77" i="46"/>
  <c r="V77" i="46" s="1"/>
  <c r="U85" i="46"/>
  <c r="V85" i="46" s="1"/>
  <c r="U93" i="46"/>
  <c r="V93" i="46" s="1"/>
  <c r="U101" i="46"/>
  <c r="V101" i="46" s="1"/>
  <c r="U109" i="46"/>
  <c r="V109" i="46" s="1"/>
  <c r="U117" i="46"/>
  <c r="V117" i="46" s="1"/>
  <c r="U14" i="46"/>
  <c r="V14" i="46" s="1"/>
  <c r="U22" i="46"/>
  <c r="V22" i="46" s="1"/>
  <c r="U30" i="46"/>
  <c r="V30" i="46" s="1"/>
  <c r="U38" i="46"/>
  <c r="V38" i="46" s="1"/>
  <c r="U46" i="46"/>
  <c r="V46" i="46" s="1"/>
  <c r="U54" i="46"/>
  <c r="V54" i="46" s="1"/>
  <c r="U62" i="46"/>
  <c r="V62" i="46" s="1"/>
  <c r="U70" i="46"/>
  <c r="V70" i="46" s="1"/>
  <c r="U78" i="46"/>
  <c r="V78" i="46" s="1"/>
  <c r="U86" i="46"/>
  <c r="V86" i="46" s="1"/>
  <c r="U94" i="46"/>
  <c r="V94" i="46" s="1"/>
  <c r="U102" i="46"/>
  <c r="V102" i="46" s="1"/>
  <c r="U110" i="46"/>
  <c r="V110" i="46" s="1"/>
  <c r="U118" i="46"/>
  <c r="V118" i="46" s="1"/>
  <c r="U126" i="46"/>
  <c r="V126" i="46" s="1"/>
  <c r="U134" i="46"/>
  <c r="V134" i="46" s="1"/>
  <c r="U137" i="46"/>
  <c r="V137" i="46" s="1"/>
  <c r="R139" i="50" s="1"/>
  <c r="U15" i="46"/>
  <c r="V15" i="46" s="1"/>
  <c r="U23" i="46"/>
  <c r="V23" i="46" s="1"/>
  <c r="U31" i="46"/>
  <c r="V31" i="46" s="1"/>
  <c r="U39" i="46"/>
  <c r="V39" i="46" s="1"/>
  <c r="U47" i="46"/>
  <c r="V47" i="46" s="1"/>
  <c r="U55" i="46"/>
  <c r="V55" i="46" s="1"/>
  <c r="U63" i="46"/>
  <c r="V63" i="46" s="1"/>
  <c r="U71" i="46"/>
  <c r="V71" i="46" s="1"/>
  <c r="U79" i="46"/>
  <c r="V79" i="46" s="1"/>
  <c r="U87" i="46"/>
  <c r="V87" i="46" s="1"/>
  <c r="U95" i="46"/>
  <c r="V95" i="46" s="1"/>
  <c r="U103" i="46"/>
  <c r="V103" i="46" s="1"/>
  <c r="U111" i="46"/>
  <c r="V111" i="46" s="1"/>
  <c r="U119" i="46"/>
  <c r="V119" i="46" s="1"/>
  <c r="U135" i="46"/>
  <c r="V135" i="46" s="1"/>
  <c r="U129" i="46"/>
  <c r="V129" i="46" s="1"/>
  <c r="H7" i="56"/>
  <c r="U57" i="45"/>
  <c r="V57" i="45" s="1"/>
  <c r="H57" i="45" s="1"/>
  <c r="L42" i="64" s="1"/>
  <c r="T42" i="64" s="1"/>
  <c r="U50" i="45"/>
  <c r="V50" i="45" s="1"/>
  <c r="H50" i="45" s="1"/>
  <c r="L36" i="64" s="1"/>
  <c r="T36" i="64" s="1"/>
  <c r="U47" i="45"/>
  <c r="V47" i="45" s="1"/>
  <c r="H47" i="45" s="1"/>
  <c r="L33" i="64" s="1"/>
  <c r="T33" i="64" s="1"/>
  <c r="U53" i="45"/>
  <c r="V53" i="45" s="1"/>
  <c r="H53" i="45" s="1"/>
  <c r="L38" i="64" s="1"/>
  <c r="T38" i="64" s="1"/>
  <c r="U37" i="45"/>
  <c r="V37" i="45" s="1"/>
  <c r="H37" i="45" s="1"/>
  <c r="L24" i="64" s="1"/>
  <c r="T24" i="64" s="1"/>
  <c r="U33" i="45"/>
  <c r="V33" i="45" s="1"/>
  <c r="H33" i="45" s="1"/>
  <c r="L21" i="64" s="1"/>
  <c r="T21" i="64" s="1"/>
  <c r="U84" i="45"/>
  <c r="V84" i="45" s="1"/>
  <c r="H84" i="45" s="1"/>
  <c r="L67" i="64" s="1"/>
  <c r="T67" i="64" s="1"/>
  <c r="U98" i="45"/>
  <c r="V98" i="45" s="1"/>
  <c r="H98" i="45" s="1"/>
  <c r="L79" i="64" s="1"/>
  <c r="T79" i="64" s="1"/>
  <c r="U103" i="45"/>
  <c r="V103" i="45" s="1"/>
  <c r="H103" i="45" s="1"/>
  <c r="L84" i="64" s="1"/>
  <c r="T84" i="64" s="1"/>
  <c r="U18" i="45"/>
  <c r="V18" i="45" s="1"/>
  <c r="H18" i="45" s="1"/>
  <c r="L7" i="64" s="1"/>
  <c r="T7" i="64" s="1"/>
  <c r="U59" i="45"/>
  <c r="V59" i="45" s="1"/>
  <c r="H59" i="45" s="1"/>
  <c r="L44" i="64" s="1"/>
  <c r="T44" i="64" s="1"/>
  <c r="U56" i="45"/>
  <c r="V56" i="45" s="1"/>
  <c r="H56" i="45" s="1"/>
  <c r="L41" i="64" s="1"/>
  <c r="T41" i="64" s="1"/>
  <c r="U62" i="45"/>
  <c r="V62" i="45" s="1"/>
  <c r="H62" i="45" s="1"/>
  <c r="L46" i="64" s="1"/>
  <c r="T46" i="64" s="1"/>
  <c r="U27" i="45"/>
  <c r="V27" i="45" s="1"/>
  <c r="H27" i="45" s="1"/>
  <c r="L15" i="64" s="1"/>
  <c r="T15" i="64" s="1"/>
  <c r="U69" i="45"/>
  <c r="V69" i="45" s="1"/>
  <c r="H69" i="45" s="1"/>
  <c r="L52" i="64" s="1"/>
  <c r="T52" i="64" s="1"/>
  <c r="U65" i="45"/>
  <c r="V65" i="45" s="1"/>
  <c r="H65" i="45" s="1"/>
  <c r="L49" i="64" s="1"/>
  <c r="T49" i="64" s="1"/>
  <c r="U23" i="45"/>
  <c r="V23" i="45" s="1"/>
  <c r="H23" i="45" s="1"/>
  <c r="L11" i="64" s="1"/>
  <c r="T11" i="64" s="1"/>
  <c r="U55" i="45"/>
  <c r="V55" i="45" s="1"/>
  <c r="H55" i="45" s="1"/>
  <c r="L40" i="64" s="1"/>
  <c r="T40" i="64" s="1"/>
  <c r="U52" i="45"/>
  <c r="V52" i="45" s="1"/>
  <c r="H52" i="45" s="1"/>
  <c r="L37" i="64" s="1"/>
  <c r="T37" i="64" s="1"/>
  <c r="U101" i="45"/>
  <c r="V101" i="45" s="1"/>
  <c r="H101" i="45" s="1"/>
  <c r="L82" i="64" s="1"/>
  <c r="T82" i="64" s="1"/>
  <c r="U114" i="45"/>
  <c r="V114" i="45" s="1"/>
  <c r="H114" i="45" s="1"/>
  <c r="L95" i="64" s="1"/>
  <c r="T95" i="64" s="1"/>
  <c r="U48" i="45"/>
  <c r="V48" i="45" s="1"/>
  <c r="H48" i="45" s="1"/>
  <c r="L34" i="64" s="1"/>
  <c r="T34" i="64" s="1"/>
  <c r="U42" i="45"/>
  <c r="V42" i="45" s="1"/>
  <c r="H42" i="45" s="1"/>
  <c r="L28" i="64" s="1"/>
  <c r="T28" i="64" s="1"/>
  <c r="U38" i="45"/>
  <c r="V38" i="45" s="1"/>
  <c r="H38" i="45" s="1"/>
  <c r="L25" i="64" s="1"/>
  <c r="T25" i="64" s="1"/>
  <c r="U44" i="45"/>
  <c r="V44" i="45" s="1"/>
  <c r="H44" i="45" s="1"/>
  <c r="L30" i="64" s="1"/>
  <c r="T30" i="64" s="1"/>
  <c r="U28" i="45"/>
  <c r="V28" i="45" s="1"/>
  <c r="H28" i="45" s="1"/>
  <c r="L16" i="64" s="1"/>
  <c r="T16" i="64" s="1"/>
  <c r="U24" i="45"/>
  <c r="V24" i="45" s="1"/>
  <c r="H24" i="45" s="1"/>
  <c r="L12" i="64" s="1"/>
  <c r="T12" i="64" s="1"/>
  <c r="U26" i="45"/>
  <c r="V26" i="45" s="1"/>
  <c r="H26" i="45" s="1"/>
  <c r="L14" i="64" s="1"/>
  <c r="T14" i="64" s="1"/>
  <c r="U73" i="45"/>
  <c r="V73" i="45" s="1"/>
  <c r="H73" i="45" s="1"/>
  <c r="L56" i="64" s="1"/>
  <c r="T56" i="64" s="1"/>
  <c r="U63" i="45"/>
  <c r="V63" i="45" s="1"/>
  <c r="H63" i="45" s="1"/>
  <c r="L47" i="64" s="1"/>
  <c r="T47" i="64" s="1"/>
  <c r="U106" i="45"/>
  <c r="V106" i="45" s="1"/>
  <c r="H106" i="45" s="1"/>
  <c r="L87" i="64" s="1"/>
  <c r="T87" i="64" s="1"/>
  <c r="U128" i="45"/>
  <c r="V128" i="45" s="1"/>
  <c r="H128" i="45" s="1"/>
  <c r="L108" i="64" s="1"/>
  <c r="T108" i="64" s="1"/>
  <c r="U133" i="45"/>
  <c r="V133" i="45" s="1"/>
  <c r="H133" i="45" s="1"/>
  <c r="L113" i="64" s="1"/>
  <c r="T113" i="64" s="1"/>
  <c r="U66" i="45"/>
  <c r="V66" i="45" s="1"/>
  <c r="H66" i="45" s="1"/>
  <c r="L50" i="64" s="1"/>
  <c r="T50" i="64" s="1"/>
  <c r="U91" i="45"/>
  <c r="V91" i="45" s="1"/>
  <c r="H91" i="45" s="1"/>
  <c r="L73" i="64" s="1"/>
  <c r="T73" i="64" s="1"/>
  <c r="U112" i="45"/>
  <c r="V112" i="45" s="1"/>
  <c r="H112" i="45" s="1"/>
  <c r="L93" i="64" s="1"/>
  <c r="T93" i="64" s="1"/>
  <c r="U131" i="45"/>
  <c r="V131" i="45" s="1"/>
  <c r="H131" i="45" s="1"/>
  <c r="L111" i="64" s="1"/>
  <c r="T111" i="64" s="1"/>
  <c r="U49" i="45"/>
  <c r="V49" i="45" s="1"/>
  <c r="H49" i="45" s="1"/>
  <c r="L35" i="64" s="1"/>
  <c r="T35" i="64" s="1"/>
  <c r="U100" i="45"/>
  <c r="V100" i="45" s="1"/>
  <c r="H100" i="45" s="1"/>
  <c r="L81" i="64" s="1"/>
  <c r="T81" i="64" s="1"/>
  <c r="U110" i="45"/>
  <c r="V110" i="45" s="1"/>
  <c r="H110" i="45" s="1"/>
  <c r="L91" i="64" s="1"/>
  <c r="T91" i="64" s="1"/>
  <c r="U125" i="45"/>
  <c r="V125" i="45" s="1"/>
  <c r="H125" i="45" s="1"/>
  <c r="L106" i="64" s="1"/>
  <c r="T106" i="64" s="1"/>
  <c r="U87" i="45"/>
  <c r="V87" i="45" s="1"/>
  <c r="H87" i="45" s="1"/>
  <c r="L70" i="64" s="1"/>
  <c r="T70" i="64" s="1"/>
  <c r="U32" i="45"/>
  <c r="V32" i="45" s="1"/>
  <c r="H32" i="45" s="1"/>
  <c r="L20" i="64" s="1"/>
  <c r="T20" i="64" s="1"/>
  <c r="U34" i="45"/>
  <c r="V34" i="45" s="1"/>
  <c r="H34" i="45" s="1"/>
  <c r="L22" i="64" s="1"/>
  <c r="T22" i="64" s="1"/>
  <c r="U81" i="45"/>
  <c r="V81" i="45" s="1"/>
  <c r="H81" i="45" s="1"/>
  <c r="L64" i="64" s="1"/>
  <c r="T64" i="64" s="1"/>
  <c r="U79" i="45"/>
  <c r="V79" i="45" s="1"/>
  <c r="H79" i="45" s="1"/>
  <c r="L62" i="64" s="1"/>
  <c r="T62" i="64" s="1"/>
  <c r="U54" i="45"/>
  <c r="V54" i="45" s="1"/>
  <c r="H54" i="45" s="1"/>
  <c r="L39" i="64" s="1"/>
  <c r="T39" i="64" s="1"/>
  <c r="U71" i="45"/>
  <c r="V71" i="45" s="1"/>
  <c r="H71" i="45" s="1"/>
  <c r="L54" i="64" s="1"/>
  <c r="T54" i="64" s="1"/>
  <c r="U72" i="45"/>
  <c r="V72" i="45" s="1"/>
  <c r="H72" i="45" s="1"/>
  <c r="L55" i="64" s="1"/>
  <c r="T55" i="64" s="1"/>
  <c r="U85" i="45"/>
  <c r="V85" i="45" s="1"/>
  <c r="H85" i="45" s="1"/>
  <c r="L68" i="64" s="1"/>
  <c r="T68" i="64" s="1"/>
  <c r="U99" i="45"/>
  <c r="V99" i="45" s="1"/>
  <c r="H99" i="45" s="1"/>
  <c r="L80" i="64" s="1"/>
  <c r="T80" i="64" s="1"/>
  <c r="U120" i="45"/>
  <c r="V120" i="45" s="1"/>
  <c r="H120" i="45" s="1"/>
  <c r="L101" i="64" s="1"/>
  <c r="T101" i="64" s="1"/>
  <c r="U137" i="45"/>
  <c r="V137" i="45" s="1"/>
  <c r="H137" i="45" s="1"/>
  <c r="L117" i="64" s="1"/>
  <c r="T117" i="64" s="1"/>
  <c r="U76" i="45"/>
  <c r="V76" i="45" s="1"/>
  <c r="H76" i="45" s="1"/>
  <c r="L59" i="64" s="1"/>
  <c r="T59" i="64" s="1"/>
  <c r="U94" i="45"/>
  <c r="V94" i="45" s="1"/>
  <c r="H94" i="45" s="1"/>
  <c r="L75" i="64" s="1"/>
  <c r="T75" i="64" s="1"/>
  <c r="U20" i="45"/>
  <c r="V20" i="45" s="1"/>
  <c r="H20" i="45" s="1"/>
  <c r="L9" i="64" s="1"/>
  <c r="T9" i="64" s="1"/>
  <c r="U86" i="45"/>
  <c r="V86" i="45" s="1"/>
  <c r="H86" i="45" s="1"/>
  <c r="L69" i="64" s="1"/>
  <c r="T69" i="64" s="1"/>
  <c r="U82" i="45"/>
  <c r="V82" i="45" s="1"/>
  <c r="H82" i="45" s="1"/>
  <c r="L65" i="64" s="1"/>
  <c r="T65" i="64" s="1"/>
  <c r="U19" i="45"/>
  <c r="V19" i="45" s="1"/>
  <c r="H19" i="45" s="1"/>
  <c r="L8" i="64" s="1"/>
  <c r="T8" i="64" s="1"/>
  <c r="U118" i="45"/>
  <c r="V118" i="45" s="1"/>
  <c r="H118" i="45" s="1"/>
  <c r="L99" i="64" s="1"/>
  <c r="T99" i="64" s="1"/>
  <c r="U14" i="45"/>
  <c r="V14" i="45" s="1"/>
  <c r="H14" i="45" s="1"/>
  <c r="L3" i="64" s="1"/>
  <c r="T3" i="64" s="1"/>
  <c r="U77" i="45"/>
  <c r="V77" i="45" s="1"/>
  <c r="H77" i="45" s="1"/>
  <c r="L60" i="64" s="1"/>
  <c r="T60" i="64" s="1"/>
  <c r="U31" i="45"/>
  <c r="V31" i="45" s="1"/>
  <c r="H31" i="45" s="1"/>
  <c r="L19" i="64" s="1"/>
  <c r="T19" i="64" s="1"/>
  <c r="U17" i="45"/>
  <c r="V17" i="45" s="1"/>
  <c r="H17" i="45" s="1"/>
  <c r="L6" i="64" s="1"/>
  <c r="T6" i="64" s="1"/>
  <c r="U93" i="45"/>
  <c r="V93" i="45" s="1"/>
  <c r="H93" i="45" s="1"/>
  <c r="U83" i="45"/>
  <c r="V83" i="45" s="1"/>
  <c r="H83" i="45" s="1"/>
  <c r="L66" i="64" s="1"/>
  <c r="T66" i="64" s="1"/>
  <c r="U89" i="45"/>
  <c r="V89" i="45" s="1"/>
  <c r="H89" i="45" s="1"/>
  <c r="L71" i="64" s="1"/>
  <c r="T71" i="64" s="1"/>
  <c r="U107" i="45"/>
  <c r="V107" i="45" s="1"/>
  <c r="H107" i="45" s="1"/>
  <c r="L88" i="64" s="1"/>
  <c r="T88" i="64" s="1"/>
  <c r="U129" i="45"/>
  <c r="V129" i="45" s="1"/>
  <c r="H129" i="45" s="1"/>
  <c r="L109" i="64" s="1"/>
  <c r="T109" i="64" s="1"/>
  <c r="U122" i="45"/>
  <c r="V122" i="45" s="1"/>
  <c r="H122" i="45" s="1"/>
  <c r="L103" i="64" s="1"/>
  <c r="T103" i="64" s="1"/>
  <c r="U43" i="45"/>
  <c r="V43" i="45" s="1"/>
  <c r="H43" i="45" s="1"/>
  <c r="L29" i="64" s="1"/>
  <c r="T29" i="64" s="1"/>
  <c r="U105" i="45"/>
  <c r="V105" i="45" s="1"/>
  <c r="H105" i="45" s="1"/>
  <c r="L86" i="64" s="1"/>
  <c r="T86" i="64" s="1"/>
  <c r="U123" i="45"/>
  <c r="V123" i="45" s="1"/>
  <c r="H123" i="45" s="1"/>
  <c r="L104" i="64" s="1"/>
  <c r="T104" i="64" s="1"/>
  <c r="U39" i="45"/>
  <c r="V39" i="45" s="1"/>
  <c r="H39" i="45" s="1"/>
  <c r="L26" i="64" s="1"/>
  <c r="T26" i="64" s="1"/>
  <c r="U108" i="45"/>
  <c r="V108" i="45" s="1"/>
  <c r="H108" i="45" s="1"/>
  <c r="L89" i="64" s="1"/>
  <c r="T89" i="64" s="1"/>
  <c r="U130" i="45"/>
  <c r="V130" i="45" s="1"/>
  <c r="H130" i="45" s="1"/>
  <c r="L110" i="64" s="1"/>
  <c r="T110" i="64" s="1"/>
  <c r="U22" i="45"/>
  <c r="V22" i="45" s="1"/>
  <c r="H22" i="45" s="1"/>
  <c r="L10" i="64" s="1"/>
  <c r="T10" i="64" s="1"/>
  <c r="U15" i="45"/>
  <c r="V15" i="45" s="1"/>
  <c r="H15" i="45" s="1"/>
  <c r="L4" i="64" s="1"/>
  <c r="T4" i="64" s="1"/>
  <c r="U40" i="45"/>
  <c r="V40" i="45" s="1"/>
  <c r="H40" i="45" s="1"/>
  <c r="L27" i="64" s="1"/>
  <c r="T27" i="64" s="1"/>
  <c r="U25" i="45"/>
  <c r="V25" i="45" s="1"/>
  <c r="H25" i="45" s="1"/>
  <c r="L13" i="64" s="1"/>
  <c r="T13" i="64" s="1"/>
  <c r="U109" i="45"/>
  <c r="V109" i="45" s="1"/>
  <c r="H109" i="45" s="1"/>
  <c r="L90" i="64" s="1"/>
  <c r="T90" i="64" s="1"/>
  <c r="U80" i="45"/>
  <c r="V80" i="45" s="1"/>
  <c r="H80" i="45" s="1"/>
  <c r="L63" i="64" s="1"/>
  <c r="T63" i="64" s="1"/>
  <c r="U92" i="45"/>
  <c r="V92" i="45" s="1"/>
  <c r="H92" i="45" s="1"/>
  <c r="L74" i="64" s="1"/>
  <c r="T74" i="64" s="1"/>
  <c r="U97" i="45"/>
  <c r="V97" i="45" s="1"/>
  <c r="H97" i="45" s="1"/>
  <c r="L78" i="64" s="1"/>
  <c r="T78" i="64" s="1"/>
  <c r="U102" i="45"/>
  <c r="V102" i="45" s="1"/>
  <c r="H102" i="45" s="1"/>
  <c r="L83" i="64" s="1"/>
  <c r="T83" i="64" s="1"/>
  <c r="U115" i="45"/>
  <c r="V115" i="45" s="1"/>
  <c r="H115" i="45" s="1"/>
  <c r="L96" i="64" s="1"/>
  <c r="T96" i="64" s="1"/>
  <c r="U134" i="45"/>
  <c r="V134" i="45" s="1"/>
  <c r="H134" i="45" s="1"/>
  <c r="L114" i="64" s="1"/>
  <c r="T114" i="64" s="1"/>
  <c r="U136" i="45"/>
  <c r="V136" i="45" s="1"/>
  <c r="H136" i="45" s="1"/>
  <c r="L116" i="64" s="1"/>
  <c r="T116" i="64" s="1"/>
  <c r="U95" i="45"/>
  <c r="V95" i="45" s="1"/>
  <c r="H95" i="45" s="1"/>
  <c r="L76" i="64" s="1"/>
  <c r="T76" i="64" s="1"/>
  <c r="U30" i="45"/>
  <c r="V30" i="45" s="1"/>
  <c r="H30" i="45" s="1"/>
  <c r="L18" i="64" s="1"/>
  <c r="T18" i="64" s="1"/>
  <c r="U117" i="45"/>
  <c r="V117" i="45" s="1"/>
  <c r="H117" i="45" s="1"/>
  <c r="L98" i="64" s="1"/>
  <c r="T98" i="64" s="1"/>
  <c r="U12" i="45"/>
  <c r="V12" i="45" s="1"/>
  <c r="H12" i="45" s="1"/>
  <c r="L2" i="64" s="1"/>
  <c r="T2" i="64" s="1"/>
  <c r="U60" i="45"/>
  <c r="V60" i="45" s="1"/>
  <c r="H60" i="45" s="1"/>
  <c r="L45" i="64" s="1"/>
  <c r="T45" i="64" s="1"/>
  <c r="U29" i="45"/>
  <c r="V29" i="45" s="1"/>
  <c r="H29" i="45" s="1"/>
  <c r="L17" i="64" s="1"/>
  <c r="T17" i="64" s="1"/>
  <c r="U113" i="45"/>
  <c r="V113" i="45" s="1"/>
  <c r="H113" i="45" s="1"/>
  <c r="L94" i="64" s="1"/>
  <c r="T94" i="64" s="1"/>
  <c r="U45" i="45"/>
  <c r="V45" i="45" s="1"/>
  <c r="H45" i="45" s="1"/>
  <c r="L31" i="64" s="1"/>
  <c r="T31" i="64" s="1"/>
  <c r="U90" i="45"/>
  <c r="V90" i="45" s="1"/>
  <c r="H90" i="45" s="1"/>
  <c r="L72" i="64" s="1"/>
  <c r="T72" i="64" s="1"/>
  <c r="U68" i="45"/>
  <c r="V68" i="45" s="1"/>
  <c r="H68" i="45" s="1"/>
  <c r="L51" i="64" s="1"/>
  <c r="T51" i="64" s="1"/>
  <c r="U46" i="45"/>
  <c r="V46" i="45" s="1"/>
  <c r="H46" i="45" s="1"/>
  <c r="L32" i="64" s="1"/>
  <c r="T32" i="64" s="1"/>
  <c r="U74" i="45"/>
  <c r="V74" i="45" s="1"/>
  <c r="H74" i="45" s="1"/>
  <c r="L57" i="64" s="1"/>
  <c r="T57" i="64" s="1"/>
  <c r="U111" i="45"/>
  <c r="V111" i="45" s="1"/>
  <c r="H111" i="45" s="1"/>
  <c r="L92" i="64" s="1"/>
  <c r="T92" i="64" s="1"/>
  <c r="U96" i="45"/>
  <c r="V96" i="45" s="1"/>
  <c r="H96" i="45" s="1"/>
  <c r="L77" i="64" s="1"/>
  <c r="T77" i="64" s="1"/>
  <c r="U116" i="45"/>
  <c r="V116" i="45" s="1"/>
  <c r="H116" i="45" s="1"/>
  <c r="L97" i="64" s="1"/>
  <c r="T97" i="64" s="1"/>
  <c r="U70" i="45"/>
  <c r="V70" i="45" s="1"/>
  <c r="H70" i="45" s="1"/>
  <c r="L53" i="64" s="1"/>
  <c r="T53" i="64" s="1"/>
  <c r="U78" i="45"/>
  <c r="V78" i="45" s="1"/>
  <c r="H78" i="45" s="1"/>
  <c r="L61" i="64" s="1"/>
  <c r="T61" i="64" s="1"/>
  <c r="U16" i="45"/>
  <c r="V16" i="45" s="1"/>
  <c r="H16" i="45" s="1"/>
  <c r="L5" i="64" s="1"/>
  <c r="T5" i="64" s="1"/>
  <c r="U119" i="45"/>
  <c r="V119" i="45" s="1"/>
  <c r="H119" i="45" s="1"/>
  <c r="L100" i="64" s="1"/>
  <c r="T100" i="64" s="1"/>
  <c r="U104" i="45"/>
  <c r="V104" i="45" s="1"/>
  <c r="H104" i="45" s="1"/>
  <c r="L85" i="64" s="1"/>
  <c r="T85" i="64" s="1"/>
  <c r="U132" i="45"/>
  <c r="V132" i="45" s="1"/>
  <c r="H132" i="45" s="1"/>
  <c r="L112" i="64" s="1"/>
  <c r="T112" i="64" s="1"/>
  <c r="U58" i="45"/>
  <c r="V58" i="45" s="1"/>
  <c r="H58" i="45" s="1"/>
  <c r="L43" i="64" s="1"/>
  <c r="T43" i="64" s="1"/>
  <c r="U64" i="45"/>
  <c r="V64" i="45" s="1"/>
  <c r="H64" i="45" s="1"/>
  <c r="L48" i="64" s="1"/>
  <c r="T48" i="64" s="1"/>
  <c r="U124" i="45"/>
  <c r="V124" i="45" s="1"/>
  <c r="H124" i="45" s="1"/>
  <c r="L105" i="64" s="1"/>
  <c r="T105" i="64" s="1"/>
  <c r="U135" i="45"/>
  <c r="V135" i="45" s="1"/>
  <c r="H135" i="45" s="1"/>
  <c r="L115" i="64" s="1"/>
  <c r="T115" i="64" s="1"/>
  <c r="U121" i="45"/>
  <c r="V121" i="45" s="1"/>
  <c r="H121" i="45" s="1"/>
  <c r="L102" i="64" s="1"/>
  <c r="T102" i="64" s="1"/>
  <c r="U35" i="45"/>
  <c r="V35" i="45" s="1"/>
  <c r="H35" i="45" s="1"/>
  <c r="L23" i="64" s="1"/>
  <c r="T23" i="64" s="1"/>
  <c r="U75" i="45"/>
  <c r="V75" i="45" s="1"/>
  <c r="H75" i="45" s="1"/>
  <c r="L58" i="64" s="1"/>
  <c r="T58" i="64" s="1"/>
  <c r="U126" i="45"/>
  <c r="V126" i="45" s="1"/>
  <c r="H126" i="45" s="1"/>
  <c r="L107" i="64" s="1"/>
  <c r="T107" i="64" s="1"/>
  <c r="U16" i="33"/>
  <c r="V16" i="33" s="1"/>
  <c r="H16" i="33" s="1"/>
  <c r="H5" i="64" s="1"/>
  <c r="P5" i="64" s="1"/>
  <c r="U22" i="33"/>
  <c r="V22" i="33" s="1"/>
  <c r="H22" i="33" s="1"/>
  <c r="H10" i="64" s="1"/>
  <c r="P10" i="64" s="1"/>
  <c r="U54" i="33"/>
  <c r="V54" i="33" s="1"/>
  <c r="H54" i="33" s="1"/>
  <c r="H39" i="64" s="1"/>
  <c r="P39" i="64" s="1"/>
  <c r="U38" i="33"/>
  <c r="V38" i="33" s="1"/>
  <c r="H38" i="33" s="1"/>
  <c r="H25" i="64" s="1"/>
  <c r="P25" i="64" s="1"/>
  <c r="U49" i="33"/>
  <c r="V49" i="33" s="1"/>
  <c r="H49" i="33" s="1"/>
  <c r="H35" i="64" s="1"/>
  <c r="P35" i="64" s="1"/>
  <c r="U101" i="33"/>
  <c r="V101" i="33" s="1"/>
  <c r="H101" i="33" s="1"/>
  <c r="U90" i="33"/>
  <c r="V90" i="33" s="1"/>
  <c r="H90" i="33" s="1"/>
  <c r="U78" i="33"/>
  <c r="V78" i="33" s="1"/>
  <c r="H78" i="33" s="1"/>
  <c r="U83" i="33"/>
  <c r="V83" i="33" s="1"/>
  <c r="H83" i="33" s="1"/>
  <c r="U43" i="33"/>
  <c r="V43" i="33" s="1"/>
  <c r="H43" i="33" s="1"/>
  <c r="H29" i="64" s="1"/>
  <c r="P29" i="64" s="1"/>
  <c r="U121" i="33"/>
  <c r="V121" i="33" s="1"/>
  <c r="H121" i="33" s="1"/>
  <c r="U65" i="33"/>
  <c r="V65" i="33" s="1"/>
  <c r="H65" i="33" s="1"/>
  <c r="U62" i="33"/>
  <c r="V62" i="33" s="1"/>
  <c r="H62" i="33" s="1"/>
  <c r="U129" i="33"/>
  <c r="V129" i="33" s="1"/>
  <c r="H129" i="33" s="1"/>
  <c r="U118" i="33"/>
  <c r="V118" i="33" s="1"/>
  <c r="H118" i="33" s="1"/>
  <c r="U19" i="33"/>
  <c r="V19" i="33" s="1"/>
  <c r="H19" i="33" s="1"/>
  <c r="H8" i="64" s="1"/>
  <c r="P8" i="64" s="1"/>
  <c r="U30" i="33"/>
  <c r="V30" i="33" s="1"/>
  <c r="H30" i="33" s="1"/>
  <c r="H18" i="64" s="1"/>
  <c r="P18" i="64" s="1"/>
  <c r="U15" i="33"/>
  <c r="V15" i="33" s="1"/>
  <c r="H15" i="33" s="1"/>
  <c r="H4" i="64" s="1"/>
  <c r="P4" i="64" s="1"/>
  <c r="U47" i="33"/>
  <c r="V47" i="33" s="1"/>
  <c r="H47" i="33" s="1"/>
  <c r="H33" i="64" s="1"/>
  <c r="P33" i="64" s="1"/>
  <c r="U58" i="33"/>
  <c r="V58" i="33" s="1"/>
  <c r="H58" i="33" s="1"/>
  <c r="H43" i="64" s="1"/>
  <c r="P43" i="64" s="1"/>
  <c r="U109" i="33"/>
  <c r="V109" i="33" s="1"/>
  <c r="H109" i="33" s="1"/>
  <c r="U98" i="33"/>
  <c r="V98" i="33" s="1"/>
  <c r="H98" i="33" s="1"/>
  <c r="U86" i="33"/>
  <c r="V86" i="33" s="1"/>
  <c r="H86" i="33" s="1"/>
  <c r="U92" i="33"/>
  <c r="V92" i="33" s="1"/>
  <c r="H92" i="33" s="1"/>
  <c r="U63" i="33"/>
  <c r="V63" i="33" s="1"/>
  <c r="H63" i="33" s="1"/>
  <c r="U59" i="33"/>
  <c r="V59" i="33" s="1"/>
  <c r="H59" i="33" s="1"/>
  <c r="H44" i="64" s="1"/>
  <c r="P44" i="64" s="1"/>
  <c r="U74" i="33"/>
  <c r="V74" i="33" s="1"/>
  <c r="H74" i="33" s="1"/>
  <c r="U71" i="33"/>
  <c r="V71" i="33" s="1"/>
  <c r="H71" i="33" s="1"/>
  <c r="U137" i="33"/>
  <c r="V137" i="33" s="1"/>
  <c r="H137" i="33" s="1"/>
  <c r="U123" i="33"/>
  <c r="V123" i="33" s="1"/>
  <c r="H123" i="33" s="1"/>
  <c r="U28" i="33"/>
  <c r="V28" i="33" s="1"/>
  <c r="H28" i="33" s="1"/>
  <c r="H16" i="64" s="1"/>
  <c r="P16" i="64" s="1"/>
  <c r="U39" i="33"/>
  <c r="V39" i="33" s="1"/>
  <c r="H39" i="33" s="1"/>
  <c r="H26" i="64" s="1"/>
  <c r="P26" i="64" s="1"/>
  <c r="U24" i="33"/>
  <c r="V24" i="33" s="1"/>
  <c r="H24" i="33" s="1"/>
  <c r="H12" i="64" s="1"/>
  <c r="P12" i="64" s="1"/>
  <c r="U26" i="33"/>
  <c r="V26" i="33" s="1"/>
  <c r="H26" i="33" s="1"/>
  <c r="H14" i="64" s="1"/>
  <c r="P14" i="64" s="1"/>
  <c r="U55" i="33"/>
  <c r="V55" i="33" s="1"/>
  <c r="H55" i="33" s="1"/>
  <c r="H40" i="64" s="1"/>
  <c r="P40" i="64" s="1"/>
  <c r="U117" i="33"/>
  <c r="V117" i="33" s="1"/>
  <c r="H117" i="33" s="1"/>
  <c r="U106" i="33"/>
  <c r="V106" i="33" s="1"/>
  <c r="H106" i="33" s="1"/>
  <c r="U95" i="33"/>
  <c r="V95" i="33" s="1"/>
  <c r="H95" i="33" s="1"/>
  <c r="U100" i="33"/>
  <c r="V100" i="33" s="1"/>
  <c r="H100" i="33" s="1"/>
  <c r="U72" i="33"/>
  <c r="V72" i="33" s="1"/>
  <c r="H72" i="33" s="1"/>
  <c r="U69" i="33"/>
  <c r="V69" i="33" s="1"/>
  <c r="H69" i="33" s="1"/>
  <c r="U82" i="33"/>
  <c r="V82" i="33" s="1"/>
  <c r="H82" i="33" s="1"/>
  <c r="U79" i="33"/>
  <c r="V79" i="33" s="1"/>
  <c r="H79" i="33" s="1"/>
  <c r="U136" i="33"/>
  <c r="V136" i="33" s="1"/>
  <c r="H136" i="33" s="1"/>
  <c r="U131" i="33"/>
  <c r="V131" i="33" s="1"/>
  <c r="H131" i="33" s="1"/>
  <c r="U46" i="33"/>
  <c r="V46" i="33" s="1"/>
  <c r="H46" i="33" s="1"/>
  <c r="H32" i="64" s="1"/>
  <c r="P32" i="64" s="1"/>
  <c r="U18" i="33"/>
  <c r="V18" i="33" s="1"/>
  <c r="H18" i="33" s="1"/>
  <c r="H7" i="64" s="1"/>
  <c r="P7" i="64" s="1"/>
  <c r="U42" i="33"/>
  <c r="V42" i="33" s="1"/>
  <c r="H42" i="33" s="1"/>
  <c r="H28" i="64" s="1"/>
  <c r="P28" i="64" s="1"/>
  <c r="U17" i="33"/>
  <c r="V17" i="33" s="1"/>
  <c r="H17" i="33" s="1"/>
  <c r="H6" i="64" s="1"/>
  <c r="P6" i="64" s="1"/>
  <c r="U68" i="33"/>
  <c r="V68" i="33" s="1"/>
  <c r="H68" i="33" s="1"/>
  <c r="U44" i="33"/>
  <c r="V44" i="33" s="1"/>
  <c r="H44" i="33" s="1"/>
  <c r="H30" i="64" s="1"/>
  <c r="P30" i="64" s="1"/>
  <c r="U52" i="33"/>
  <c r="V52" i="33" s="1"/>
  <c r="H52" i="33" s="1"/>
  <c r="H37" i="64" s="1"/>
  <c r="P37" i="64" s="1"/>
  <c r="U111" i="33"/>
  <c r="V111" i="33" s="1"/>
  <c r="H111" i="33" s="1"/>
  <c r="U116" i="33"/>
  <c r="V116" i="33" s="1"/>
  <c r="H116" i="33" s="1"/>
  <c r="U89" i="33"/>
  <c r="V89" i="33" s="1"/>
  <c r="H89" i="33" s="1"/>
  <c r="U85" i="33"/>
  <c r="V85" i="33" s="1"/>
  <c r="H85" i="33" s="1"/>
  <c r="U99" i="33"/>
  <c r="V99" i="33" s="1"/>
  <c r="H99" i="33" s="1"/>
  <c r="U96" i="33"/>
  <c r="V96" i="33" s="1"/>
  <c r="H96" i="33" s="1"/>
  <c r="U130" i="33"/>
  <c r="V130" i="33" s="1"/>
  <c r="H130" i="33" s="1"/>
  <c r="U132" i="33"/>
  <c r="V132" i="33" s="1"/>
  <c r="H132" i="33" s="1"/>
  <c r="U33" i="33"/>
  <c r="V33" i="33" s="1"/>
  <c r="H33" i="33" s="1"/>
  <c r="H21" i="64" s="1"/>
  <c r="P21" i="64" s="1"/>
  <c r="U45" i="33"/>
  <c r="V45" i="33" s="1"/>
  <c r="H45" i="33" s="1"/>
  <c r="H31" i="64" s="1"/>
  <c r="P31" i="64" s="1"/>
  <c r="U29" i="33"/>
  <c r="V29" i="33" s="1"/>
  <c r="H29" i="33" s="1"/>
  <c r="H17" i="64" s="1"/>
  <c r="P17" i="64" s="1"/>
  <c r="U40" i="33"/>
  <c r="V40" i="33" s="1"/>
  <c r="H40" i="33" s="1"/>
  <c r="H27" i="64" s="1"/>
  <c r="P27" i="64" s="1"/>
  <c r="U93" i="33"/>
  <c r="V93" i="33" s="1"/>
  <c r="H93" i="33" s="1"/>
  <c r="U81" i="33"/>
  <c r="V81" i="33" s="1"/>
  <c r="H81" i="33" s="1"/>
  <c r="U70" i="33"/>
  <c r="V70" i="33" s="1"/>
  <c r="H70" i="33" s="1"/>
  <c r="U75" i="33"/>
  <c r="V75" i="33" s="1"/>
  <c r="H75" i="33" s="1"/>
  <c r="U12" i="33"/>
  <c r="V12" i="33" s="1"/>
  <c r="H12" i="33" s="1"/>
  <c r="H2" i="64" s="1"/>
  <c r="P2" i="64" s="1"/>
  <c r="U113" i="33"/>
  <c r="V113" i="33" s="1"/>
  <c r="H113" i="33" s="1"/>
  <c r="U110" i="33"/>
  <c r="V110" i="33" s="1"/>
  <c r="H110" i="33" s="1"/>
  <c r="U56" i="33"/>
  <c r="V56" i="33" s="1"/>
  <c r="H56" i="33" s="1"/>
  <c r="H41" i="64" s="1"/>
  <c r="P41" i="64" s="1"/>
  <c r="U120" i="33"/>
  <c r="V120" i="33" s="1"/>
  <c r="H120" i="33" s="1"/>
  <c r="U122" i="33"/>
  <c r="V122" i="33" s="1"/>
  <c r="H122" i="33" s="1"/>
  <c r="U25" i="33"/>
  <c r="V25" i="33" s="1"/>
  <c r="H25" i="33" s="1"/>
  <c r="H13" i="64" s="1"/>
  <c r="P13" i="64" s="1"/>
  <c r="U23" i="33"/>
  <c r="V23" i="33" s="1"/>
  <c r="H23" i="33" s="1"/>
  <c r="H11" i="64" s="1"/>
  <c r="P11" i="64" s="1"/>
  <c r="U114" i="33"/>
  <c r="V114" i="33" s="1"/>
  <c r="H114" i="33" s="1"/>
  <c r="U133" i="33"/>
  <c r="V133" i="33" s="1"/>
  <c r="H133" i="33" s="1"/>
  <c r="U107" i="33"/>
  <c r="V107" i="33" s="1"/>
  <c r="H107" i="33" s="1"/>
  <c r="U135" i="33"/>
  <c r="V135" i="33" s="1"/>
  <c r="H135" i="33" s="1"/>
  <c r="U112" i="33"/>
  <c r="V112" i="33" s="1"/>
  <c r="H112" i="33" s="1"/>
  <c r="U66" i="33"/>
  <c r="V66" i="33" s="1"/>
  <c r="H66" i="33" s="1"/>
  <c r="U126" i="33"/>
  <c r="V126" i="33" s="1"/>
  <c r="H126" i="33" s="1"/>
  <c r="U102" i="33"/>
  <c r="V102" i="33" s="1"/>
  <c r="H102" i="33" s="1"/>
  <c r="U48" i="33"/>
  <c r="V48" i="33" s="1"/>
  <c r="H48" i="33" s="1"/>
  <c r="H34" i="64" s="1"/>
  <c r="P34" i="64" s="1"/>
  <c r="U31" i="33"/>
  <c r="V31" i="33" s="1"/>
  <c r="H31" i="33" s="1"/>
  <c r="H19" i="64" s="1"/>
  <c r="P19" i="64" s="1"/>
  <c r="U53" i="33"/>
  <c r="V53" i="33" s="1"/>
  <c r="H53" i="33" s="1"/>
  <c r="H38" i="64" s="1"/>
  <c r="P38" i="64" s="1"/>
  <c r="U80" i="33"/>
  <c r="V80" i="33" s="1"/>
  <c r="H80" i="33" s="1"/>
  <c r="U115" i="33"/>
  <c r="V115" i="33" s="1"/>
  <c r="H115" i="33" s="1"/>
  <c r="U64" i="33"/>
  <c r="V64" i="33" s="1"/>
  <c r="H64" i="33" s="1"/>
  <c r="U27" i="33"/>
  <c r="V27" i="33" s="1"/>
  <c r="H27" i="33" s="1"/>
  <c r="H15" i="64" s="1"/>
  <c r="P15" i="64" s="1"/>
  <c r="U57" i="33"/>
  <c r="V57" i="33" s="1"/>
  <c r="H57" i="33" s="1"/>
  <c r="H42" i="64" s="1"/>
  <c r="P42" i="64" s="1"/>
  <c r="U60" i="33"/>
  <c r="V60" i="33" s="1"/>
  <c r="H60" i="33" s="1"/>
  <c r="H45" i="64" s="1"/>
  <c r="P45" i="64" s="1"/>
  <c r="U97" i="33"/>
  <c r="V97" i="33" s="1"/>
  <c r="H97" i="33" s="1"/>
  <c r="U87" i="33"/>
  <c r="V87" i="33" s="1"/>
  <c r="H87" i="33" s="1"/>
  <c r="U77" i="33"/>
  <c r="V77" i="33" s="1"/>
  <c r="H77" i="33" s="1"/>
  <c r="U37" i="33"/>
  <c r="V37" i="33" s="1"/>
  <c r="H37" i="33" s="1"/>
  <c r="H24" i="64" s="1"/>
  <c r="P24" i="64" s="1"/>
  <c r="U35" i="33"/>
  <c r="V35" i="33" s="1"/>
  <c r="H35" i="33" s="1"/>
  <c r="H23" i="64" s="1"/>
  <c r="P23" i="64" s="1"/>
  <c r="U76" i="33"/>
  <c r="V76" i="33" s="1"/>
  <c r="H76" i="33" s="1"/>
  <c r="U103" i="33"/>
  <c r="V103" i="33" s="1"/>
  <c r="H103" i="33" s="1"/>
  <c r="U105" i="33"/>
  <c r="V105" i="33" s="1"/>
  <c r="H105" i="33" s="1"/>
  <c r="U104" i="33"/>
  <c r="V104" i="33" s="1"/>
  <c r="H104" i="33" s="1"/>
  <c r="U32" i="33"/>
  <c r="V32" i="33" s="1"/>
  <c r="H32" i="33" s="1"/>
  <c r="H20" i="64" s="1"/>
  <c r="P20" i="64" s="1"/>
  <c r="U84" i="33"/>
  <c r="V84" i="33" s="1"/>
  <c r="H84" i="33" s="1"/>
  <c r="U119" i="33"/>
  <c r="V119" i="33" s="1"/>
  <c r="H119" i="33" s="1"/>
  <c r="U94" i="33"/>
  <c r="V94" i="33" s="1"/>
  <c r="H94" i="33" s="1"/>
  <c r="U20" i="33"/>
  <c r="V20" i="33" s="1"/>
  <c r="H20" i="33" s="1"/>
  <c r="H9" i="64" s="1"/>
  <c r="P9" i="64" s="1"/>
  <c r="U128" i="33"/>
  <c r="V128" i="33" s="1"/>
  <c r="H128" i="33" s="1"/>
  <c r="U50" i="33"/>
  <c r="V50" i="33" s="1"/>
  <c r="H50" i="33" s="1"/>
  <c r="H36" i="64" s="1"/>
  <c r="P36" i="64" s="1"/>
  <c r="U125" i="33"/>
  <c r="V125" i="33" s="1"/>
  <c r="H125" i="33" s="1"/>
  <c r="U108" i="33"/>
  <c r="V108" i="33" s="1"/>
  <c r="H108" i="33" s="1"/>
  <c r="U124" i="33"/>
  <c r="V124" i="33" s="1"/>
  <c r="H124" i="33" s="1"/>
  <c r="U34" i="33"/>
  <c r="V34" i="33" s="1"/>
  <c r="H34" i="33" s="1"/>
  <c r="H22" i="64" s="1"/>
  <c r="P22" i="64" s="1"/>
  <c r="U91" i="33"/>
  <c r="V91" i="33" s="1"/>
  <c r="H91" i="33" s="1"/>
  <c r="U14" i="33"/>
  <c r="V14" i="33" s="1"/>
  <c r="H14" i="33" s="1"/>
  <c r="H3" i="64" s="1"/>
  <c r="P3" i="64" s="1"/>
  <c r="U134" i="33"/>
  <c r="V134" i="33" s="1"/>
  <c r="H134" i="33" s="1"/>
  <c r="U73" i="33"/>
  <c r="V73" i="33" s="1"/>
  <c r="H73" i="33" s="1"/>
  <c r="U34" i="43"/>
  <c r="V34" i="43" s="1"/>
  <c r="H34" i="43" s="1"/>
  <c r="J22" i="64" s="1"/>
  <c r="R22" i="64" s="1"/>
  <c r="U28" i="43"/>
  <c r="V28" i="43" s="1"/>
  <c r="H28" i="43" s="1"/>
  <c r="J16" i="64" s="1"/>
  <c r="R16" i="64" s="1"/>
  <c r="U70" i="43"/>
  <c r="V70" i="43" s="1"/>
  <c r="H70" i="43" s="1"/>
  <c r="J53" i="64" s="1"/>
  <c r="R53" i="64" s="1"/>
  <c r="U15" i="43"/>
  <c r="V15" i="43" s="1"/>
  <c r="H15" i="43" s="1"/>
  <c r="J4" i="64" s="1"/>
  <c r="R4" i="64" s="1"/>
  <c r="U56" i="43"/>
  <c r="V56" i="43" s="1"/>
  <c r="H56" i="43" s="1"/>
  <c r="J41" i="64" s="1"/>
  <c r="R41" i="64" s="1"/>
  <c r="U116" i="43"/>
  <c r="V116" i="43" s="1"/>
  <c r="H116" i="43" s="1"/>
  <c r="J97" i="64" s="1"/>
  <c r="R97" i="64" s="1"/>
  <c r="U105" i="43"/>
  <c r="V105" i="43" s="1"/>
  <c r="H105" i="43" s="1"/>
  <c r="J86" i="64" s="1"/>
  <c r="R86" i="64" s="1"/>
  <c r="U45" i="43"/>
  <c r="V45" i="43" s="1"/>
  <c r="H45" i="43" s="1"/>
  <c r="J31" i="64" s="1"/>
  <c r="R31" i="64" s="1"/>
  <c r="U123" i="43"/>
  <c r="V123" i="43" s="1"/>
  <c r="H123" i="43" s="1"/>
  <c r="J104" i="64" s="1"/>
  <c r="R104" i="64" s="1"/>
  <c r="U96" i="43"/>
  <c r="V96" i="43" s="1"/>
  <c r="H96" i="43" s="1"/>
  <c r="J77" i="64" s="1"/>
  <c r="R77" i="64" s="1"/>
  <c r="U64" i="43"/>
  <c r="V64" i="43" s="1"/>
  <c r="H64" i="43" s="1"/>
  <c r="J48" i="64" s="1"/>
  <c r="R48" i="64" s="1"/>
  <c r="U78" i="43"/>
  <c r="V78" i="43" s="1"/>
  <c r="H78" i="43" s="1"/>
  <c r="J61" i="64" s="1"/>
  <c r="R61" i="64" s="1"/>
  <c r="U122" i="43"/>
  <c r="V122" i="43" s="1"/>
  <c r="H122" i="43" s="1"/>
  <c r="J103" i="64" s="1"/>
  <c r="R103" i="64" s="1"/>
  <c r="U129" i="43"/>
  <c r="V129" i="43" s="1"/>
  <c r="H129" i="43" s="1"/>
  <c r="J109" i="64" s="1"/>
  <c r="R109" i="64" s="1"/>
  <c r="U118" i="43"/>
  <c r="V118" i="43" s="1"/>
  <c r="H118" i="43" s="1"/>
  <c r="J99" i="64" s="1"/>
  <c r="R99" i="64" s="1"/>
  <c r="U44" i="43"/>
  <c r="V44" i="43" s="1"/>
  <c r="H44" i="43" s="1"/>
  <c r="J30" i="64" s="1"/>
  <c r="R30" i="64" s="1"/>
  <c r="U37" i="43"/>
  <c r="V37" i="43" s="1"/>
  <c r="H37" i="43" s="1"/>
  <c r="J24" i="64" s="1"/>
  <c r="R24" i="64" s="1"/>
  <c r="U22" i="43"/>
  <c r="V22" i="43" s="1"/>
  <c r="H22" i="43" s="1"/>
  <c r="J10" i="64" s="1"/>
  <c r="R10" i="64" s="1"/>
  <c r="U24" i="43"/>
  <c r="V24" i="43" s="1"/>
  <c r="H24" i="43" s="1"/>
  <c r="J12" i="64" s="1"/>
  <c r="R12" i="64" s="1"/>
  <c r="U65" i="43"/>
  <c r="V65" i="43" s="1"/>
  <c r="H65" i="43" s="1"/>
  <c r="J49" i="64" s="1"/>
  <c r="R49" i="64" s="1"/>
  <c r="U49" i="43"/>
  <c r="V49" i="43" s="1"/>
  <c r="H49" i="43" s="1"/>
  <c r="J35" i="64" s="1"/>
  <c r="R35" i="64" s="1"/>
  <c r="U50" i="43"/>
  <c r="V50" i="43" s="1"/>
  <c r="H50" i="43" s="1"/>
  <c r="J36" i="64" s="1"/>
  <c r="R36" i="64" s="1"/>
  <c r="U63" i="43"/>
  <c r="V63" i="43" s="1"/>
  <c r="H63" i="43" s="1"/>
  <c r="J47" i="64" s="1"/>
  <c r="R47" i="64" s="1"/>
  <c r="U132" i="43"/>
  <c r="V132" i="43" s="1"/>
  <c r="H132" i="43" s="1"/>
  <c r="J112" i="64" s="1"/>
  <c r="R112" i="64" s="1"/>
  <c r="U104" i="43"/>
  <c r="V104" i="43" s="1"/>
  <c r="H104" i="43" s="1"/>
  <c r="J85" i="64" s="1"/>
  <c r="R85" i="64" s="1"/>
  <c r="U73" i="43"/>
  <c r="V73" i="43" s="1"/>
  <c r="H73" i="43" s="1"/>
  <c r="J56" i="64" s="1"/>
  <c r="R56" i="64" s="1"/>
  <c r="U86" i="43"/>
  <c r="V86" i="43" s="1"/>
  <c r="H86" i="43" s="1"/>
  <c r="J69" i="64" s="1"/>
  <c r="R69" i="64" s="1"/>
  <c r="U134" i="43"/>
  <c r="V134" i="43" s="1"/>
  <c r="H134" i="43" s="1"/>
  <c r="J114" i="64" s="1"/>
  <c r="R114" i="64" s="1"/>
  <c r="U121" i="43"/>
  <c r="V121" i="43" s="1"/>
  <c r="H121" i="43" s="1"/>
  <c r="J102" i="64" s="1"/>
  <c r="R102" i="64" s="1"/>
  <c r="U130" i="43"/>
  <c r="V130" i="43" s="1"/>
  <c r="H130" i="43" s="1"/>
  <c r="J110" i="64" s="1"/>
  <c r="R110" i="64" s="1"/>
  <c r="U53" i="43"/>
  <c r="V53" i="43" s="1"/>
  <c r="H53" i="43" s="1"/>
  <c r="J38" i="64" s="1"/>
  <c r="R38" i="64" s="1"/>
  <c r="U16" i="43"/>
  <c r="V16" i="43" s="1"/>
  <c r="H16" i="43" s="1"/>
  <c r="J5" i="64" s="1"/>
  <c r="R5" i="64" s="1"/>
  <c r="U30" i="43"/>
  <c r="V30" i="43" s="1"/>
  <c r="H30" i="43" s="1"/>
  <c r="J18" i="64" s="1"/>
  <c r="R18" i="64" s="1"/>
  <c r="U32" i="43"/>
  <c r="V32" i="43" s="1"/>
  <c r="H32" i="43" s="1"/>
  <c r="J20" i="64" s="1"/>
  <c r="R20" i="64" s="1"/>
  <c r="U62" i="43"/>
  <c r="V62" i="43" s="1"/>
  <c r="H62" i="43" s="1"/>
  <c r="J46" i="64" s="1"/>
  <c r="R46" i="64" s="1"/>
  <c r="U54" i="43"/>
  <c r="V54" i="43" s="1"/>
  <c r="H54" i="43" s="1"/>
  <c r="J39" i="64" s="1"/>
  <c r="R39" i="64" s="1"/>
  <c r="U58" i="43"/>
  <c r="V58" i="43" s="1"/>
  <c r="H58" i="43" s="1"/>
  <c r="J43" i="64" s="1"/>
  <c r="R43" i="64" s="1"/>
  <c r="U74" i="43"/>
  <c r="V74" i="43" s="1"/>
  <c r="H74" i="43" s="1"/>
  <c r="J57" i="64" s="1"/>
  <c r="R57" i="64" s="1"/>
  <c r="U46" i="43"/>
  <c r="V46" i="43" s="1"/>
  <c r="H46" i="43" s="1"/>
  <c r="J32" i="64" s="1"/>
  <c r="R32" i="64" s="1"/>
  <c r="U112" i="43"/>
  <c r="V112" i="43" s="1"/>
  <c r="H112" i="43" s="1"/>
  <c r="J93" i="64" s="1"/>
  <c r="R93" i="64" s="1"/>
  <c r="U81" i="43"/>
  <c r="V81" i="43" s="1"/>
  <c r="H81" i="43" s="1"/>
  <c r="J64" i="64" s="1"/>
  <c r="R64" i="64" s="1"/>
  <c r="U95" i="43"/>
  <c r="V95" i="43" s="1"/>
  <c r="H95" i="43" s="1"/>
  <c r="J76" i="64" s="1"/>
  <c r="R76" i="64" s="1"/>
  <c r="U126" i="43"/>
  <c r="V126" i="43" s="1"/>
  <c r="H126" i="43" s="1"/>
  <c r="J107" i="64" s="1"/>
  <c r="R107" i="64" s="1"/>
  <c r="U133" i="43"/>
  <c r="V133" i="43" s="1"/>
  <c r="H133" i="43" s="1"/>
  <c r="J113" i="64" s="1"/>
  <c r="R113" i="64" s="1"/>
  <c r="U12" i="43"/>
  <c r="V12" i="43" s="1"/>
  <c r="H12" i="43" s="1"/>
  <c r="J2" i="64" s="1"/>
  <c r="R2" i="64" s="1"/>
  <c r="U23" i="43"/>
  <c r="V23" i="43" s="1"/>
  <c r="H23" i="43" s="1"/>
  <c r="J11" i="64" s="1"/>
  <c r="R11" i="64" s="1"/>
  <c r="U33" i="43"/>
  <c r="V33" i="43" s="1"/>
  <c r="H33" i="43" s="1"/>
  <c r="J21" i="64" s="1"/>
  <c r="R21" i="64" s="1"/>
  <c r="U48" i="43"/>
  <c r="V48" i="43" s="1"/>
  <c r="H48" i="43" s="1"/>
  <c r="J34" i="64" s="1"/>
  <c r="R34" i="64" s="1"/>
  <c r="U20" i="43"/>
  <c r="V20" i="43" s="1"/>
  <c r="H20" i="43" s="1"/>
  <c r="J9" i="64" s="1"/>
  <c r="R9" i="64" s="1"/>
  <c r="U83" i="43"/>
  <c r="V83" i="43" s="1"/>
  <c r="H83" i="43" s="1"/>
  <c r="J66" i="64" s="1"/>
  <c r="R66" i="64" s="1"/>
  <c r="U72" i="43"/>
  <c r="V72" i="43" s="1"/>
  <c r="H72" i="43" s="1"/>
  <c r="J55" i="64" s="1"/>
  <c r="R55" i="64" s="1"/>
  <c r="U85" i="43"/>
  <c r="V85" i="43" s="1"/>
  <c r="H85" i="43" s="1"/>
  <c r="J68" i="64" s="1"/>
  <c r="R68" i="64" s="1"/>
  <c r="U91" i="43"/>
  <c r="V91" i="43" s="1"/>
  <c r="H91" i="43" s="1"/>
  <c r="J73" i="64" s="1"/>
  <c r="R73" i="64" s="1"/>
  <c r="U68" i="43"/>
  <c r="V68" i="43" s="1"/>
  <c r="H68" i="43" s="1"/>
  <c r="J51" i="64" s="1"/>
  <c r="R51" i="64" s="1"/>
  <c r="U26" i="43"/>
  <c r="V26" i="43" s="1"/>
  <c r="H26" i="43" s="1"/>
  <c r="J14" i="64" s="1"/>
  <c r="R14" i="64" s="1"/>
  <c r="U19" i="43"/>
  <c r="V19" i="43" s="1"/>
  <c r="H19" i="43" s="1"/>
  <c r="J8" i="64" s="1"/>
  <c r="R8" i="64" s="1"/>
  <c r="U60" i="43"/>
  <c r="V60" i="43" s="1"/>
  <c r="H60" i="43" s="1"/>
  <c r="J45" i="64" s="1"/>
  <c r="R45" i="64" s="1"/>
  <c r="U35" i="43"/>
  <c r="V35" i="43" s="1"/>
  <c r="H35" i="43" s="1"/>
  <c r="J23" i="64" s="1"/>
  <c r="R23" i="64" s="1"/>
  <c r="U47" i="43"/>
  <c r="V47" i="43" s="1"/>
  <c r="H47" i="43" s="1"/>
  <c r="J33" i="64" s="1"/>
  <c r="R33" i="64" s="1"/>
  <c r="U108" i="43"/>
  <c r="V108" i="43" s="1"/>
  <c r="H108" i="43" s="1"/>
  <c r="J89" i="64" s="1"/>
  <c r="R89" i="64" s="1"/>
  <c r="U97" i="43"/>
  <c r="V97" i="43" s="1"/>
  <c r="H97" i="43" s="1"/>
  <c r="J78" i="64" s="1"/>
  <c r="R78" i="64" s="1"/>
  <c r="U110" i="43"/>
  <c r="V110" i="43" s="1"/>
  <c r="H110" i="43" s="1"/>
  <c r="J91" i="64" s="1"/>
  <c r="R91" i="64" s="1"/>
  <c r="U115" i="43"/>
  <c r="V115" i="43" s="1"/>
  <c r="H115" i="43" s="1"/>
  <c r="J96" i="64" s="1"/>
  <c r="R96" i="64" s="1"/>
  <c r="U87" i="43"/>
  <c r="V87" i="43" s="1"/>
  <c r="H87" i="43" s="1"/>
  <c r="J70" i="64" s="1"/>
  <c r="R70" i="64" s="1"/>
  <c r="U101" i="43"/>
  <c r="V101" i="43" s="1"/>
  <c r="H101" i="43" s="1"/>
  <c r="J82" i="64" s="1"/>
  <c r="R82" i="64" s="1"/>
  <c r="U69" i="43"/>
  <c r="V69" i="43" s="1"/>
  <c r="H69" i="43" s="1"/>
  <c r="J52" i="64" s="1"/>
  <c r="R52" i="64" s="1"/>
  <c r="U136" i="43"/>
  <c r="V136" i="43" s="1"/>
  <c r="H136" i="43" s="1"/>
  <c r="J116" i="64" s="1"/>
  <c r="R116" i="64" s="1"/>
  <c r="U117" i="43"/>
  <c r="V117" i="43" s="1"/>
  <c r="H117" i="43" s="1"/>
  <c r="J98" i="64" s="1"/>
  <c r="R98" i="64" s="1"/>
  <c r="U114" i="43"/>
  <c r="V114" i="43" s="1"/>
  <c r="H114" i="43" s="1"/>
  <c r="J95" i="64" s="1"/>
  <c r="R95" i="64" s="1"/>
  <c r="U52" i="43"/>
  <c r="V52" i="43" s="1"/>
  <c r="H52" i="43" s="1"/>
  <c r="J37" i="64" s="1"/>
  <c r="R37" i="64" s="1"/>
  <c r="U92" i="43"/>
  <c r="V92" i="43" s="1"/>
  <c r="H92" i="43" s="1"/>
  <c r="J74" i="64" s="1"/>
  <c r="R74" i="64" s="1"/>
  <c r="U82" i="43"/>
  <c r="V82" i="43" s="1"/>
  <c r="H82" i="43" s="1"/>
  <c r="J65" i="64" s="1"/>
  <c r="R65" i="64" s="1"/>
  <c r="U84" i="43"/>
  <c r="V84" i="43" s="1"/>
  <c r="H84" i="43" s="1"/>
  <c r="J67" i="64" s="1"/>
  <c r="R67" i="64" s="1"/>
  <c r="U119" i="43"/>
  <c r="V119" i="43" s="1"/>
  <c r="H119" i="43" s="1"/>
  <c r="J100" i="64" s="1"/>
  <c r="R100" i="64" s="1"/>
  <c r="U137" i="43"/>
  <c r="V137" i="43" s="1"/>
  <c r="H137" i="43" s="1"/>
  <c r="J117" i="64" s="1"/>
  <c r="R117" i="64" s="1"/>
  <c r="U77" i="43"/>
  <c r="V77" i="43" s="1"/>
  <c r="H77" i="43" s="1"/>
  <c r="J60" i="64" s="1"/>
  <c r="R60" i="64" s="1"/>
  <c r="U135" i="43"/>
  <c r="V135" i="43" s="1"/>
  <c r="H135" i="43" s="1"/>
  <c r="J115" i="64" s="1"/>
  <c r="R115" i="64" s="1"/>
  <c r="U39" i="43"/>
  <c r="V39" i="43" s="1"/>
  <c r="H39" i="43" s="1"/>
  <c r="J26" i="64" s="1"/>
  <c r="R26" i="64" s="1"/>
  <c r="U100" i="43"/>
  <c r="V100" i="43" s="1"/>
  <c r="H100" i="43" s="1"/>
  <c r="J81" i="64" s="1"/>
  <c r="R81" i="64" s="1"/>
  <c r="U99" i="43"/>
  <c r="V99" i="43" s="1"/>
  <c r="H99" i="43" s="1"/>
  <c r="J80" i="64" s="1"/>
  <c r="R80" i="64" s="1"/>
  <c r="U93" i="43"/>
  <c r="V93" i="43" s="1"/>
  <c r="H93" i="43" s="1"/>
  <c r="U128" i="43"/>
  <c r="V128" i="43" s="1"/>
  <c r="H128" i="43" s="1"/>
  <c r="J108" i="64" s="1"/>
  <c r="R108" i="64" s="1"/>
  <c r="U109" i="43"/>
  <c r="V109" i="43" s="1"/>
  <c r="H109" i="43" s="1"/>
  <c r="J90" i="64" s="1"/>
  <c r="R90" i="64" s="1"/>
  <c r="U31" i="43"/>
  <c r="V31" i="43" s="1"/>
  <c r="H31" i="43" s="1"/>
  <c r="J19" i="64" s="1"/>
  <c r="R19" i="64" s="1"/>
  <c r="U79" i="43"/>
  <c r="V79" i="43" s="1"/>
  <c r="H79" i="43" s="1"/>
  <c r="J62" i="64" s="1"/>
  <c r="R62" i="64" s="1"/>
  <c r="U17" i="43"/>
  <c r="V17" i="43" s="1"/>
  <c r="H17" i="43" s="1"/>
  <c r="J6" i="64" s="1"/>
  <c r="R6" i="64" s="1"/>
  <c r="U18" i="43"/>
  <c r="V18" i="43" s="1"/>
  <c r="H18" i="43" s="1"/>
  <c r="J7" i="64" s="1"/>
  <c r="R7" i="64" s="1"/>
  <c r="U66" i="43"/>
  <c r="V66" i="43" s="1"/>
  <c r="H66" i="43" s="1"/>
  <c r="J50" i="64" s="1"/>
  <c r="R50" i="64" s="1"/>
  <c r="U107" i="43"/>
  <c r="V107" i="43" s="1"/>
  <c r="H107" i="43" s="1"/>
  <c r="J88" i="64" s="1"/>
  <c r="R88" i="64" s="1"/>
  <c r="U90" i="43"/>
  <c r="V90" i="43" s="1"/>
  <c r="H90" i="43" s="1"/>
  <c r="J72" i="64" s="1"/>
  <c r="R72" i="64" s="1"/>
  <c r="U120" i="43"/>
  <c r="V120" i="43" s="1"/>
  <c r="H120" i="43" s="1"/>
  <c r="J101" i="64" s="1"/>
  <c r="R101" i="64" s="1"/>
  <c r="U29" i="43"/>
  <c r="V29" i="43" s="1"/>
  <c r="H29" i="43" s="1"/>
  <c r="J17" i="64" s="1"/>
  <c r="R17" i="64" s="1"/>
  <c r="U25" i="43"/>
  <c r="V25" i="43" s="1"/>
  <c r="H25" i="43" s="1"/>
  <c r="J13" i="64" s="1"/>
  <c r="R13" i="64" s="1"/>
  <c r="U14" i="43"/>
  <c r="V14" i="43" s="1"/>
  <c r="H14" i="43" s="1"/>
  <c r="J3" i="64" s="1"/>
  <c r="R3" i="64" s="1"/>
  <c r="U27" i="43"/>
  <c r="V27" i="43" s="1"/>
  <c r="H27" i="43" s="1"/>
  <c r="J15" i="64" s="1"/>
  <c r="R15" i="64" s="1"/>
  <c r="U80" i="43"/>
  <c r="V80" i="43" s="1"/>
  <c r="H80" i="43" s="1"/>
  <c r="J63" i="64" s="1"/>
  <c r="R63" i="64" s="1"/>
  <c r="U55" i="43"/>
  <c r="V55" i="43" s="1"/>
  <c r="H55" i="43" s="1"/>
  <c r="J40" i="64" s="1"/>
  <c r="R40" i="64" s="1"/>
  <c r="U98" i="43"/>
  <c r="V98" i="43" s="1"/>
  <c r="H98" i="43" s="1"/>
  <c r="J79" i="64" s="1"/>
  <c r="R79" i="64" s="1"/>
  <c r="U131" i="43"/>
  <c r="V131" i="43" s="1"/>
  <c r="H131" i="43" s="1"/>
  <c r="J111" i="64" s="1"/>
  <c r="R111" i="64" s="1"/>
  <c r="U106" i="43"/>
  <c r="V106" i="43" s="1"/>
  <c r="H106" i="43" s="1"/>
  <c r="J87" i="64" s="1"/>
  <c r="R87" i="64" s="1"/>
  <c r="U42" i="43"/>
  <c r="V42" i="43" s="1"/>
  <c r="H42" i="43" s="1"/>
  <c r="J28" i="64" s="1"/>
  <c r="R28" i="64" s="1"/>
  <c r="U89" i="43"/>
  <c r="V89" i="43" s="1"/>
  <c r="H89" i="43" s="1"/>
  <c r="J71" i="64" s="1"/>
  <c r="R71" i="64" s="1"/>
  <c r="U71" i="43"/>
  <c r="V71" i="43" s="1"/>
  <c r="H71" i="43" s="1"/>
  <c r="J54" i="64" s="1"/>
  <c r="R54" i="64" s="1"/>
  <c r="U124" i="43"/>
  <c r="V124" i="43" s="1"/>
  <c r="H124" i="43" s="1"/>
  <c r="J105" i="64" s="1"/>
  <c r="R105" i="64" s="1"/>
  <c r="U40" i="43"/>
  <c r="V40" i="43" s="1"/>
  <c r="H40" i="43" s="1"/>
  <c r="J27" i="64" s="1"/>
  <c r="R27" i="64" s="1"/>
  <c r="U57" i="43"/>
  <c r="V57" i="43" s="1"/>
  <c r="H57" i="43" s="1"/>
  <c r="J42" i="64" s="1"/>
  <c r="R42" i="64" s="1"/>
  <c r="U102" i="43"/>
  <c r="V102" i="43" s="1"/>
  <c r="H102" i="43" s="1"/>
  <c r="J83" i="64" s="1"/>
  <c r="R83" i="64" s="1"/>
  <c r="U59" i="43"/>
  <c r="V59" i="43" s="1"/>
  <c r="H59" i="43" s="1"/>
  <c r="J44" i="64" s="1"/>
  <c r="R44" i="64" s="1"/>
  <c r="U76" i="43"/>
  <c r="V76" i="43" s="1"/>
  <c r="H76" i="43" s="1"/>
  <c r="J59" i="64" s="1"/>
  <c r="R59" i="64" s="1"/>
  <c r="U113" i="43"/>
  <c r="V113" i="43" s="1"/>
  <c r="H113" i="43" s="1"/>
  <c r="J94" i="64" s="1"/>
  <c r="R94" i="64" s="1"/>
  <c r="U43" i="43"/>
  <c r="V43" i="43" s="1"/>
  <c r="H43" i="43" s="1"/>
  <c r="J29" i="64" s="1"/>
  <c r="R29" i="64" s="1"/>
  <c r="U111" i="43"/>
  <c r="V111" i="43" s="1"/>
  <c r="H111" i="43" s="1"/>
  <c r="J92" i="64" s="1"/>
  <c r="R92" i="64" s="1"/>
  <c r="U38" i="43"/>
  <c r="V38" i="43" s="1"/>
  <c r="H38" i="43" s="1"/>
  <c r="J25" i="64" s="1"/>
  <c r="R25" i="64" s="1"/>
  <c r="U125" i="43"/>
  <c r="V125" i="43" s="1"/>
  <c r="H125" i="43" s="1"/>
  <c r="J106" i="64" s="1"/>
  <c r="R106" i="64" s="1"/>
  <c r="U94" i="43"/>
  <c r="V94" i="43" s="1"/>
  <c r="H94" i="43" s="1"/>
  <c r="J75" i="64" s="1"/>
  <c r="R75" i="64" s="1"/>
  <c r="U103" i="43"/>
  <c r="V103" i="43" s="1"/>
  <c r="H103" i="43" s="1"/>
  <c r="J84" i="64" s="1"/>
  <c r="R84" i="64" s="1"/>
  <c r="U75" i="43"/>
  <c r="V75" i="43" s="1"/>
  <c r="H75" i="43" s="1"/>
  <c r="J58" i="64" s="1"/>
  <c r="R58" i="64" s="1"/>
  <c r="U113" i="44"/>
  <c r="V113" i="44" s="1"/>
  <c r="U25" i="44"/>
  <c r="V25" i="44" s="1"/>
  <c r="U71" i="44"/>
  <c r="V71" i="44" s="1"/>
  <c r="U20" i="44"/>
  <c r="V20" i="44" s="1"/>
  <c r="U80" i="44"/>
  <c r="V80" i="44" s="1"/>
  <c r="U133" i="44"/>
  <c r="V133" i="44" s="1"/>
  <c r="U63" i="44"/>
  <c r="V63" i="44" s="1"/>
  <c r="U101" i="44"/>
  <c r="V101" i="44" s="1"/>
  <c r="U46" i="44"/>
  <c r="V46" i="44" s="1"/>
  <c r="U118" i="44"/>
  <c r="V118" i="44" s="1"/>
  <c r="U30" i="44"/>
  <c r="V30" i="44" s="1"/>
  <c r="U76" i="44"/>
  <c r="V76" i="44" s="1"/>
  <c r="U137" i="44"/>
  <c r="V137" i="44" s="1"/>
  <c r="U52" i="44"/>
  <c r="V52" i="44" s="1"/>
  <c r="U128" i="44"/>
  <c r="V128" i="44" s="1"/>
  <c r="U121" i="44"/>
  <c r="V121" i="44" s="1"/>
  <c r="U33" i="44"/>
  <c r="V33" i="44" s="1"/>
  <c r="U79" i="44"/>
  <c r="V79" i="44" s="1"/>
  <c r="U132" i="44"/>
  <c r="V132" i="44" s="1"/>
  <c r="U62" i="44"/>
  <c r="V62" i="44" s="1"/>
  <c r="U92" i="44"/>
  <c r="V92" i="44" s="1"/>
  <c r="U56" i="44"/>
  <c r="V56" i="44" s="1"/>
  <c r="U109" i="44"/>
  <c r="V109" i="44" s="1"/>
  <c r="U40" i="44"/>
  <c r="V40" i="44" s="1"/>
  <c r="U126" i="44"/>
  <c r="V126" i="44" s="1"/>
  <c r="U16" i="44"/>
  <c r="V16" i="44" s="1"/>
  <c r="U84" i="44"/>
  <c r="V84" i="44" s="1"/>
  <c r="U96" i="44"/>
  <c r="V96" i="44" s="1"/>
  <c r="U60" i="44"/>
  <c r="V60" i="44" s="1"/>
  <c r="U129" i="44"/>
  <c r="V129" i="44" s="1"/>
  <c r="U70" i="44"/>
  <c r="V70" i="44" s="1"/>
  <c r="U19" i="44"/>
  <c r="V19" i="44" s="1"/>
  <c r="U87" i="44"/>
  <c r="V87" i="44" s="1"/>
  <c r="U91" i="44"/>
  <c r="V91" i="44" s="1"/>
  <c r="U55" i="44"/>
  <c r="V55" i="44" s="1"/>
  <c r="U100" i="44"/>
  <c r="V100" i="44" s="1"/>
  <c r="U45" i="44"/>
  <c r="V45" i="44" s="1"/>
  <c r="U117" i="44"/>
  <c r="V117" i="44" s="1"/>
  <c r="U29" i="44"/>
  <c r="V29" i="44" s="1"/>
  <c r="U75" i="44"/>
  <c r="V75" i="44" s="1"/>
  <c r="U136" i="44"/>
  <c r="V136" i="44" s="1"/>
  <c r="U66" i="44"/>
  <c r="V66" i="44" s="1"/>
  <c r="U104" i="44"/>
  <c r="V104" i="44" s="1"/>
  <c r="U49" i="44"/>
  <c r="V49" i="44" s="1"/>
  <c r="U130" i="44"/>
  <c r="V130" i="44" s="1"/>
  <c r="U78" i="44"/>
  <c r="V78" i="44" s="1"/>
  <c r="U90" i="44"/>
  <c r="V90" i="44" s="1"/>
  <c r="U54" i="44"/>
  <c r="V54" i="44" s="1"/>
  <c r="U99" i="44"/>
  <c r="V99" i="44" s="1"/>
  <c r="U44" i="44"/>
  <c r="V44" i="44" s="1"/>
  <c r="U108" i="44"/>
  <c r="V108" i="44" s="1"/>
  <c r="U39" i="44"/>
  <c r="V39" i="44" s="1"/>
  <c r="U125" i="44"/>
  <c r="V125" i="44" s="1"/>
  <c r="U15" i="44"/>
  <c r="V15" i="44" s="1"/>
  <c r="U83" i="44"/>
  <c r="V83" i="44" s="1"/>
  <c r="U95" i="44"/>
  <c r="V95" i="44" s="1"/>
  <c r="U59" i="44"/>
  <c r="V59" i="44" s="1"/>
  <c r="U112" i="44"/>
  <c r="V112" i="44" s="1"/>
  <c r="U24" i="44"/>
  <c r="V24" i="44" s="1"/>
  <c r="U131" i="44"/>
  <c r="V131" i="44" s="1"/>
  <c r="U86" i="44"/>
  <c r="V86" i="44" s="1"/>
  <c r="U98" i="44"/>
  <c r="V98" i="44" s="1"/>
  <c r="U43" i="44"/>
  <c r="V43" i="44" s="1"/>
  <c r="U107" i="44"/>
  <c r="V107" i="44" s="1"/>
  <c r="U38" i="44"/>
  <c r="V38" i="44" s="1"/>
  <c r="U116" i="44"/>
  <c r="V116" i="44" s="1"/>
  <c r="U28" i="44"/>
  <c r="V28" i="44" s="1"/>
  <c r="U74" i="44"/>
  <c r="V74" i="44" s="1"/>
  <c r="U135" i="44"/>
  <c r="V135" i="44" s="1"/>
  <c r="U65" i="44"/>
  <c r="V65" i="44" s="1"/>
  <c r="U103" i="44"/>
  <c r="V103" i="44" s="1"/>
  <c r="U48" i="44"/>
  <c r="V48" i="44" s="1"/>
  <c r="U120" i="44"/>
  <c r="V120" i="44" s="1"/>
  <c r="U32" i="44"/>
  <c r="V32" i="44" s="1"/>
  <c r="U105" i="44"/>
  <c r="V105" i="44" s="1"/>
  <c r="U50" i="44"/>
  <c r="V50" i="44" s="1"/>
  <c r="U122" i="44"/>
  <c r="V122" i="44" s="1"/>
  <c r="U34" i="44"/>
  <c r="V34" i="44" s="1"/>
  <c r="U72" i="44"/>
  <c r="V72" i="44" s="1"/>
  <c r="U12" i="44"/>
  <c r="V12" i="44" s="1"/>
  <c r="U81" i="44"/>
  <c r="V81" i="44" s="1"/>
  <c r="U93" i="44"/>
  <c r="V93" i="44" s="1"/>
  <c r="U57" i="44"/>
  <c r="V57" i="44" s="1"/>
  <c r="U110" i="44"/>
  <c r="V110" i="44" s="1"/>
  <c r="U22" i="44"/>
  <c r="V22" i="44" s="1"/>
  <c r="U68" i="44"/>
  <c r="V68" i="44" s="1"/>
  <c r="U17" i="44"/>
  <c r="V17" i="44" s="1"/>
  <c r="U85" i="44"/>
  <c r="V85" i="44" s="1"/>
  <c r="U42" i="44"/>
  <c r="V42" i="44" s="1"/>
  <c r="U35" i="44"/>
  <c r="V35" i="44" s="1"/>
  <c r="U102" i="44"/>
  <c r="V102" i="44" s="1"/>
  <c r="U77" i="44"/>
  <c r="V77" i="44" s="1"/>
  <c r="U31" i="44"/>
  <c r="V31" i="44" s="1"/>
  <c r="U106" i="44"/>
  <c r="V106" i="44" s="1"/>
  <c r="U124" i="44"/>
  <c r="V124" i="44" s="1"/>
  <c r="U58" i="44"/>
  <c r="V58" i="44" s="1"/>
  <c r="U18" i="44"/>
  <c r="V18" i="44" s="1"/>
  <c r="U64" i="44"/>
  <c r="V64" i="44" s="1"/>
  <c r="U114" i="44"/>
  <c r="V114" i="44" s="1"/>
  <c r="U73" i="44"/>
  <c r="V73" i="44" s="1"/>
  <c r="U47" i="44"/>
  <c r="V47" i="44" s="1"/>
  <c r="U37" i="44"/>
  <c r="V37" i="44" s="1"/>
  <c r="U14" i="44"/>
  <c r="V14" i="44" s="1"/>
  <c r="U111" i="44"/>
  <c r="V111" i="44" s="1"/>
  <c r="U26" i="44"/>
  <c r="V26" i="44" s="1"/>
  <c r="U134" i="44"/>
  <c r="V134" i="44" s="1"/>
  <c r="U119" i="44"/>
  <c r="V119" i="44" s="1"/>
  <c r="U89" i="44"/>
  <c r="V89" i="44" s="1"/>
  <c r="U115" i="44"/>
  <c r="V115" i="44" s="1"/>
  <c r="U82" i="44"/>
  <c r="V82" i="44" s="1"/>
  <c r="U23" i="44"/>
  <c r="V23" i="44" s="1"/>
  <c r="U97" i="44"/>
  <c r="V97" i="44" s="1"/>
  <c r="U27" i="44"/>
  <c r="V27" i="44" s="1"/>
  <c r="U94" i="44"/>
  <c r="V94" i="44" s="1"/>
  <c r="U69" i="44"/>
  <c r="V69" i="44" s="1"/>
  <c r="U53" i="44"/>
  <c r="V53" i="44" s="1"/>
  <c r="U123" i="44"/>
  <c r="V123" i="44" s="1"/>
  <c r="U122" i="42"/>
  <c r="V122" i="42" s="1"/>
  <c r="U80" i="42"/>
  <c r="V80" i="42" s="1"/>
  <c r="U48" i="42"/>
  <c r="V48" i="42" s="1"/>
  <c r="U137" i="42"/>
  <c r="V137" i="42" s="1"/>
  <c r="U93" i="42"/>
  <c r="V93" i="42" s="1"/>
  <c r="U69" i="42"/>
  <c r="V69" i="42" s="1"/>
  <c r="U30" i="42"/>
  <c r="V30" i="42" s="1"/>
  <c r="J32" i="50" s="1"/>
  <c r="U133" i="42"/>
  <c r="V133" i="42" s="1"/>
  <c r="U102" i="42"/>
  <c r="V102" i="42" s="1"/>
  <c r="U53" i="42"/>
  <c r="V53" i="42" s="1"/>
  <c r="U25" i="42"/>
  <c r="V25" i="42" s="1"/>
  <c r="J27" i="50" s="1"/>
  <c r="U121" i="42"/>
  <c r="V121" i="42" s="1"/>
  <c r="U79" i="42"/>
  <c r="V79" i="42" s="1"/>
  <c r="U47" i="42"/>
  <c r="V47" i="42" s="1"/>
  <c r="U126" i="42"/>
  <c r="V126" i="42" s="1"/>
  <c r="U84" i="42"/>
  <c r="V84" i="42" s="1"/>
  <c r="U40" i="42"/>
  <c r="V40" i="42" s="1"/>
  <c r="U128" i="42"/>
  <c r="V128" i="42" s="1"/>
  <c r="U97" i="42"/>
  <c r="V97" i="42" s="1"/>
  <c r="U63" i="42"/>
  <c r="V63" i="42" s="1"/>
  <c r="U34" i="42"/>
  <c r="V34" i="42" s="1"/>
  <c r="U112" i="42"/>
  <c r="V112" i="42" s="1"/>
  <c r="U106" i="42"/>
  <c r="V106" i="42" s="1"/>
  <c r="U57" i="42"/>
  <c r="V57" i="42" s="1"/>
  <c r="U15" i="42"/>
  <c r="V15" i="42" s="1"/>
  <c r="U125" i="42"/>
  <c r="V125" i="42" s="1"/>
  <c r="U83" i="42"/>
  <c r="V83" i="42" s="1"/>
  <c r="U42" i="42"/>
  <c r="V42" i="42" s="1"/>
  <c r="U18" i="42"/>
  <c r="V18" i="42" s="1"/>
  <c r="U92" i="42"/>
  <c r="V92" i="42" s="1"/>
  <c r="U68" i="42"/>
  <c r="V68" i="42" s="1"/>
  <c r="U29" i="42"/>
  <c r="V29" i="42" s="1"/>
  <c r="J31" i="50" s="1"/>
  <c r="U132" i="42"/>
  <c r="V132" i="42" s="1"/>
  <c r="U101" i="42"/>
  <c r="V101" i="42" s="1"/>
  <c r="U62" i="42"/>
  <c r="V62" i="42" s="1"/>
  <c r="U24" i="42"/>
  <c r="V24" i="42" s="1"/>
  <c r="J26" i="50" s="1"/>
  <c r="U116" i="42"/>
  <c r="V116" i="42" s="1"/>
  <c r="U74" i="42"/>
  <c r="V74" i="42" s="1"/>
  <c r="U52" i="42"/>
  <c r="V52" i="42" s="1"/>
  <c r="U16" i="42"/>
  <c r="V16" i="42" s="1"/>
  <c r="U91" i="42"/>
  <c r="V91" i="42" s="1"/>
  <c r="U87" i="42"/>
  <c r="V87" i="42" s="1"/>
  <c r="U39" i="42"/>
  <c r="V39" i="42" s="1"/>
  <c r="U136" i="42"/>
  <c r="V136" i="42" s="1"/>
  <c r="U96" i="42"/>
  <c r="V96" i="42" s="1"/>
  <c r="U72" i="42"/>
  <c r="V72" i="42" s="1"/>
  <c r="U33" i="42"/>
  <c r="V33" i="42" s="1"/>
  <c r="U111" i="42"/>
  <c r="V111" i="42" s="1"/>
  <c r="U105" i="42"/>
  <c r="V105" i="42" s="1"/>
  <c r="U56" i="42"/>
  <c r="V56" i="42" s="1"/>
  <c r="U28" i="42"/>
  <c r="V28" i="42" s="1"/>
  <c r="J30" i="50" s="1"/>
  <c r="U120" i="42"/>
  <c r="V120" i="42" s="1"/>
  <c r="U78" i="42"/>
  <c r="V78" i="42" s="1"/>
  <c r="U46" i="42"/>
  <c r="V46" i="42" s="1"/>
  <c r="U135" i="42"/>
  <c r="V135" i="42" s="1"/>
  <c r="U95" i="42"/>
  <c r="V95" i="42" s="1"/>
  <c r="U71" i="42"/>
  <c r="V71" i="42" s="1"/>
  <c r="U32" i="42"/>
  <c r="V32" i="42" s="1"/>
  <c r="U131" i="42"/>
  <c r="V131" i="42" s="1"/>
  <c r="U100" i="42"/>
  <c r="V100" i="42" s="1"/>
  <c r="U66" i="42"/>
  <c r="V66" i="42" s="1"/>
  <c r="U23" i="42"/>
  <c r="V23" i="42" s="1"/>
  <c r="J25" i="50" s="1"/>
  <c r="U115" i="42"/>
  <c r="V115" i="42" s="1"/>
  <c r="U73" i="42"/>
  <c r="V73" i="42" s="1"/>
  <c r="U60" i="42"/>
  <c r="V60" i="42" s="1"/>
  <c r="U14" i="42"/>
  <c r="V14" i="42" s="1"/>
  <c r="U124" i="42"/>
  <c r="V124" i="42" s="1"/>
  <c r="U82" i="42"/>
  <c r="V82" i="42" s="1"/>
  <c r="U50" i="42"/>
  <c r="V50" i="42" s="1"/>
  <c r="U130" i="42"/>
  <c r="V130" i="42" s="1"/>
  <c r="U99" i="42"/>
  <c r="V99" i="42" s="1"/>
  <c r="U65" i="42"/>
  <c r="V65" i="42" s="1"/>
  <c r="U22" i="42"/>
  <c r="V22" i="42" s="1"/>
  <c r="U118" i="42"/>
  <c r="V118" i="42" s="1"/>
  <c r="U76" i="42"/>
  <c r="V76" i="42" s="1"/>
  <c r="U44" i="42"/>
  <c r="V44" i="42" s="1"/>
  <c r="U20" i="42"/>
  <c r="V20" i="42" s="1"/>
  <c r="U89" i="42"/>
  <c r="V89" i="42" s="1"/>
  <c r="U85" i="42"/>
  <c r="V85" i="42" s="1"/>
  <c r="U37" i="42"/>
  <c r="V37" i="42" s="1"/>
  <c r="U129" i="42"/>
  <c r="V129" i="42" s="1"/>
  <c r="U98" i="42"/>
  <c r="V98" i="42" s="1"/>
  <c r="U64" i="42"/>
  <c r="V64" i="42" s="1"/>
  <c r="U35" i="42"/>
  <c r="V35" i="42" s="1"/>
  <c r="U117" i="42"/>
  <c r="V117" i="42" s="1"/>
  <c r="U75" i="42"/>
  <c r="V75" i="42" s="1"/>
  <c r="U43" i="42"/>
  <c r="V43" i="42" s="1"/>
  <c r="U104" i="42"/>
  <c r="V104" i="42" s="1"/>
  <c r="U77" i="42"/>
  <c r="V77" i="42" s="1"/>
  <c r="U86" i="42"/>
  <c r="V86" i="42" s="1"/>
  <c r="U54" i="42"/>
  <c r="V54" i="42" s="1"/>
  <c r="U119" i="42"/>
  <c r="V119" i="42" s="1"/>
  <c r="U108" i="42"/>
  <c r="V108" i="42" s="1"/>
  <c r="U81" i="42"/>
  <c r="V81" i="42" s="1"/>
  <c r="U70" i="42"/>
  <c r="V70" i="42" s="1"/>
  <c r="U58" i="42"/>
  <c r="V58" i="42" s="1"/>
  <c r="U110" i="42"/>
  <c r="V110" i="42" s="1"/>
  <c r="U55" i="42"/>
  <c r="V55" i="42" s="1"/>
  <c r="U45" i="42"/>
  <c r="V45" i="42" s="1"/>
  <c r="U38" i="42"/>
  <c r="V38" i="42" s="1"/>
  <c r="U26" i="42"/>
  <c r="V26" i="42" s="1"/>
  <c r="J28" i="50" s="1"/>
  <c r="U90" i="42"/>
  <c r="V90" i="42" s="1"/>
  <c r="U59" i="42"/>
  <c r="V59" i="42" s="1"/>
  <c r="U49" i="42"/>
  <c r="V49" i="42" s="1"/>
  <c r="U31" i="42"/>
  <c r="V31" i="42" s="1"/>
  <c r="J33" i="50" s="1"/>
  <c r="U17" i="42"/>
  <c r="V17" i="42" s="1"/>
  <c r="U27" i="42"/>
  <c r="V27" i="42" s="1"/>
  <c r="J29" i="50" s="1"/>
  <c r="U12" i="42"/>
  <c r="V12" i="42" s="1"/>
  <c r="U109" i="42"/>
  <c r="V109" i="42" s="1"/>
  <c r="U103" i="42"/>
  <c r="V103" i="42" s="1"/>
  <c r="U19" i="42"/>
  <c r="V19" i="42" s="1"/>
  <c r="U134" i="42"/>
  <c r="V134" i="42" s="1"/>
  <c r="U113" i="42"/>
  <c r="V113" i="42" s="1"/>
  <c r="U114" i="42"/>
  <c r="V114" i="42" s="1"/>
  <c r="U123" i="42"/>
  <c r="V123" i="42" s="1"/>
  <c r="U94" i="42"/>
  <c r="V94" i="42" s="1"/>
  <c r="U107" i="42"/>
  <c r="V107" i="42" s="1"/>
  <c r="U39" i="47"/>
  <c r="V39" i="47" s="1"/>
  <c r="H39" i="47" s="1"/>
  <c r="N26" i="64" s="1"/>
  <c r="V26" i="64" s="1"/>
  <c r="U54" i="47"/>
  <c r="V54" i="47" s="1"/>
  <c r="H54" i="47" s="1"/>
  <c r="N39" i="64" s="1"/>
  <c r="V39" i="64" s="1"/>
  <c r="U50" i="47"/>
  <c r="V50" i="47" s="1"/>
  <c r="H50" i="47" s="1"/>
  <c r="N36" i="64" s="1"/>
  <c r="V36" i="64" s="1"/>
  <c r="U56" i="47"/>
  <c r="V56" i="47" s="1"/>
  <c r="H56" i="47" s="1"/>
  <c r="N41" i="64" s="1"/>
  <c r="V41" i="64" s="1"/>
  <c r="U62" i="47"/>
  <c r="V62" i="47" s="1"/>
  <c r="H62" i="47" s="1"/>
  <c r="N46" i="64" s="1"/>
  <c r="V46" i="64" s="1"/>
  <c r="U58" i="47"/>
  <c r="V58" i="47" s="1"/>
  <c r="H58" i="47" s="1"/>
  <c r="N43" i="64" s="1"/>
  <c r="V43" i="64" s="1"/>
  <c r="U64" i="47"/>
  <c r="V64" i="47" s="1"/>
  <c r="H64" i="47" s="1"/>
  <c r="N48" i="64" s="1"/>
  <c r="V48" i="64" s="1"/>
  <c r="U70" i="47"/>
  <c r="V70" i="47" s="1"/>
  <c r="H70" i="47" s="1"/>
  <c r="N53" i="64" s="1"/>
  <c r="V53" i="64" s="1"/>
  <c r="U81" i="47"/>
  <c r="V81" i="47" s="1"/>
  <c r="H81" i="47" s="1"/>
  <c r="N64" i="64" s="1"/>
  <c r="V64" i="64" s="1"/>
  <c r="U95" i="47"/>
  <c r="V95" i="47" s="1"/>
  <c r="H95" i="47" s="1"/>
  <c r="N76" i="64" s="1"/>
  <c r="V76" i="64" s="1"/>
  <c r="U92" i="47"/>
  <c r="V92" i="47" s="1"/>
  <c r="H92" i="47" s="1"/>
  <c r="N74" i="64" s="1"/>
  <c r="V74" i="64" s="1"/>
  <c r="U105" i="47"/>
  <c r="V105" i="47" s="1"/>
  <c r="H105" i="47" s="1"/>
  <c r="N86" i="64" s="1"/>
  <c r="V86" i="64" s="1"/>
  <c r="U118" i="47"/>
  <c r="V118" i="47" s="1"/>
  <c r="H118" i="47" s="1"/>
  <c r="N99" i="64" s="1"/>
  <c r="V99" i="64" s="1"/>
  <c r="U115" i="47"/>
  <c r="V115" i="47" s="1"/>
  <c r="H115" i="47" s="1"/>
  <c r="N96" i="64" s="1"/>
  <c r="V96" i="64" s="1"/>
  <c r="U129" i="47"/>
  <c r="V129" i="47" s="1"/>
  <c r="H129" i="47" s="1"/>
  <c r="N109" i="64" s="1"/>
  <c r="V109" i="64" s="1"/>
  <c r="U14" i="47"/>
  <c r="V14" i="47" s="1"/>
  <c r="H14" i="47" s="1"/>
  <c r="N3" i="64" s="1"/>
  <c r="V3" i="64" s="1"/>
  <c r="U106" i="47"/>
  <c r="V106" i="47" s="1"/>
  <c r="H106" i="47" s="1"/>
  <c r="N87" i="64" s="1"/>
  <c r="V87" i="64" s="1"/>
  <c r="U116" i="47"/>
  <c r="V116" i="47" s="1"/>
  <c r="H116" i="47" s="1"/>
  <c r="N97" i="64" s="1"/>
  <c r="V97" i="64" s="1"/>
  <c r="U87" i="47"/>
  <c r="V87" i="47" s="1"/>
  <c r="H87" i="47" s="1"/>
  <c r="N70" i="64" s="1"/>
  <c r="V70" i="64" s="1"/>
  <c r="U20" i="47"/>
  <c r="V20" i="47" s="1"/>
  <c r="H20" i="47" s="1"/>
  <c r="N9" i="64" s="1"/>
  <c r="V9" i="64" s="1"/>
  <c r="U23" i="47"/>
  <c r="V23" i="47" s="1"/>
  <c r="H23" i="47" s="1"/>
  <c r="N11" i="64" s="1"/>
  <c r="V11" i="64" s="1"/>
  <c r="U33" i="47"/>
  <c r="V33" i="47" s="1"/>
  <c r="H33" i="47" s="1"/>
  <c r="N21" i="64" s="1"/>
  <c r="V21" i="64" s="1"/>
  <c r="U85" i="47"/>
  <c r="V85" i="47" s="1"/>
  <c r="H85" i="47" s="1"/>
  <c r="N68" i="64" s="1"/>
  <c r="V68" i="64" s="1"/>
  <c r="U27" i="47"/>
  <c r="V27" i="47" s="1"/>
  <c r="H27" i="47" s="1"/>
  <c r="N15" i="64" s="1"/>
  <c r="V15" i="64" s="1"/>
  <c r="U31" i="47"/>
  <c r="V31" i="47" s="1"/>
  <c r="H31" i="47" s="1"/>
  <c r="N19" i="64" s="1"/>
  <c r="V19" i="64" s="1"/>
  <c r="U117" i="47"/>
  <c r="V117" i="47" s="1"/>
  <c r="H117" i="47" s="1"/>
  <c r="N98" i="64" s="1"/>
  <c r="V98" i="64" s="1"/>
  <c r="U104" i="47"/>
  <c r="V104" i="47" s="1"/>
  <c r="H104" i="47" s="1"/>
  <c r="N85" i="64" s="1"/>
  <c r="V85" i="64" s="1"/>
  <c r="U48" i="47"/>
  <c r="V48" i="47" s="1"/>
  <c r="H48" i="47" s="1"/>
  <c r="N34" i="64" s="1"/>
  <c r="V34" i="64" s="1"/>
  <c r="U63" i="47"/>
  <c r="V63" i="47" s="1"/>
  <c r="H63" i="47" s="1"/>
  <c r="N47" i="64" s="1"/>
  <c r="V47" i="64" s="1"/>
  <c r="U59" i="47"/>
  <c r="V59" i="47" s="1"/>
  <c r="H59" i="47" s="1"/>
  <c r="N44" i="64" s="1"/>
  <c r="V44" i="64" s="1"/>
  <c r="U65" i="47"/>
  <c r="V65" i="47" s="1"/>
  <c r="H65" i="47" s="1"/>
  <c r="N49" i="64" s="1"/>
  <c r="V49" i="64" s="1"/>
  <c r="U71" i="47"/>
  <c r="V71" i="47" s="1"/>
  <c r="H71" i="47" s="1"/>
  <c r="N54" i="64" s="1"/>
  <c r="V54" i="64" s="1"/>
  <c r="U68" i="47"/>
  <c r="V68" i="47" s="1"/>
  <c r="H68" i="47" s="1"/>
  <c r="N51" i="64" s="1"/>
  <c r="V51" i="64" s="1"/>
  <c r="U73" i="47"/>
  <c r="V73" i="47" s="1"/>
  <c r="H73" i="47" s="1"/>
  <c r="N56" i="64" s="1"/>
  <c r="V56" i="64" s="1"/>
  <c r="U84" i="47"/>
  <c r="V84" i="47" s="1"/>
  <c r="H84" i="47" s="1"/>
  <c r="N67" i="64" s="1"/>
  <c r="V67" i="64" s="1"/>
  <c r="U90" i="47"/>
  <c r="V90" i="47" s="1"/>
  <c r="H90" i="47" s="1"/>
  <c r="N72" i="64" s="1"/>
  <c r="V72" i="64" s="1"/>
  <c r="U103" i="47"/>
  <c r="V103" i="47" s="1"/>
  <c r="H103" i="47" s="1"/>
  <c r="N84" i="64" s="1"/>
  <c r="V84" i="64" s="1"/>
  <c r="U100" i="47"/>
  <c r="V100" i="47" s="1"/>
  <c r="H100" i="47" s="1"/>
  <c r="N81" i="64" s="1"/>
  <c r="V81" i="64" s="1"/>
  <c r="U113" i="47"/>
  <c r="V113" i="47" s="1"/>
  <c r="H113" i="47" s="1"/>
  <c r="N94" i="64" s="1"/>
  <c r="V94" i="64" s="1"/>
  <c r="U126" i="47"/>
  <c r="V126" i="47" s="1"/>
  <c r="H126" i="47" s="1"/>
  <c r="N107" i="64" s="1"/>
  <c r="V107" i="64" s="1"/>
  <c r="U123" i="47"/>
  <c r="V123" i="47" s="1"/>
  <c r="H123" i="47" s="1"/>
  <c r="N104" i="64" s="1"/>
  <c r="V104" i="64" s="1"/>
  <c r="U137" i="47"/>
  <c r="V137" i="47" s="1"/>
  <c r="H137" i="47" s="1"/>
  <c r="N117" i="64" s="1"/>
  <c r="V117" i="64" s="1"/>
  <c r="U57" i="47"/>
  <c r="V57" i="47" s="1"/>
  <c r="H57" i="47" s="1"/>
  <c r="N42" i="64" s="1"/>
  <c r="V42" i="64" s="1"/>
  <c r="U69" i="47"/>
  <c r="V69" i="47" s="1"/>
  <c r="H69" i="47" s="1"/>
  <c r="N52" i="64" s="1"/>
  <c r="V52" i="64" s="1"/>
  <c r="U74" i="47"/>
  <c r="V74" i="47" s="1"/>
  <c r="H74" i="47" s="1"/>
  <c r="N57" i="64" s="1"/>
  <c r="V57" i="64" s="1"/>
  <c r="U79" i="47"/>
  <c r="V79" i="47" s="1"/>
  <c r="H79" i="47" s="1"/>
  <c r="N62" i="64" s="1"/>
  <c r="V62" i="64" s="1"/>
  <c r="U16" i="47"/>
  <c r="V16" i="47" s="1"/>
  <c r="H16" i="47" s="1"/>
  <c r="N5" i="64" s="1"/>
  <c r="V5" i="64" s="1"/>
  <c r="U93" i="47"/>
  <c r="V93" i="47" s="1"/>
  <c r="H93" i="47" s="1"/>
  <c r="U98" i="47"/>
  <c r="V98" i="47" s="1"/>
  <c r="H98" i="47" s="1"/>
  <c r="N79" i="64" s="1"/>
  <c r="V79" i="64" s="1"/>
  <c r="U108" i="47"/>
  <c r="V108" i="47" s="1"/>
  <c r="H108" i="47" s="1"/>
  <c r="N89" i="64" s="1"/>
  <c r="V89" i="64" s="1"/>
  <c r="U121" i="47"/>
  <c r="V121" i="47" s="1"/>
  <c r="H121" i="47" s="1"/>
  <c r="N102" i="64" s="1"/>
  <c r="V102" i="64" s="1"/>
  <c r="U135" i="47"/>
  <c r="V135" i="47" s="1"/>
  <c r="H135" i="47" s="1"/>
  <c r="N115" i="64" s="1"/>
  <c r="V115" i="64" s="1"/>
  <c r="U132" i="47"/>
  <c r="V132" i="47" s="1"/>
  <c r="H132" i="47" s="1"/>
  <c r="N112" i="64" s="1"/>
  <c r="V112" i="64" s="1"/>
  <c r="U80" i="47"/>
  <c r="V80" i="47" s="1"/>
  <c r="H80" i="47" s="1"/>
  <c r="N63" i="64" s="1"/>
  <c r="V63" i="64" s="1"/>
  <c r="U19" i="47"/>
  <c r="V19" i="47" s="1"/>
  <c r="H19" i="47" s="1"/>
  <c r="N8" i="64" s="1"/>
  <c r="V8" i="64" s="1"/>
  <c r="U130" i="47"/>
  <c r="V130" i="47" s="1"/>
  <c r="H130" i="47" s="1"/>
  <c r="N110" i="64" s="1"/>
  <c r="V110" i="64" s="1"/>
  <c r="U26" i="47"/>
  <c r="V26" i="47" s="1"/>
  <c r="H26" i="47" s="1"/>
  <c r="N14" i="64" s="1"/>
  <c r="V14" i="64" s="1"/>
  <c r="U109" i="47"/>
  <c r="V109" i="47" s="1"/>
  <c r="H109" i="47" s="1"/>
  <c r="N90" i="64" s="1"/>
  <c r="V90" i="64" s="1"/>
  <c r="U96" i="47"/>
  <c r="V96" i="47" s="1"/>
  <c r="H96" i="47" s="1"/>
  <c r="N77" i="64" s="1"/>
  <c r="V77" i="64" s="1"/>
  <c r="U24" i="47"/>
  <c r="V24" i="47" s="1"/>
  <c r="H24" i="47" s="1"/>
  <c r="N12" i="64" s="1"/>
  <c r="V12" i="64" s="1"/>
  <c r="U133" i="47"/>
  <c r="V133" i="47" s="1"/>
  <c r="H133" i="47" s="1"/>
  <c r="N113" i="64" s="1"/>
  <c r="V113" i="64" s="1"/>
  <c r="U72" i="47"/>
  <c r="V72" i="47" s="1"/>
  <c r="H72" i="47" s="1"/>
  <c r="N55" i="64" s="1"/>
  <c r="V55" i="64" s="1"/>
  <c r="U76" i="47"/>
  <c r="V76" i="47" s="1"/>
  <c r="H76" i="47" s="1"/>
  <c r="N59" i="64" s="1"/>
  <c r="V59" i="64" s="1"/>
  <c r="U111" i="47"/>
  <c r="V111" i="47" s="1"/>
  <c r="H111" i="47" s="1"/>
  <c r="N92" i="64" s="1"/>
  <c r="V92" i="64" s="1"/>
  <c r="U12" i="47"/>
  <c r="V12" i="47" s="1"/>
  <c r="H12" i="47" s="1"/>
  <c r="N2" i="64" s="1"/>
  <c r="V2" i="64" s="1"/>
  <c r="U17" i="47"/>
  <c r="V17" i="47" s="1"/>
  <c r="H17" i="47" s="1"/>
  <c r="N6" i="64" s="1"/>
  <c r="V6" i="64" s="1"/>
  <c r="U25" i="47"/>
  <c r="V25" i="47" s="1"/>
  <c r="H25" i="47" s="1"/>
  <c r="N13" i="64" s="1"/>
  <c r="V13" i="64" s="1"/>
  <c r="U119" i="47"/>
  <c r="V119" i="47" s="1"/>
  <c r="H119" i="47" s="1"/>
  <c r="N100" i="64" s="1"/>
  <c r="V100" i="64" s="1"/>
  <c r="U75" i="47"/>
  <c r="V75" i="47" s="1"/>
  <c r="H75" i="47" s="1"/>
  <c r="N58" i="64" s="1"/>
  <c r="V58" i="64" s="1"/>
  <c r="U15" i="47"/>
  <c r="V15" i="47" s="1"/>
  <c r="H15" i="47" s="1"/>
  <c r="N4" i="64" s="1"/>
  <c r="V4" i="64" s="1"/>
  <c r="U28" i="47"/>
  <c r="V28" i="47" s="1"/>
  <c r="H28" i="47" s="1"/>
  <c r="N16" i="64" s="1"/>
  <c r="V16" i="64" s="1"/>
  <c r="U114" i="47"/>
  <c r="V114" i="47" s="1"/>
  <c r="H114" i="47" s="1"/>
  <c r="N95" i="64" s="1"/>
  <c r="V95" i="64" s="1"/>
  <c r="U82" i="47"/>
  <c r="V82" i="47" s="1"/>
  <c r="H82" i="47" s="1"/>
  <c r="N65" i="64" s="1"/>
  <c r="V65" i="64" s="1"/>
  <c r="U34" i="47"/>
  <c r="V34" i="47" s="1"/>
  <c r="H34" i="47" s="1"/>
  <c r="N22" i="64" s="1"/>
  <c r="V22" i="64" s="1"/>
  <c r="U43" i="47"/>
  <c r="V43" i="47" s="1"/>
  <c r="H43" i="47" s="1"/>
  <c r="N29" i="64" s="1"/>
  <c r="V29" i="64" s="1"/>
  <c r="U94" i="47"/>
  <c r="V94" i="47" s="1"/>
  <c r="H94" i="47" s="1"/>
  <c r="N75" i="64" s="1"/>
  <c r="V75" i="64" s="1"/>
  <c r="U66" i="47"/>
  <c r="V66" i="47" s="1"/>
  <c r="H66" i="47" s="1"/>
  <c r="N50" i="64" s="1"/>
  <c r="V50" i="64" s="1"/>
  <c r="U77" i="47"/>
  <c r="V77" i="47" s="1"/>
  <c r="H77" i="47" s="1"/>
  <c r="N60" i="64" s="1"/>
  <c r="V60" i="64" s="1"/>
  <c r="U101" i="47"/>
  <c r="V101" i="47" s="1"/>
  <c r="H101" i="47" s="1"/>
  <c r="N82" i="64" s="1"/>
  <c r="V82" i="64" s="1"/>
  <c r="U18" i="47"/>
  <c r="V18" i="47" s="1"/>
  <c r="H18" i="47" s="1"/>
  <c r="N7" i="64" s="1"/>
  <c r="V7" i="64" s="1"/>
  <c r="U128" i="47"/>
  <c r="V128" i="47" s="1"/>
  <c r="H128" i="47" s="1"/>
  <c r="N108" i="64" s="1"/>
  <c r="V108" i="64" s="1"/>
  <c r="U136" i="47"/>
  <c r="V136" i="47" s="1"/>
  <c r="H136" i="47" s="1"/>
  <c r="N116" i="64" s="1"/>
  <c r="V116" i="64" s="1"/>
  <c r="U124" i="47"/>
  <c r="V124" i="47" s="1"/>
  <c r="H124" i="47" s="1"/>
  <c r="N105" i="64" s="1"/>
  <c r="V105" i="64" s="1"/>
  <c r="U37" i="47"/>
  <c r="V37" i="47" s="1"/>
  <c r="H37" i="47" s="1"/>
  <c r="N24" i="64" s="1"/>
  <c r="V24" i="64" s="1"/>
  <c r="U91" i="47"/>
  <c r="V91" i="47" s="1"/>
  <c r="H91" i="47" s="1"/>
  <c r="N73" i="64" s="1"/>
  <c r="V73" i="64" s="1"/>
  <c r="U29" i="47"/>
  <c r="V29" i="47" s="1"/>
  <c r="H29" i="47" s="1"/>
  <c r="N17" i="64" s="1"/>
  <c r="V17" i="64" s="1"/>
  <c r="U122" i="47"/>
  <c r="V122" i="47" s="1"/>
  <c r="H122" i="47" s="1"/>
  <c r="N103" i="64" s="1"/>
  <c r="V103" i="64" s="1"/>
  <c r="U35" i="47"/>
  <c r="V35" i="47" s="1"/>
  <c r="H35" i="47" s="1"/>
  <c r="N23" i="64" s="1"/>
  <c r="V23" i="64" s="1"/>
  <c r="U40" i="47"/>
  <c r="V40" i="47" s="1"/>
  <c r="H40" i="47" s="1"/>
  <c r="N27" i="64" s="1"/>
  <c r="V27" i="64" s="1"/>
  <c r="U131" i="47"/>
  <c r="V131" i="47" s="1"/>
  <c r="H131" i="47" s="1"/>
  <c r="N111" i="64" s="1"/>
  <c r="V111" i="64" s="1"/>
  <c r="U99" i="47"/>
  <c r="V99" i="47" s="1"/>
  <c r="H99" i="47" s="1"/>
  <c r="N80" i="64" s="1"/>
  <c r="V80" i="64" s="1"/>
  <c r="U83" i="47"/>
  <c r="V83" i="47" s="1"/>
  <c r="H83" i="47" s="1"/>
  <c r="N66" i="64" s="1"/>
  <c r="V66" i="64" s="1"/>
  <c r="U44" i="47"/>
  <c r="V44" i="47" s="1"/>
  <c r="H44" i="47" s="1"/>
  <c r="N30" i="64" s="1"/>
  <c r="V30" i="64" s="1"/>
  <c r="U45" i="47"/>
  <c r="V45" i="47" s="1"/>
  <c r="H45" i="47" s="1"/>
  <c r="N31" i="64" s="1"/>
  <c r="V31" i="64" s="1"/>
  <c r="U49" i="47"/>
  <c r="V49" i="47" s="1"/>
  <c r="H49" i="47" s="1"/>
  <c r="N35" i="64" s="1"/>
  <c r="V35" i="64" s="1"/>
  <c r="U86" i="47"/>
  <c r="V86" i="47" s="1"/>
  <c r="H86" i="47" s="1"/>
  <c r="N69" i="64" s="1"/>
  <c r="V69" i="64" s="1"/>
  <c r="U107" i="47"/>
  <c r="V107" i="47" s="1"/>
  <c r="H107" i="47" s="1"/>
  <c r="N88" i="64" s="1"/>
  <c r="V88" i="64" s="1"/>
  <c r="U55" i="47"/>
  <c r="V55" i="47" s="1"/>
  <c r="H55" i="47" s="1"/>
  <c r="N40" i="64" s="1"/>
  <c r="V40" i="64" s="1"/>
  <c r="U120" i="47"/>
  <c r="V120" i="47" s="1"/>
  <c r="H120" i="47" s="1"/>
  <c r="N101" i="64" s="1"/>
  <c r="V101" i="64" s="1"/>
  <c r="U60" i="47"/>
  <c r="V60" i="47" s="1"/>
  <c r="H60" i="47" s="1"/>
  <c r="N45" i="64" s="1"/>
  <c r="V45" i="64" s="1"/>
  <c r="U32" i="47"/>
  <c r="V32" i="47" s="1"/>
  <c r="H32" i="47" s="1"/>
  <c r="N20" i="64" s="1"/>
  <c r="V20" i="64" s="1"/>
  <c r="U46" i="47"/>
  <c r="V46" i="47" s="1"/>
  <c r="H46" i="47" s="1"/>
  <c r="N32" i="64" s="1"/>
  <c r="V32" i="64" s="1"/>
  <c r="U78" i="47"/>
  <c r="V78" i="47" s="1"/>
  <c r="H78" i="47" s="1"/>
  <c r="N61" i="64" s="1"/>
  <c r="V61" i="64" s="1"/>
  <c r="U112" i="47"/>
  <c r="V112" i="47" s="1"/>
  <c r="H112" i="47" s="1"/>
  <c r="N93" i="64" s="1"/>
  <c r="V93" i="64" s="1"/>
  <c r="U47" i="47"/>
  <c r="V47" i="47" s="1"/>
  <c r="H47" i="47" s="1"/>
  <c r="N33" i="64" s="1"/>
  <c r="V33" i="64" s="1"/>
  <c r="U102" i="47"/>
  <c r="V102" i="47" s="1"/>
  <c r="H102" i="47" s="1"/>
  <c r="N83" i="64" s="1"/>
  <c r="V83" i="64" s="1"/>
  <c r="U38" i="47"/>
  <c r="V38" i="47" s="1"/>
  <c r="H38" i="47" s="1"/>
  <c r="N25" i="64" s="1"/>
  <c r="V25" i="64" s="1"/>
  <c r="U52" i="47"/>
  <c r="V52" i="47" s="1"/>
  <c r="H52" i="47" s="1"/>
  <c r="N37" i="64" s="1"/>
  <c r="V37" i="64" s="1"/>
  <c r="U89" i="47"/>
  <c r="V89" i="47" s="1"/>
  <c r="H89" i="47" s="1"/>
  <c r="N71" i="64" s="1"/>
  <c r="V71" i="64" s="1"/>
  <c r="U97" i="47"/>
  <c r="V97" i="47" s="1"/>
  <c r="H97" i="47" s="1"/>
  <c r="N78" i="64" s="1"/>
  <c r="V78" i="64" s="1"/>
  <c r="U22" i="47"/>
  <c r="V22" i="47" s="1"/>
  <c r="H22" i="47" s="1"/>
  <c r="N10" i="64" s="1"/>
  <c r="V10" i="64" s="1"/>
  <c r="U30" i="47"/>
  <c r="V30" i="47" s="1"/>
  <c r="H30" i="47" s="1"/>
  <c r="N18" i="64" s="1"/>
  <c r="V18" i="64" s="1"/>
  <c r="U53" i="47"/>
  <c r="V53" i="47" s="1"/>
  <c r="H53" i="47" s="1"/>
  <c r="N38" i="64" s="1"/>
  <c r="V38" i="64" s="1"/>
  <c r="U134" i="47"/>
  <c r="V134" i="47" s="1"/>
  <c r="H134" i="47" s="1"/>
  <c r="N114" i="64" s="1"/>
  <c r="V114" i="64" s="1"/>
  <c r="U110" i="47"/>
  <c r="V110" i="47" s="1"/>
  <c r="H110" i="47" s="1"/>
  <c r="N91" i="64" s="1"/>
  <c r="V91" i="64" s="1"/>
  <c r="U42" i="47"/>
  <c r="V42" i="47" s="1"/>
  <c r="H42" i="47" s="1"/>
  <c r="N28" i="64" s="1"/>
  <c r="V28" i="64" s="1"/>
  <c r="U125" i="47"/>
  <c r="V125" i="47" s="1"/>
  <c r="H125" i="47" s="1"/>
  <c r="N106" i="64" s="1"/>
  <c r="V106" i="64" s="1"/>
  <c r="U14" i="48"/>
  <c r="V14" i="48" s="1"/>
  <c r="U31" i="48"/>
  <c r="V31" i="48" s="1"/>
  <c r="U49" i="48"/>
  <c r="V49" i="48" s="1"/>
  <c r="U68" i="48"/>
  <c r="V68" i="48" s="1"/>
  <c r="U84" i="48"/>
  <c r="V84" i="48" s="1"/>
  <c r="U101" i="48"/>
  <c r="V101" i="48" s="1"/>
  <c r="U117" i="48"/>
  <c r="V117" i="48" s="1"/>
  <c r="U30" i="48"/>
  <c r="V30" i="48" s="1"/>
  <c r="U48" i="48"/>
  <c r="V48" i="48" s="1"/>
  <c r="U66" i="48"/>
  <c r="V66" i="48" s="1"/>
  <c r="U83" i="48"/>
  <c r="V83" i="48" s="1"/>
  <c r="U100" i="48"/>
  <c r="V100" i="48" s="1"/>
  <c r="U116" i="48"/>
  <c r="V116" i="48" s="1"/>
  <c r="U129" i="48"/>
  <c r="V129" i="48" s="1"/>
  <c r="U128" i="48"/>
  <c r="V128" i="48" s="1"/>
  <c r="U16" i="48"/>
  <c r="V16" i="48" s="1"/>
  <c r="U33" i="48"/>
  <c r="V33" i="48" s="1"/>
  <c r="U52" i="48"/>
  <c r="V52" i="48" s="1"/>
  <c r="U70" i="48"/>
  <c r="V70" i="48" s="1"/>
  <c r="U86" i="48"/>
  <c r="V86" i="48" s="1"/>
  <c r="U103" i="48"/>
  <c r="V103" i="48" s="1"/>
  <c r="U15" i="48"/>
  <c r="V15" i="48" s="1"/>
  <c r="U32" i="48"/>
  <c r="V32" i="48" s="1"/>
  <c r="U50" i="48"/>
  <c r="V50" i="48" s="1"/>
  <c r="U69" i="48"/>
  <c r="V69" i="48" s="1"/>
  <c r="U85" i="48"/>
  <c r="V85" i="48" s="1"/>
  <c r="U102" i="48"/>
  <c r="V102" i="48" s="1"/>
  <c r="U118" i="48"/>
  <c r="V118" i="48" s="1"/>
  <c r="U131" i="48"/>
  <c r="V131" i="48" s="1"/>
  <c r="U130" i="48"/>
  <c r="V130" i="48" s="1"/>
  <c r="U18" i="48"/>
  <c r="V18" i="48" s="1"/>
  <c r="U35" i="48"/>
  <c r="V35" i="48" s="1"/>
  <c r="U54" i="48"/>
  <c r="V54" i="48" s="1"/>
  <c r="U72" i="48"/>
  <c r="V72" i="48" s="1"/>
  <c r="U89" i="48"/>
  <c r="V89" i="48" s="1"/>
  <c r="U105" i="48"/>
  <c r="V105" i="48" s="1"/>
  <c r="U17" i="48"/>
  <c r="V17" i="48" s="1"/>
  <c r="U34" i="48"/>
  <c r="V34" i="48" s="1"/>
  <c r="U53" i="48"/>
  <c r="V53" i="48" s="1"/>
  <c r="U71" i="48"/>
  <c r="V71" i="48" s="1"/>
  <c r="U87" i="48"/>
  <c r="V87" i="48" s="1"/>
  <c r="U104" i="48"/>
  <c r="V104" i="48" s="1"/>
  <c r="U120" i="48"/>
  <c r="V120" i="48" s="1"/>
  <c r="U133" i="48"/>
  <c r="V133" i="48" s="1"/>
  <c r="U132" i="48"/>
  <c r="V132" i="48" s="1"/>
  <c r="U20" i="48"/>
  <c r="V20" i="48" s="1"/>
  <c r="U38" i="48"/>
  <c r="V38" i="48" s="1"/>
  <c r="U56" i="48"/>
  <c r="V56" i="48" s="1"/>
  <c r="U74" i="48"/>
  <c r="V74" i="48" s="1"/>
  <c r="U23" i="48"/>
  <c r="V23" i="48" s="1"/>
  <c r="U40" i="48"/>
  <c r="V40" i="48" s="1"/>
  <c r="U58" i="48"/>
  <c r="V58" i="48" s="1"/>
  <c r="U76" i="48"/>
  <c r="V76" i="48" s="1"/>
  <c r="U93" i="48"/>
  <c r="V93" i="48" s="1"/>
  <c r="U109" i="48"/>
  <c r="V109" i="48" s="1"/>
  <c r="U22" i="48"/>
  <c r="V22" i="48" s="1"/>
  <c r="U39" i="48"/>
  <c r="V39" i="48" s="1"/>
  <c r="U57" i="48"/>
  <c r="V57" i="48" s="1"/>
  <c r="U75" i="48"/>
  <c r="V75" i="48" s="1"/>
  <c r="U92" i="48"/>
  <c r="V92" i="48" s="1"/>
  <c r="U108" i="48"/>
  <c r="V108" i="48" s="1"/>
  <c r="U119" i="48"/>
  <c r="V119" i="48" s="1"/>
  <c r="U137" i="48"/>
  <c r="V137" i="48" s="1"/>
  <c r="U136" i="48"/>
  <c r="V136" i="48" s="1"/>
  <c r="U29" i="48"/>
  <c r="V29" i="48" s="1"/>
  <c r="U47" i="48"/>
  <c r="V47" i="48" s="1"/>
  <c r="U65" i="48"/>
  <c r="V65" i="48" s="1"/>
  <c r="U82" i="48"/>
  <c r="V82" i="48" s="1"/>
  <c r="U99" i="48"/>
  <c r="V99" i="48" s="1"/>
  <c r="U115" i="48"/>
  <c r="V115" i="48" s="1"/>
  <c r="U28" i="48"/>
  <c r="V28" i="48" s="1"/>
  <c r="U46" i="48"/>
  <c r="V46" i="48" s="1"/>
  <c r="U64" i="48"/>
  <c r="V64" i="48" s="1"/>
  <c r="U81" i="48"/>
  <c r="V81" i="48" s="1"/>
  <c r="U98" i="48"/>
  <c r="V98" i="48" s="1"/>
  <c r="U114" i="48"/>
  <c r="V114" i="48" s="1"/>
  <c r="U126" i="48"/>
  <c r="V126" i="48" s="1"/>
  <c r="U125" i="48"/>
  <c r="V125" i="48" s="1"/>
  <c r="U60" i="48"/>
  <c r="V60" i="48" s="1"/>
  <c r="U111" i="48"/>
  <c r="V111" i="48" s="1"/>
  <c r="U55" i="48"/>
  <c r="V55" i="48" s="1"/>
  <c r="U96" i="48"/>
  <c r="V96" i="48" s="1"/>
  <c r="U121" i="48"/>
  <c r="V121" i="48" s="1"/>
  <c r="U124" i="48"/>
  <c r="V124" i="48" s="1"/>
  <c r="U63" i="48"/>
  <c r="V63" i="48" s="1"/>
  <c r="U113" i="48"/>
  <c r="V113" i="48" s="1"/>
  <c r="U59" i="48"/>
  <c r="V59" i="48" s="1"/>
  <c r="U106" i="48"/>
  <c r="V106" i="48" s="1"/>
  <c r="U123" i="48"/>
  <c r="V123" i="48" s="1"/>
  <c r="U79" i="48"/>
  <c r="V79" i="48" s="1"/>
  <c r="U90" i="48"/>
  <c r="V90" i="48" s="1"/>
  <c r="U78" i="48"/>
  <c r="V78" i="48" s="1"/>
  <c r="U19" i="48"/>
  <c r="V19" i="48" s="1"/>
  <c r="U62" i="48"/>
  <c r="V62" i="48" s="1"/>
  <c r="U110" i="48"/>
  <c r="V110" i="48" s="1"/>
  <c r="U134" i="48"/>
  <c r="V134" i="48" s="1"/>
  <c r="U95" i="48"/>
  <c r="V95" i="48" s="1"/>
  <c r="U43" i="48"/>
  <c r="V43" i="48" s="1"/>
  <c r="U80" i="48"/>
  <c r="V80" i="48" s="1"/>
  <c r="U24" i="48"/>
  <c r="V24" i="48" s="1"/>
  <c r="U73" i="48"/>
  <c r="V73" i="48" s="1"/>
  <c r="U112" i="48"/>
  <c r="V112" i="48" s="1"/>
  <c r="U122" i="48"/>
  <c r="V122" i="48" s="1"/>
  <c r="U25" i="48"/>
  <c r="V25" i="48" s="1"/>
  <c r="U91" i="48"/>
  <c r="V91" i="48" s="1"/>
  <c r="U26" i="48"/>
  <c r="V26" i="48" s="1"/>
  <c r="U77" i="48"/>
  <c r="V77" i="48" s="1"/>
  <c r="U12" i="48"/>
  <c r="V12" i="48" s="1"/>
  <c r="U97" i="48"/>
  <c r="V97" i="48" s="1"/>
  <c r="U27" i="48"/>
  <c r="V27" i="48" s="1"/>
  <c r="U37" i="48"/>
  <c r="V37" i="48" s="1"/>
  <c r="U42" i="48"/>
  <c r="V42" i="48" s="1"/>
  <c r="U94" i="48"/>
  <c r="V94" i="48" s="1"/>
  <c r="U45" i="48"/>
  <c r="V45" i="48" s="1"/>
  <c r="U135" i="48"/>
  <c r="V135" i="48" s="1"/>
  <c r="U107" i="48"/>
  <c r="V107" i="48" s="1"/>
  <c r="U44" i="48"/>
  <c r="V44" i="48" s="1"/>
  <c r="H56" i="64" l="1"/>
  <c r="P56" i="64" s="1"/>
  <c r="G56" i="64"/>
  <c r="O56" i="64" s="1"/>
  <c r="H100" i="64"/>
  <c r="P100" i="64" s="1"/>
  <c r="G100" i="64"/>
  <c r="O100" i="64" s="1"/>
  <c r="H93" i="64"/>
  <c r="P93" i="64" s="1"/>
  <c r="G93" i="64"/>
  <c r="O93" i="64" s="1"/>
  <c r="G80" i="64"/>
  <c r="O80" i="64" s="1"/>
  <c r="H80" i="64"/>
  <c r="P80" i="64" s="1"/>
  <c r="H111" i="64"/>
  <c r="P111" i="64" s="1"/>
  <c r="G111" i="64"/>
  <c r="O111" i="64" s="1"/>
  <c r="H90" i="64"/>
  <c r="P90" i="64" s="1"/>
  <c r="G90" i="64"/>
  <c r="O90" i="64" s="1"/>
  <c r="H66" i="64"/>
  <c r="P66" i="64" s="1"/>
  <c r="G66" i="64"/>
  <c r="O66" i="64" s="1"/>
  <c r="H114" i="64"/>
  <c r="P114" i="64" s="1"/>
  <c r="G114" i="64"/>
  <c r="O114" i="64" s="1"/>
  <c r="H67" i="64"/>
  <c r="P67" i="64" s="1"/>
  <c r="G67" i="64"/>
  <c r="O67" i="64" s="1"/>
  <c r="H115" i="64"/>
  <c r="P115" i="64" s="1"/>
  <c r="G115" i="64"/>
  <c r="O115" i="64" s="1"/>
  <c r="G58" i="64"/>
  <c r="O58" i="64" s="1"/>
  <c r="H58" i="64"/>
  <c r="P58" i="64" s="1"/>
  <c r="G68" i="64"/>
  <c r="O68" i="64" s="1"/>
  <c r="H68" i="64"/>
  <c r="P68" i="64" s="1"/>
  <c r="H116" i="64"/>
  <c r="P116" i="64" s="1"/>
  <c r="G116" i="64"/>
  <c r="O116" i="64" s="1"/>
  <c r="G61" i="64"/>
  <c r="O61" i="64" s="1"/>
  <c r="H61" i="64"/>
  <c r="P61" i="64" s="1"/>
  <c r="H88" i="64"/>
  <c r="P88" i="64" s="1"/>
  <c r="G88" i="64"/>
  <c r="O88" i="64" s="1"/>
  <c r="H53" i="64"/>
  <c r="P53" i="64" s="1"/>
  <c r="G53" i="64"/>
  <c r="O53" i="64" s="1"/>
  <c r="H71" i="64"/>
  <c r="P71" i="64" s="1"/>
  <c r="G71" i="64"/>
  <c r="O71" i="64" s="1"/>
  <c r="H62" i="64"/>
  <c r="P62" i="64" s="1"/>
  <c r="G62" i="64"/>
  <c r="O62" i="64" s="1"/>
  <c r="H72" i="64"/>
  <c r="P72" i="64" s="1"/>
  <c r="G72" i="64"/>
  <c r="O72" i="64" s="1"/>
  <c r="G73" i="64"/>
  <c r="O73" i="64" s="1"/>
  <c r="H73" i="64"/>
  <c r="P73" i="64" s="1"/>
  <c r="G85" i="64"/>
  <c r="O85" i="64" s="1"/>
  <c r="H85" i="64"/>
  <c r="P85" i="64" s="1"/>
  <c r="H48" i="64"/>
  <c r="P48" i="64" s="1"/>
  <c r="G48" i="64"/>
  <c r="O48" i="64" s="1"/>
  <c r="H113" i="64"/>
  <c r="P113" i="64" s="1"/>
  <c r="G113" i="64"/>
  <c r="O113" i="64" s="1"/>
  <c r="H64" i="64"/>
  <c r="P64" i="64" s="1"/>
  <c r="G64" i="64"/>
  <c r="O64" i="64" s="1"/>
  <c r="G97" i="64"/>
  <c r="O97" i="64" s="1"/>
  <c r="H97" i="64"/>
  <c r="P97" i="64" s="1"/>
  <c r="H65" i="64"/>
  <c r="P65" i="64" s="1"/>
  <c r="G65" i="64"/>
  <c r="O65" i="64" s="1"/>
  <c r="G104" i="64"/>
  <c r="O104" i="64" s="1"/>
  <c r="H104" i="64"/>
  <c r="P104" i="64" s="1"/>
  <c r="H82" i="64"/>
  <c r="P82" i="64" s="1"/>
  <c r="G82" i="64"/>
  <c r="O82" i="64" s="1"/>
  <c r="H86" i="64"/>
  <c r="P86" i="64" s="1"/>
  <c r="G86" i="64"/>
  <c r="O86" i="64" s="1"/>
  <c r="H96" i="64"/>
  <c r="P96" i="64" s="1"/>
  <c r="G96" i="64"/>
  <c r="O96" i="64" s="1"/>
  <c r="H95" i="64"/>
  <c r="P95" i="64" s="1"/>
  <c r="G95" i="64"/>
  <c r="O95" i="64" s="1"/>
  <c r="G92" i="64"/>
  <c r="O92" i="64" s="1"/>
  <c r="H92" i="64"/>
  <c r="P92" i="64" s="1"/>
  <c r="G52" i="64"/>
  <c r="O52" i="64" s="1"/>
  <c r="H52" i="64"/>
  <c r="P52" i="64" s="1"/>
  <c r="G117" i="64"/>
  <c r="O117" i="64" s="1"/>
  <c r="H117" i="64"/>
  <c r="P117" i="64" s="1"/>
  <c r="H105" i="64"/>
  <c r="P105" i="64" s="1"/>
  <c r="G105" i="64"/>
  <c r="O105" i="64" s="1"/>
  <c r="H84" i="64"/>
  <c r="P84" i="64" s="1"/>
  <c r="G84" i="64"/>
  <c r="O84" i="64" s="1"/>
  <c r="H63" i="64"/>
  <c r="P63" i="64" s="1"/>
  <c r="G63" i="64"/>
  <c r="O63" i="64" s="1"/>
  <c r="G55" i="64"/>
  <c r="O55" i="64" s="1"/>
  <c r="H55" i="64"/>
  <c r="P55" i="64" s="1"/>
  <c r="H54" i="64"/>
  <c r="P54" i="64" s="1"/>
  <c r="G54" i="64"/>
  <c r="O54" i="64" s="1"/>
  <c r="H89" i="64"/>
  <c r="P89" i="64" s="1"/>
  <c r="G89" i="64"/>
  <c r="O89" i="64" s="1"/>
  <c r="H59" i="64"/>
  <c r="P59" i="64" s="1"/>
  <c r="G59" i="64"/>
  <c r="O59" i="64" s="1"/>
  <c r="H81" i="64"/>
  <c r="P81" i="64" s="1"/>
  <c r="G81" i="64"/>
  <c r="O81" i="64" s="1"/>
  <c r="H57" i="64"/>
  <c r="P57" i="64" s="1"/>
  <c r="G57" i="64"/>
  <c r="O57" i="64" s="1"/>
  <c r="H99" i="64"/>
  <c r="P99" i="64" s="1"/>
  <c r="G99" i="64"/>
  <c r="O99" i="64" s="1"/>
  <c r="H106" i="64"/>
  <c r="P106" i="64" s="1"/>
  <c r="G106" i="64"/>
  <c r="O106" i="64" s="1"/>
  <c r="H103" i="64"/>
  <c r="P103" i="64" s="1"/>
  <c r="G103" i="64"/>
  <c r="O103" i="64" s="1"/>
  <c r="H51" i="64"/>
  <c r="P51" i="64" s="1"/>
  <c r="G51" i="64"/>
  <c r="O51" i="64" s="1"/>
  <c r="H76" i="64"/>
  <c r="P76" i="64" s="1"/>
  <c r="G76" i="64"/>
  <c r="O76" i="64" s="1"/>
  <c r="H109" i="64"/>
  <c r="P109" i="64" s="1"/>
  <c r="G109" i="64"/>
  <c r="O109" i="64" s="1"/>
  <c r="H101" i="64"/>
  <c r="P101" i="64" s="1"/>
  <c r="G101" i="64"/>
  <c r="O101" i="64" s="1"/>
  <c r="H87" i="64"/>
  <c r="P87" i="64" s="1"/>
  <c r="G87" i="64"/>
  <c r="O87" i="64" s="1"/>
  <c r="G47" i="64"/>
  <c r="O47" i="64" s="1"/>
  <c r="H47" i="64"/>
  <c r="P47" i="64" s="1"/>
  <c r="H46" i="64"/>
  <c r="P46" i="64" s="1"/>
  <c r="G46" i="64"/>
  <c r="O46" i="64" s="1"/>
  <c r="H108" i="64"/>
  <c r="P108" i="64" s="1"/>
  <c r="G108" i="64"/>
  <c r="O108" i="64" s="1"/>
  <c r="H60" i="64"/>
  <c r="P60" i="64" s="1"/>
  <c r="G60" i="64"/>
  <c r="O60" i="64" s="1"/>
  <c r="H83" i="64"/>
  <c r="P83" i="64" s="1"/>
  <c r="G83" i="64"/>
  <c r="O83" i="64" s="1"/>
  <c r="H112" i="64"/>
  <c r="P112" i="64" s="1"/>
  <c r="G112" i="64"/>
  <c r="O112" i="64" s="1"/>
  <c r="H98" i="64"/>
  <c r="P98" i="64" s="1"/>
  <c r="G98" i="64"/>
  <c r="O98" i="64" s="1"/>
  <c r="H74" i="64"/>
  <c r="P74" i="64" s="1"/>
  <c r="G74" i="64"/>
  <c r="O74" i="64" s="1"/>
  <c r="H49" i="64"/>
  <c r="P49" i="64" s="1"/>
  <c r="G49" i="64"/>
  <c r="O49" i="64" s="1"/>
  <c r="H70" i="64"/>
  <c r="P70" i="64" s="1"/>
  <c r="G70" i="64"/>
  <c r="O70" i="64" s="1"/>
  <c r="H107" i="64"/>
  <c r="P107" i="64" s="1"/>
  <c r="G107" i="64"/>
  <c r="O107" i="64" s="1"/>
  <c r="H91" i="64"/>
  <c r="P91" i="64" s="1"/>
  <c r="G91" i="64"/>
  <c r="O91" i="64" s="1"/>
  <c r="G110" i="64"/>
  <c r="O110" i="64" s="1"/>
  <c r="H110" i="64"/>
  <c r="P110" i="64" s="1"/>
  <c r="H69" i="64"/>
  <c r="P69" i="64" s="1"/>
  <c r="G69" i="64"/>
  <c r="O69" i="64" s="1"/>
  <c r="H102" i="64"/>
  <c r="P102" i="64" s="1"/>
  <c r="G102" i="64"/>
  <c r="O102" i="64" s="1"/>
  <c r="H75" i="64"/>
  <c r="P75" i="64" s="1"/>
  <c r="G75" i="64"/>
  <c r="O75" i="64" s="1"/>
  <c r="G78" i="64"/>
  <c r="O78" i="64" s="1"/>
  <c r="H78" i="64"/>
  <c r="P78" i="64" s="1"/>
  <c r="H50" i="64"/>
  <c r="P50" i="64" s="1"/>
  <c r="G50" i="64"/>
  <c r="O50" i="64" s="1"/>
  <c r="H94" i="64"/>
  <c r="P94" i="64" s="1"/>
  <c r="G94" i="64"/>
  <c r="O94" i="64" s="1"/>
  <c r="H77" i="64"/>
  <c r="P77" i="64" s="1"/>
  <c r="G77" i="64"/>
  <c r="O77" i="64" s="1"/>
  <c r="H79" i="64"/>
  <c r="P79" i="64" s="1"/>
  <c r="G79" i="64"/>
  <c r="O79" i="64" s="1"/>
  <c r="N5" i="56"/>
  <c r="N5" i="63"/>
  <c r="R89" i="50"/>
  <c r="R25" i="50"/>
  <c r="N7" i="63" s="1"/>
  <c r="R96" i="50"/>
  <c r="R32" i="50"/>
  <c r="R79" i="50"/>
  <c r="R86" i="50"/>
  <c r="R22" i="50"/>
  <c r="R85" i="50"/>
  <c r="R21" i="50"/>
  <c r="R84" i="50"/>
  <c r="R20" i="50"/>
  <c r="R59" i="50"/>
  <c r="R130" i="50"/>
  <c r="R66" i="50"/>
  <c r="R131" i="50"/>
  <c r="R81" i="50"/>
  <c r="R17" i="50"/>
  <c r="R88" i="50"/>
  <c r="R24" i="50"/>
  <c r="G7" i="63" s="1"/>
  <c r="R71" i="50"/>
  <c r="U7" i="63" s="1"/>
  <c r="R127" i="50"/>
  <c r="R78" i="50"/>
  <c r="R135" i="50"/>
  <c r="R77" i="50"/>
  <c r="R14" i="50"/>
  <c r="R76" i="50"/>
  <c r="R115" i="50"/>
  <c r="R51" i="50"/>
  <c r="R122" i="50"/>
  <c r="R58" i="50"/>
  <c r="R137" i="50"/>
  <c r="R73" i="50"/>
  <c r="R80" i="50"/>
  <c r="R16" i="50"/>
  <c r="R134" i="50"/>
  <c r="R70" i="50"/>
  <c r="R133" i="50"/>
  <c r="R132" i="50"/>
  <c r="R68" i="50"/>
  <c r="R107" i="50"/>
  <c r="R114" i="50"/>
  <c r="R50" i="50"/>
  <c r="R65" i="50"/>
  <c r="R136" i="50"/>
  <c r="R72" i="50"/>
  <c r="R119" i="50"/>
  <c r="R55" i="50"/>
  <c r="R126" i="50"/>
  <c r="R62" i="50"/>
  <c r="R125" i="50"/>
  <c r="R61" i="50"/>
  <c r="R124" i="50"/>
  <c r="R60" i="50"/>
  <c r="R99" i="50"/>
  <c r="R35" i="50"/>
  <c r="R106" i="50"/>
  <c r="R42" i="50"/>
  <c r="R121" i="50"/>
  <c r="R57" i="50"/>
  <c r="R128" i="50"/>
  <c r="R64" i="50"/>
  <c r="R111" i="50"/>
  <c r="R47" i="50"/>
  <c r="R118" i="50"/>
  <c r="R54" i="50"/>
  <c r="R117" i="50"/>
  <c r="R116" i="50"/>
  <c r="R52" i="50"/>
  <c r="R91" i="50"/>
  <c r="R27" i="50"/>
  <c r="R98" i="50"/>
  <c r="AB7" i="63" s="1"/>
  <c r="R34" i="50"/>
  <c r="R113" i="50"/>
  <c r="R49" i="50"/>
  <c r="R120" i="50"/>
  <c r="R56" i="50"/>
  <c r="R103" i="50"/>
  <c r="R39" i="50"/>
  <c r="R110" i="50"/>
  <c r="R46" i="50"/>
  <c r="R109" i="50"/>
  <c r="R45" i="50"/>
  <c r="R108" i="50"/>
  <c r="R44" i="50"/>
  <c r="R83" i="50"/>
  <c r="R19" i="50"/>
  <c r="R26" i="50"/>
  <c r="R105" i="50"/>
  <c r="R41" i="50"/>
  <c r="R112" i="50"/>
  <c r="R48" i="50"/>
  <c r="R95" i="50"/>
  <c r="R31" i="50"/>
  <c r="R102" i="50"/>
  <c r="R101" i="50"/>
  <c r="R37" i="50"/>
  <c r="R100" i="50"/>
  <c r="R36" i="50"/>
  <c r="R75" i="50"/>
  <c r="R123" i="50"/>
  <c r="R82" i="50"/>
  <c r="R18" i="50"/>
  <c r="R97" i="50"/>
  <c r="AB7" i="56" s="1"/>
  <c r="R33" i="50"/>
  <c r="R104" i="50"/>
  <c r="R40" i="50"/>
  <c r="R87" i="50"/>
  <c r="R94" i="50"/>
  <c r="R30" i="50"/>
  <c r="R93" i="50"/>
  <c r="R29" i="50"/>
  <c r="R92" i="50"/>
  <c r="R28" i="50"/>
  <c r="R67" i="50"/>
  <c r="R138" i="50"/>
  <c r="R74" i="50"/>
  <c r="AJ33" i="50"/>
  <c r="AL33" i="50"/>
  <c r="AJ71" i="50"/>
  <c r="AL71" i="50"/>
  <c r="U11" i="63" s="1"/>
  <c r="W11" i="63" s="1"/>
  <c r="AJ94" i="50"/>
  <c r="AL94" i="50"/>
  <c r="AJ41" i="50"/>
  <c r="AL41" i="50"/>
  <c r="AJ32" i="50"/>
  <c r="AL32" i="50"/>
  <c r="AJ114" i="50"/>
  <c r="AL114" i="50"/>
  <c r="AJ88" i="50"/>
  <c r="AL88" i="50"/>
  <c r="AJ37" i="50"/>
  <c r="AL37" i="50"/>
  <c r="AJ20" i="50"/>
  <c r="AL20" i="50"/>
  <c r="AJ116" i="50"/>
  <c r="AL116" i="50"/>
  <c r="AJ113" i="50"/>
  <c r="AL113" i="50"/>
  <c r="AJ132" i="50"/>
  <c r="AL132" i="50"/>
  <c r="AJ95" i="50"/>
  <c r="AL95" i="50"/>
  <c r="AJ128" i="50"/>
  <c r="AL128" i="50"/>
  <c r="AJ73" i="50"/>
  <c r="AL73" i="50"/>
  <c r="AJ29" i="50"/>
  <c r="AL29" i="50"/>
  <c r="AJ16" i="50"/>
  <c r="AL16" i="50"/>
  <c r="AJ72" i="50"/>
  <c r="AL72" i="50"/>
  <c r="AJ44" i="50"/>
  <c r="AL44" i="50"/>
  <c r="AJ62" i="50"/>
  <c r="AL62" i="50"/>
  <c r="AJ39" i="50"/>
  <c r="AL39" i="50"/>
  <c r="AJ121" i="50"/>
  <c r="AL121" i="50"/>
  <c r="AJ137" i="50"/>
  <c r="AL137" i="50"/>
  <c r="AJ50" i="50"/>
  <c r="AL50" i="50"/>
  <c r="AJ58" i="50"/>
  <c r="AL58" i="50"/>
  <c r="AJ40" i="50"/>
  <c r="AL40" i="50"/>
  <c r="AJ126" i="50"/>
  <c r="AL126" i="50"/>
  <c r="AJ86" i="50"/>
  <c r="AL86" i="50"/>
  <c r="AJ104" i="50"/>
  <c r="AL104" i="50"/>
  <c r="AJ133" i="50"/>
  <c r="AL133" i="50"/>
  <c r="AJ36" i="50"/>
  <c r="AL36" i="50"/>
  <c r="AJ111" i="50"/>
  <c r="AL111" i="50"/>
  <c r="AJ139" i="50"/>
  <c r="AL139" i="50"/>
  <c r="AJ119" i="50"/>
  <c r="AL119" i="50"/>
  <c r="AJ56" i="50"/>
  <c r="AL56" i="50"/>
  <c r="AJ49" i="50"/>
  <c r="AL49" i="50"/>
  <c r="AJ42" i="50"/>
  <c r="AL42" i="50"/>
  <c r="AJ14" i="50"/>
  <c r="AL14" i="50"/>
  <c r="AJ100" i="50"/>
  <c r="AL100" i="50"/>
  <c r="AJ70" i="50"/>
  <c r="AL70" i="50"/>
  <c r="AJ83" i="50"/>
  <c r="AL83" i="50"/>
  <c r="AJ80" i="50"/>
  <c r="AL80" i="50"/>
  <c r="AJ51" i="50"/>
  <c r="AL51" i="50"/>
  <c r="AJ124" i="50"/>
  <c r="AL124" i="50"/>
  <c r="AJ103" i="50"/>
  <c r="AL103" i="50"/>
  <c r="AJ30" i="50"/>
  <c r="AL30" i="50"/>
  <c r="AJ78" i="50"/>
  <c r="AL78" i="50"/>
  <c r="AJ21" i="50"/>
  <c r="AL21" i="50"/>
  <c r="AJ18" i="50"/>
  <c r="AL18" i="50"/>
  <c r="AJ115" i="50"/>
  <c r="AL115" i="50"/>
  <c r="AJ67" i="50"/>
  <c r="AL67" i="50"/>
  <c r="AJ87" i="50"/>
  <c r="AL87" i="50"/>
  <c r="AJ131" i="50"/>
  <c r="AL131" i="50"/>
  <c r="AJ66" i="50"/>
  <c r="AL66" i="50"/>
  <c r="AJ54" i="50"/>
  <c r="AL54" i="50"/>
  <c r="AJ85" i="50"/>
  <c r="AL85" i="50"/>
  <c r="AJ96" i="50"/>
  <c r="AL96" i="50"/>
  <c r="AJ26" i="50"/>
  <c r="AL26" i="50"/>
  <c r="AJ92" i="50"/>
  <c r="AL92" i="50"/>
  <c r="AJ22" i="50"/>
  <c r="AL22" i="50"/>
  <c r="AJ107" i="50"/>
  <c r="AL107" i="50"/>
  <c r="AJ112" i="50"/>
  <c r="AL112" i="50"/>
  <c r="AJ122" i="50"/>
  <c r="AL122" i="50"/>
  <c r="AJ101" i="50"/>
  <c r="AL101" i="50"/>
  <c r="AJ45" i="50"/>
  <c r="AL45" i="50"/>
  <c r="AJ27" i="50"/>
  <c r="AL27" i="50"/>
  <c r="AJ98" i="50"/>
  <c r="AL98" i="50"/>
  <c r="AB11" i="63" s="1"/>
  <c r="AD11" i="63" s="1"/>
  <c r="AJ123" i="50"/>
  <c r="AL123" i="50"/>
  <c r="AJ59" i="50"/>
  <c r="AL59" i="50"/>
  <c r="AJ89" i="50"/>
  <c r="AL89" i="50"/>
  <c r="AJ136" i="50"/>
  <c r="AL136" i="50"/>
  <c r="AJ57" i="50"/>
  <c r="AL57" i="50"/>
  <c r="AJ138" i="50"/>
  <c r="AL138" i="50"/>
  <c r="AJ19" i="50"/>
  <c r="AL19" i="50"/>
  <c r="AJ110" i="50"/>
  <c r="AL110" i="50"/>
  <c r="AJ75" i="50"/>
  <c r="AL75" i="50"/>
  <c r="AJ118" i="50"/>
  <c r="AL118" i="50"/>
  <c r="AJ97" i="50"/>
  <c r="AL97" i="50"/>
  <c r="AB12" i="56" s="1"/>
  <c r="AD12" i="56" s="1"/>
  <c r="AJ55" i="50"/>
  <c r="AL55" i="50"/>
  <c r="AJ109" i="50"/>
  <c r="AL109" i="50"/>
  <c r="AJ130" i="50"/>
  <c r="AL130" i="50"/>
  <c r="AJ28" i="50"/>
  <c r="AL28" i="50"/>
  <c r="AJ125" i="50"/>
  <c r="AL125" i="50"/>
  <c r="AJ108" i="50"/>
  <c r="AL108" i="50"/>
  <c r="AJ99" i="50"/>
  <c r="AL99" i="50"/>
  <c r="AJ48" i="50"/>
  <c r="AL48" i="50"/>
  <c r="AJ47" i="50"/>
  <c r="AL47" i="50"/>
  <c r="AJ31" i="50"/>
  <c r="AL31" i="50"/>
  <c r="AJ79" i="50"/>
  <c r="AL79" i="50"/>
  <c r="AJ17" i="50"/>
  <c r="AL17" i="50"/>
  <c r="AJ74" i="50"/>
  <c r="AL74" i="50"/>
  <c r="AJ82" i="50"/>
  <c r="AL82" i="50"/>
  <c r="AJ81" i="50"/>
  <c r="AL81" i="50"/>
  <c r="AJ102" i="50"/>
  <c r="AL102" i="50"/>
  <c r="AJ61" i="50"/>
  <c r="AL61" i="50"/>
  <c r="AJ35" i="50"/>
  <c r="AL35" i="50"/>
  <c r="AJ117" i="50"/>
  <c r="AL117" i="50"/>
  <c r="AJ60" i="50"/>
  <c r="AL60" i="50"/>
  <c r="AJ106" i="50"/>
  <c r="AL106" i="50"/>
  <c r="AJ52" i="50"/>
  <c r="AL52" i="50"/>
  <c r="AJ84" i="50"/>
  <c r="AL84" i="50"/>
  <c r="AJ127" i="50"/>
  <c r="AL127" i="50"/>
  <c r="AJ91" i="50"/>
  <c r="AL91" i="50"/>
  <c r="AJ34" i="50"/>
  <c r="AL34" i="50"/>
  <c r="AJ46" i="50"/>
  <c r="AL46" i="50"/>
  <c r="AJ93" i="50"/>
  <c r="AL93" i="50"/>
  <c r="AJ68" i="50"/>
  <c r="AL68" i="50"/>
  <c r="AJ77" i="50"/>
  <c r="AL77" i="50"/>
  <c r="AJ135" i="50"/>
  <c r="AL135" i="50"/>
  <c r="AJ134" i="50"/>
  <c r="AL134" i="50"/>
  <c r="AJ76" i="50"/>
  <c r="AL76" i="50"/>
  <c r="AJ105" i="50"/>
  <c r="AL105" i="50"/>
  <c r="AJ65" i="50"/>
  <c r="AL65" i="50"/>
  <c r="AJ25" i="50"/>
  <c r="AL25" i="50"/>
  <c r="N11" i="63" s="1"/>
  <c r="P11" i="63" s="1"/>
  <c r="AJ120" i="50"/>
  <c r="AL120" i="50"/>
  <c r="AJ64" i="50"/>
  <c r="AL64" i="50"/>
  <c r="AF77" i="50"/>
  <c r="AH77" i="50"/>
  <c r="AF132" i="50"/>
  <c r="AH132" i="50"/>
  <c r="AF28" i="50"/>
  <c r="AH28" i="50"/>
  <c r="AF121" i="50"/>
  <c r="AH121" i="50"/>
  <c r="AF91" i="50"/>
  <c r="AH91" i="50"/>
  <c r="AF61" i="50"/>
  <c r="AH61" i="50"/>
  <c r="AF128" i="50"/>
  <c r="AH128" i="50"/>
  <c r="AF134" i="50"/>
  <c r="AH134" i="50"/>
  <c r="AF113" i="50"/>
  <c r="AH113" i="50"/>
  <c r="AF62" i="50"/>
  <c r="AH62" i="50"/>
  <c r="AF104" i="50"/>
  <c r="AH104" i="50"/>
  <c r="AF131" i="50"/>
  <c r="AH131" i="50"/>
  <c r="AF16" i="50"/>
  <c r="AH16" i="50"/>
  <c r="AF139" i="50"/>
  <c r="AH139" i="50"/>
  <c r="AF83" i="50"/>
  <c r="AH83" i="50"/>
  <c r="AF133" i="50"/>
  <c r="AH133" i="50"/>
  <c r="AF75" i="50"/>
  <c r="AH75" i="50"/>
  <c r="AF116" i="50"/>
  <c r="AH116" i="50"/>
  <c r="AF64" i="50"/>
  <c r="AH64" i="50"/>
  <c r="AF39" i="50"/>
  <c r="AH39" i="50"/>
  <c r="AF106" i="50"/>
  <c r="AH106" i="50"/>
  <c r="AF120" i="50"/>
  <c r="AH120" i="50"/>
  <c r="AF103" i="50"/>
  <c r="AH103" i="50"/>
  <c r="AF101" i="50"/>
  <c r="AH101" i="50"/>
  <c r="AF123" i="50"/>
  <c r="AH123" i="50"/>
  <c r="AF18" i="50"/>
  <c r="AH18" i="50"/>
  <c r="AF70" i="50"/>
  <c r="AH70" i="50"/>
  <c r="AF32" i="50"/>
  <c r="AH32" i="50"/>
  <c r="AF82" i="50"/>
  <c r="AH82" i="50"/>
  <c r="AF41" i="50"/>
  <c r="AH41" i="50"/>
  <c r="AF85" i="50"/>
  <c r="AH85" i="50"/>
  <c r="AF84" i="50"/>
  <c r="AH84" i="50"/>
  <c r="AF87" i="50"/>
  <c r="AH87" i="50"/>
  <c r="AF89" i="50"/>
  <c r="AH89" i="50"/>
  <c r="AF68" i="50"/>
  <c r="AH68" i="50"/>
  <c r="AF30" i="50"/>
  <c r="AH30" i="50"/>
  <c r="AF57" i="50"/>
  <c r="AH57" i="50"/>
  <c r="AF20" i="50"/>
  <c r="AH20" i="50"/>
  <c r="AF52" i="50"/>
  <c r="AH52" i="50"/>
  <c r="AF76" i="50"/>
  <c r="AH76" i="50"/>
  <c r="AF122" i="50"/>
  <c r="AH122" i="50"/>
  <c r="AF58" i="50"/>
  <c r="AH58" i="50"/>
  <c r="AF48" i="50"/>
  <c r="AH48" i="50"/>
  <c r="AF34" i="50"/>
  <c r="AH34" i="50"/>
  <c r="AF137" i="50"/>
  <c r="AH137" i="50"/>
  <c r="AF80" i="50"/>
  <c r="AH80" i="50"/>
  <c r="AF92" i="50"/>
  <c r="AH92" i="50"/>
  <c r="AF97" i="50"/>
  <c r="AH97" i="50"/>
  <c r="AB11" i="56" s="1"/>
  <c r="AD11" i="56" s="1"/>
  <c r="AF111" i="50"/>
  <c r="AH111" i="50"/>
  <c r="AF125" i="50"/>
  <c r="AH125" i="50"/>
  <c r="AF95" i="50"/>
  <c r="AH95" i="50"/>
  <c r="AF88" i="50"/>
  <c r="AH88" i="50"/>
  <c r="AF127" i="50"/>
  <c r="AH127" i="50"/>
  <c r="AF135" i="50"/>
  <c r="AH135" i="50"/>
  <c r="AF46" i="50"/>
  <c r="AH46" i="50"/>
  <c r="AF25" i="50"/>
  <c r="AH25" i="50"/>
  <c r="N10" i="63" s="1"/>
  <c r="P10" i="63" s="1"/>
  <c r="AF105" i="50"/>
  <c r="AH105" i="50"/>
  <c r="AF59" i="50"/>
  <c r="AH59" i="50"/>
  <c r="AF14" i="50"/>
  <c r="AH14" i="50"/>
  <c r="AF109" i="50"/>
  <c r="AH109" i="50"/>
  <c r="AF114" i="50"/>
  <c r="AH114" i="50"/>
  <c r="AF55" i="50"/>
  <c r="AH55" i="50"/>
  <c r="AF37" i="50"/>
  <c r="AH37" i="50"/>
  <c r="AF119" i="50"/>
  <c r="AH119" i="50"/>
  <c r="AF110" i="50"/>
  <c r="AH110" i="50"/>
  <c r="AF21" i="50"/>
  <c r="AH21" i="50"/>
  <c r="AF93" i="50"/>
  <c r="AH93" i="50"/>
  <c r="AF54" i="50"/>
  <c r="AH54" i="50"/>
  <c r="AF49" i="50"/>
  <c r="AH49" i="50"/>
  <c r="AF126" i="50"/>
  <c r="AH126" i="50"/>
  <c r="AF72" i="50"/>
  <c r="AH72" i="50"/>
  <c r="AF47" i="50"/>
  <c r="AH47" i="50"/>
  <c r="AF138" i="50"/>
  <c r="AH138" i="50"/>
  <c r="AF107" i="50"/>
  <c r="AH107" i="50"/>
  <c r="AF19" i="50"/>
  <c r="AH19" i="50"/>
  <c r="AF22" i="50"/>
  <c r="AH22" i="50"/>
  <c r="AF73" i="50"/>
  <c r="AH73" i="50"/>
  <c r="AF112" i="50"/>
  <c r="AH112" i="50"/>
  <c r="AF130" i="50"/>
  <c r="AH130" i="50"/>
  <c r="AF40" i="50"/>
  <c r="AH40" i="50"/>
  <c r="AF67" i="50"/>
  <c r="AH67" i="50"/>
  <c r="AF66" i="50"/>
  <c r="AH66" i="50"/>
  <c r="AF118" i="50"/>
  <c r="AH118" i="50"/>
  <c r="AF115" i="50"/>
  <c r="AH115" i="50"/>
  <c r="AF136" i="50"/>
  <c r="AH136" i="50"/>
  <c r="AF42" i="50"/>
  <c r="AH42" i="50"/>
  <c r="AF45" i="50"/>
  <c r="AH45" i="50"/>
  <c r="AF33" i="50"/>
  <c r="AH33" i="50"/>
  <c r="AF96" i="50"/>
  <c r="AH96" i="50"/>
  <c r="AF56" i="50"/>
  <c r="AH56" i="50"/>
  <c r="AF102" i="50"/>
  <c r="AH102" i="50"/>
  <c r="AF108" i="50"/>
  <c r="AH108" i="50"/>
  <c r="AF44" i="50"/>
  <c r="AH44" i="50"/>
  <c r="AF71" i="50"/>
  <c r="AH71" i="50"/>
  <c r="U10" i="63" s="1"/>
  <c r="W10" i="63" s="1"/>
  <c r="AF86" i="50"/>
  <c r="AH86" i="50"/>
  <c r="AF99" i="50"/>
  <c r="AH99" i="50"/>
  <c r="AF36" i="50"/>
  <c r="AH36" i="50"/>
  <c r="AF94" i="50"/>
  <c r="AH94" i="50"/>
  <c r="AF26" i="50"/>
  <c r="AH26" i="50"/>
  <c r="AF60" i="50"/>
  <c r="AH60" i="50"/>
  <c r="AF98" i="50"/>
  <c r="AH98" i="50"/>
  <c r="AB10" i="63" s="1"/>
  <c r="AD10" i="63" s="1"/>
  <c r="AF31" i="50"/>
  <c r="AH31" i="50"/>
  <c r="AF117" i="50"/>
  <c r="AH117" i="50"/>
  <c r="AF17" i="50"/>
  <c r="AH17" i="50"/>
  <c r="AF124" i="50"/>
  <c r="AH124" i="50"/>
  <c r="AF79" i="50"/>
  <c r="AH79" i="50"/>
  <c r="AF78" i="50"/>
  <c r="AH78" i="50"/>
  <c r="AF81" i="50"/>
  <c r="AH81" i="50"/>
  <c r="AF51" i="50"/>
  <c r="AH51" i="50"/>
  <c r="AF65" i="50"/>
  <c r="AH65" i="50"/>
  <c r="AF50" i="50"/>
  <c r="AH50" i="50"/>
  <c r="AF29" i="50"/>
  <c r="AH29" i="50"/>
  <c r="AF35" i="50"/>
  <c r="AH35" i="50"/>
  <c r="AB100" i="50"/>
  <c r="AD100" i="50"/>
  <c r="AB85" i="50"/>
  <c r="AD85" i="50"/>
  <c r="AB30" i="50"/>
  <c r="AD30" i="50"/>
  <c r="AB96" i="50"/>
  <c r="AD96" i="50"/>
  <c r="AB104" i="50"/>
  <c r="AD104" i="50"/>
  <c r="AB133" i="50"/>
  <c r="AD133" i="50"/>
  <c r="K122" i="49"/>
  <c r="R122" i="49" s="1"/>
  <c r="AD122" i="50"/>
  <c r="AB111" i="50"/>
  <c r="AD111" i="50"/>
  <c r="AB139" i="50"/>
  <c r="AD139" i="50"/>
  <c r="AB138" i="50"/>
  <c r="AD138" i="50"/>
  <c r="AB49" i="50"/>
  <c r="AD49" i="50"/>
  <c r="AB74" i="50"/>
  <c r="AD74" i="50"/>
  <c r="AB128" i="50"/>
  <c r="AD128" i="50"/>
  <c r="AB64" i="50"/>
  <c r="AD64" i="50"/>
  <c r="AB88" i="50"/>
  <c r="AD88" i="50"/>
  <c r="AB26" i="50"/>
  <c r="AD26" i="50"/>
  <c r="AB66" i="50"/>
  <c r="AD66" i="50"/>
  <c r="AB72" i="50"/>
  <c r="AD72" i="50"/>
  <c r="AB40" i="50"/>
  <c r="AD40" i="50"/>
  <c r="AB42" i="50"/>
  <c r="AD42" i="50"/>
  <c r="AB57" i="50"/>
  <c r="AD57" i="50"/>
  <c r="K109" i="49"/>
  <c r="R109" i="49" s="1"/>
  <c r="AD109" i="50"/>
  <c r="AB95" i="50"/>
  <c r="AD95" i="50"/>
  <c r="AB86" i="50"/>
  <c r="AD86" i="50"/>
  <c r="AB103" i="50"/>
  <c r="AD103" i="50"/>
  <c r="AB62" i="50"/>
  <c r="AD62" i="50"/>
  <c r="AB22" i="50"/>
  <c r="AD22" i="50"/>
  <c r="AB83" i="50"/>
  <c r="AD83" i="50"/>
  <c r="AB32" i="50"/>
  <c r="AD32" i="50"/>
  <c r="AB106" i="50"/>
  <c r="AD106" i="50"/>
  <c r="AB39" i="50"/>
  <c r="AD39" i="50"/>
  <c r="AB125" i="50"/>
  <c r="AD125" i="50"/>
  <c r="AB36" i="50"/>
  <c r="AD36" i="50"/>
  <c r="AB130" i="50"/>
  <c r="AD130" i="50"/>
  <c r="AB34" i="50"/>
  <c r="AD34" i="50"/>
  <c r="AB113" i="50"/>
  <c r="AD113" i="50"/>
  <c r="AB126" i="50"/>
  <c r="AD126" i="50"/>
  <c r="K82" i="49"/>
  <c r="R82" i="49" s="1"/>
  <c r="AD82" i="50"/>
  <c r="AB68" i="50"/>
  <c r="AD68" i="50"/>
  <c r="AB101" i="50"/>
  <c r="AD101" i="50"/>
  <c r="AB84" i="50"/>
  <c r="AD84" i="50"/>
  <c r="AB89" i="50"/>
  <c r="AD89" i="50"/>
  <c r="AB21" i="50"/>
  <c r="AD21" i="50"/>
  <c r="AB50" i="50"/>
  <c r="AD50" i="50"/>
  <c r="AB114" i="50"/>
  <c r="AD114" i="50"/>
  <c r="AB18" i="50"/>
  <c r="AD18" i="50"/>
  <c r="AB134" i="50"/>
  <c r="AD134" i="50"/>
  <c r="AB46" i="50"/>
  <c r="AD46" i="50"/>
  <c r="AB47" i="50"/>
  <c r="AD47" i="50"/>
  <c r="AB92" i="50"/>
  <c r="AD92" i="50"/>
  <c r="AB97" i="50"/>
  <c r="AD97" i="50"/>
  <c r="AB10" i="56" s="1"/>
  <c r="AB45" i="50"/>
  <c r="AD45" i="50"/>
  <c r="AB73" i="50"/>
  <c r="AD73" i="50"/>
  <c r="AB29" i="50"/>
  <c r="AD29" i="50"/>
  <c r="AB20" i="50"/>
  <c r="AD20" i="50"/>
  <c r="AB102" i="50"/>
  <c r="AD102" i="50"/>
  <c r="AB94" i="50"/>
  <c r="AD94" i="50"/>
  <c r="AB117" i="50"/>
  <c r="AD117" i="50"/>
  <c r="AB28" i="50"/>
  <c r="AD28" i="50"/>
  <c r="AB35" i="50"/>
  <c r="AD35" i="50"/>
  <c r="AB48" i="50"/>
  <c r="AD48" i="50"/>
  <c r="AB55" i="50"/>
  <c r="AD55" i="50"/>
  <c r="AB65" i="50"/>
  <c r="AD65" i="50"/>
  <c r="AB120" i="50"/>
  <c r="AD120" i="50"/>
  <c r="AB107" i="50"/>
  <c r="AD107" i="50"/>
  <c r="AB59" i="50"/>
  <c r="AD59" i="50"/>
  <c r="AB37" i="50"/>
  <c r="AD37" i="50"/>
  <c r="K115" i="49"/>
  <c r="R115" i="49" s="1"/>
  <c r="AD115" i="50"/>
  <c r="AB91" i="50"/>
  <c r="AD91" i="50"/>
  <c r="AB16" i="50"/>
  <c r="AD16" i="50"/>
  <c r="AB19" i="50"/>
  <c r="AD19" i="50"/>
  <c r="AB41" i="50"/>
  <c r="AD41" i="50"/>
  <c r="AB54" i="50"/>
  <c r="AD54" i="50"/>
  <c r="AB112" i="50"/>
  <c r="AD112" i="50"/>
  <c r="AB70" i="50"/>
  <c r="AD70" i="50"/>
  <c r="AB25" i="50"/>
  <c r="AD25" i="50"/>
  <c r="N10" i="56" s="1"/>
  <c r="N9" i="63" s="1"/>
  <c r="P9" i="63" s="1"/>
  <c r="AB76" i="50"/>
  <c r="AD76" i="50"/>
  <c r="AB132" i="50"/>
  <c r="AD132" i="50"/>
  <c r="AB52" i="50"/>
  <c r="AD52" i="50"/>
  <c r="AB131" i="50"/>
  <c r="AD131" i="50"/>
  <c r="AB118" i="50"/>
  <c r="AD118" i="50"/>
  <c r="AB127" i="50"/>
  <c r="AD127" i="50"/>
  <c r="AB71" i="50"/>
  <c r="AD71" i="50"/>
  <c r="U10" i="56" s="1"/>
  <c r="AB98" i="50"/>
  <c r="AD98" i="50"/>
  <c r="AB77" i="50"/>
  <c r="AD77" i="50"/>
  <c r="AB78" i="50"/>
  <c r="AD78" i="50"/>
  <c r="K44" i="49"/>
  <c r="R44" i="49" s="1"/>
  <c r="AD44" i="50"/>
  <c r="AB27" i="50"/>
  <c r="AD27" i="50"/>
  <c r="AB81" i="50"/>
  <c r="AD81" i="50"/>
  <c r="AB137" i="50"/>
  <c r="AD137" i="50"/>
  <c r="AB116" i="50"/>
  <c r="AD116" i="50"/>
  <c r="AB99" i="50"/>
  <c r="AD99" i="50"/>
  <c r="AB93" i="50"/>
  <c r="AD93" i="50"/>
  <c r="AB14" i="50"/>
  <c r="AD14" i="50"/>
  <c r="AB60" i="50"/>
  <c r="AD60" i="50"/>
  <c r="AB123" i="50"/>
  <c r="AD123" i="50"/>
  <c r="AB51" i="50"/>
  <c r="AD51" i="50"/>
  <c r="AB124" i="50"/>
  <c r="AD124" i="50"/>
  <c r="K58" i="49"/>
  <c r="R58" i="49" s="1"/>
  <c r="AD58" i="50"/>
  <c r="AB121" i="50"/>
  <c r="AD121" i="50"/>
  <c r="AB75" i="50"/>
  <c r="AD75" i="50"/>
  <c r="AB105" i="50"/>
  <c r="AD105" i="50"/>
  <c r="AB61" i="50"/>
  <c r="AD61" i="50"/>
  <c r="AB108" i="50"/>
  <c r="AD108" i="50"/>
  <c r="AB31" i="50"/>
  <c r="AD31" i="50"/>
  <c r="K33" i="49"/>
  <c r="R33" i="49" s="1"/>
  <c r="AD33" i="50"/>
  <c r="K79" i="49"/>
  <c r="R79" i="49" s="1"/>
  <c r="AD79" i="50"/>
  <c r="AB119" i="50"/>
  <c r="AD119" i="50"/>
  <c r="AB110" i="50"/>
  <c r="AD110" i="50"/>
  <c r="AB87" i="50"/>
  <c r="AD87" i="50"/>
  <c r="AB135" i="50"/>
  <c r="AD135" i="50"/>
  <c r="AB56" i="50"/>
  <c r="AD56" i="50"/>
  <c r="AB136" i="50"/>
  <c r="AD136" i="50"/>
  <c r="AB67" i="50"/>
  <c r="AD67" i="50"/>
  <c r="AB80" i="50"/>
  <c r="AD80" i="50"/>
  <c r="AB17" i="50"/>
  <c r="AD17" i="50"/>
  <c r="I110" i="49"/>
  <c r="Q110" i="49" s="1"/>
  <c r="Z110" i="50"/>
  <c r="I31" i="49"/>
  <c r="Q31" i="49" s="1"/>
  <c r="Z31" i="50"/>
  <c r="I30" i="49"/>
  <c r="Q30" i="49" s="1"/>
  <c r="Z30" i="50"/>
  <c r="I126" i="49"/>
  <c r="Q126" i="49" s="1"/>
  <c r="Z126" i="50"/>
  <c r="I86" i="49"/>
  <c r="Q86" i="49" s="1"/>
  <c r="Z86" i="50"/>
  <c r="I79" i="49"/>
  <c r="Q79" i="49" s="1"/>
  <c r="Z79" i="50"/>
  <c r="H82" i="49"/>
  <c r="P82" i="49" s="1"/>
  <c r="Z82" i="50"/>
  <c r="H137" i="49"/>
  <c r="P137" i="49" s="1"/>
  <c r="Z137" i="50"/>
  <c r="I58" i="49"/>
  <c r="Q58" i="49" s="1"/>
  <c r="Z58" i="50"/>
  <c r="I42" i="49"/>
  <c r="Q42" i="49" s="1"/>
  <c r="Z42" i="50"/>
  <c r="H87" i="49"/>
  <c r="P87" i="49" s="1"/>
  <c r="Z87" i="50"/>
  <c r="I44" i="49"/>
  <c r="Q44" i="49" s="1"/>
  <c r="Z44" i="50"/>
  <c r="H74" i="49"/>
  <c r="P74" i="49" s="1"/>
  <c r="Z74" i="50"/>
  <c r="I41" i="49"/>
  <c r="Q41" i="49" s="1"/>
  <c r="Z41" i="50"/>
  <c r="I94" i="49"/>
  <c r="Q94" i="49" s="1"/>
  <c r="Z94" i="50"/>
  <c r="I21" i="49"/>
  <c r="Q21" i="49" s="1"/>
  <c r="Z21" i="50"/>
  <c r="I80" i="49"/>
  <c r="Q80" i="49" s="1"/>
  <c r="Z80" i="50"/>
  <c r="I127" i="49"/>
  <c r="Q127" i="49" s="1"/>
  <c r="Z127" i="50"/>
  <c r="I106" i="49"/>
  <c r="Q106" i="49" s="1"/>
  <c r="Z106" i="50"/>
  <c r="I99" i="49"/>
  <c r="Q99" i="49" s="1"/>
  <c r="Z99" i="50"/>
  <c r="I33" i="49"/>
  <c r="Q33" i="49" s="1"/>
  <c r="Z33" i="50"/>
  <c r="I135" i="49"/>
  <c r="Q135" i="49" s="1"/>
  <c r="Z135" i="50"/>
  <c r="I115" i="49"/>
  <c r="Q115" i="49" s="1"/>
  <c r="Z115" i="50"/>
  <c r="I47" i="49"/>
  <c r="Q47" i="49" s="1"/>
  <c r="Z47" i="50"/>
  <c r="H118" i="49"/>
  <c r="P118" i="49" s="1"/>
  <c r="Z118" i="50"/>
  <c r="I48" i="49"/>
  <c r="Q48" i="49" s="1"/>
  <c r="Z48" i="50"/>
  <c r="I97" i="49"/>
  <c r="Q97" i="49" s="1"/>
  <c r="Z97" i="50"/>
  <c r="AB9" i="56" s="1"/>
  <c r="AD9" i="56" s="1"/>
  <c r="H125" i="49"/>
  <c r="P125" i="49" s="1"/>
  <c r="Z125" i="50"/>
  <c r="H100" i="49"/>
  <c r="P100" i="49" s="1"/>
  <c r="Z100" i="50"/>
  <c r="H131" i="49"/>
  <c r="P131" i="49" s="1"/>
  <c r="Z131" i="50"/>
  <c r="H103" i="49"/>
  <c r="P103" i="49" s="1"/>
  <c r="Z103" i="50"/>
  <c r="I55" i="49"/>
  <c r="Q55" i="49" s="1"/>
  <c r="Z55" i="50"/>
  <c r="I102" i="49"/>
  <c r="Q102" i="49" s="1"/>
  <c r="Z102" i="50"/>
  <c r="I75" i="49"/>
  <c r="Q75" i="49" s="1"/>
  <c r="Z75" i="50"/>
  <c r="I52" i="49"/>
  <c r="Q52" i="49" s="1"/>
  <c r="Z52" i="50"/>
  <c r="I107" i="49"/>
  <c r="Q107" i="49" s="1"/>
  <c r="Z107" i="50"/>
  <c r="I62" i="49"/>
  <c r="Q62" i="49" s="1"/>
  <c r="Z62" i="50"/>
  <c r="I50" i="49"/>
  <c r="Q50" i="49" s="1"/>
  <c r="Z50" i="50"/>
  <c r="H116" i="49"/>
  <c r="P116" i="49" s="1"/>
  <c r="Z116" i="50"/>
  <c r="I14" i="49"/>
  <c r="Q14" i="49" s="1"/>
  <c r="Z14" i="50"/>
  <c r="I35" i="49"/>
  <c r="Q35" i="49" s="1"/>
  <c r="Z35" i="50"/>
  <c r="I113" i="49"/>
  <c r="Q113" i="49" s="1"/>
  <c r="Z113" i="50"/>
  <c r="H133" i="49"/>
  <c r="P133" i="49" s="1"/>
  <c r="Z133" i="50"/>
  <c r="H108" i="49"/>
  <c r="P108" i="49" s="1"/>
  <c r="Z108" i="50"/>
  <c r="I139" i="49"/>
  <c r="Q139" i="49" s="1"/>
  <c r="Z139" i="50"/>
  <c r="H111" i="49"/>
  <c r="P111" i="49" s="1"/>
  <c r="Z111" i="50"/>
  <c r="I64" i="49"/>
  <c r="Q64" i="49" s="1"/>
  <c r="Z64" i="50"/>
  <c r="I51" i="49"/>
  <c r="Q51" i="49" s="1"/>
  <c r="Z51" i="50"/>
  <c r="I109" i="49"/>
  <c r="Q109" i="49" s="1"/>
  <c r="Z109" i="50"/>
  <c r="I92" i="49"/>
  <c r="Q92" i="49" s="1"/>
  <c r="Z92" i="50"/>
  <c r="I136" i="49"/>
  <c r="Q136" i="49" s="1"/>
  <c r="Z136" i="50"/>
  <c r="I130" i="49"/>
  <c r="Q130" i="49" s="1"/>
  <c r="Z130" i="50"/>
  <c r="I105" i="49"/>
  <c r="Q105" i="49" s="1"/>
  <c r="Z105" i="50"/>
  <c r="I59" i="49"/>
  <c r="Q59" i="49" s="1"/>
  <c r="Z59" i="50"/>
  <c r="I104" i="49"/>
  <c r="Q104" i="49" s="1"/>
  <c r="Z104" i="50"/>
  <c r="I25" i="49"/>
  <c r="Q25" i="49" s="1"/>
  <c r="Z25" i="50"/>
  <c r="N9" i="56" s="1"/>
  <c r="H77" i="49"/>
  <c r="P77" i="49" s="1"/>
  <c r="Z77" i="50"/>
  <c r="H134" i="49"/>
  <c r="P134" i="49" s="1"/>
  <c r="Z134" i="50"/>
  <c r="I54" i="49"/>
  <c r="Q54" i="49" s="1"/>
  <c r="Z54" i="50"/>
  <c r="H138" i="49"/>
  <c r="P138" i="49" s="1"/>
  <c r="Z138" i="50"/>
  <c r="I119" i="49"/>
  <c r="Q119" i="49" s="1"/>
  <c r="Z119" i="50"/>
  <c r="I73" i="49"/>
  <c r="Q73" i="49" s="1"/>
  <c r="Z73" i="50"/>
  <c r="I60" i="49"/>
  <c r="Q60" i="49" s="1"/>
  <c r="Z60" i="50"/>
  <c r="I67" i="49"/>
  <c r="Q67" i="49" s="1"/>
  <c r="Z67" i="50"/>
  <c r="I40" i="49"/>
  <c r="Q40" i="49" s="1"/>
  <c r="Z40" i="50"/>
  <c r="I34" i="49"/>
  <c r="Q34" i="49" s="1"/>
  <c r="Z34" i="50"/>
  <c r="I91" i="49"/>
  <c r="Q91" i="49" s="1"/>
  <c r="Z91" i="50"/>
  <c r="I120" i="49"/>
  <c r="Q120" i="49" s="1"/>
  <c r="Z120" i="50"/>
  <c r="I16" i="49"/>
  <c r="Q16" i="49" s="1"/>
  <c r="Z16" i="50"/>
  <c r="I22" i="49"/>
  <c r="Q22" i="49" s="1"/>
  <c r="Z22" i="50"/>
  <c r="I78" i="49"/>
  <c r="Q78" i="49" s="1"/>
  <c r="Z78" i="50"/>
  <c r="I29" i="49"/>
  <c r="Q29" i="49" s="1"/>
  <c r="Z29" i="50"/>
  <c r="I128" i="49"/>
  <c r="Q128" i="49" s="1"/>
  <c r="Z128" i="50"/>
  <c r="I27" i="49"/>
  <c r="Q27" i="49" s="1"/>
  <c r="Z27" i="50"/>
  <c r="I72" i="49"/>
  <c r="Q72" i="49" s="1"/>
  <c r="Z72" i="50"/>
  <c r="H132" i="49"/>
  <c r="P132" i="49" s="1"/>
  <c r="Z132" i="50"/>
  <c r="I46" i="49"/>
  <c r="Q46" i="49" s="1"/>
  <c r="Z46" i="50"/>
  <c r="I81" i="49"/>
  <c r="Q81" i="49" s="1"/>
  <c r="Z81" i="50"/>
  <c r="I57" i="49"/>
  <c r="Q57" i="49" s="1"/>
  <c r="Z57" i="50"/>
  <c r="I76" i="49"/>
  <c r="Q76" i="49" s="1"/>
  <c r="Z76" i="50"/>
  <c r="I49" i="49"/>
  <c r="Q49" i="49" s="1"/>
  <c r="Z49" i="50"/>
  <c r="Z123" i="50"/>
  <c r="I56" i="49"/>
  <c r="Q56" i="49" s="1"/>
  <c r="Z56" i="50"/>
  <c r="I89" i="49"/>
  <c r="Q89" i="49" s="1"/>
  <c r="Z89" i="50"/>
  <c r="I20" i="49"/>
  <c r="Q20" i="49" s="1"/>
  <c r="Z20" i="50"/>
  <c r="H93" i="49"/>
  <c r="P93" i="49" s="1"/>
  <c r="Z93" i="50"/>
  <c r="I96" i="49"/>
  <c r="Q96" i="49" s="1"/>
  <c r="Z96" i="50"/>
  <c r="I37" i="49"/>
  <c r="Q37" i="49" s="1"/>
  <c r="Z37" i="50"/>
  <c r="H66" i="49"/>
  <c r="P66" i="49" s="1"/>
  <c r="Z66" i="50"/>
  <c r="I68" i="49"/>
  <c r="Q68" i="49" s="1"/>
  <c r="Z68" i="50"/>
  <c r="I124" i="49"/>
  <c r="Q124" i="49" s="1"/>
  <c r="Z124" i="50"/>
  <c r="I83" i="49"/>
  <c r="Q83" i="49" s="1"/>
  <c r="Z83" i="50"/>
  <c r="H98" i="49"/>
  <c r="P98" i="49" s="1"/>
  <c r="Z98" i="50"/>
  <c r="I70" i="49"/>
  <c r="Q70" i="49" s="1"/>
  <c r="Z70" i="50"/>
  <c r="I84" i="49"/>
  <c r="Q84" i="49" s="1"/>
  <c r="Z84" i="50"/>
  <c r="I28" i="49"/>
  <c r="Q28" i="49" s="1"/>
  <c r="Z28" i="50"/>
  <c r="I61" i="49"/>
  <c r="Q61" i="49" s="1"/>
  <c r="Z61" i="50"/>
  <c r="I17" i="49"/>
  <c r="Q17" i="49" s="1"/>
  <c r="Z17" i="50"/>
  <c r="I45" i="49"/>
  <c r="Q45" i="49" s="1"/>
  <c r="Z45" i="50"/>
  <c r="H112" i="49"/>
  <c r="P112" i="49" s="1"/>
  <c r="Z112" i="50"/>
  <c r="I88" i="49"/>
  <c r="Q88" i="49" s="1"/>
  <c r="Z88" i="50"/>
  <c r="I36" i="49"/>
  <c r="Q36" i="49" s="1"/>
  <c r="Z36" i="50"/>
  <c r="H121" i="49"/>
  <c r="P121" i="49" s="1"/>
  <c r="Z121" i="50"/>
  <c r="I39" i="49"/>
  <c r="Q39" i="49" s="1"/>
  <c r="Z39" i="50"/>
  <c r="H117" i="49"/>
  <c r="P117" i="49" s="1"/>
  <c r="Z117" i="50"/>
  <c r="I114" i="49"/>
  <c r="Q114" i="49" s="1"/>
  <c r="Z114" i="50"/>
  <c r="I122" i="49"/>
  <c r="Q122" i="49" s="1"/>
  <c r="Z122" i="50"/>
  <c r="I95" i="49"/>
  <c r="Q95" i="49" s="1"/>
  <c r="Z95" i="50"/>
  <c r="I101" i="49"/>
  <c r="Q101" i="49" s="1"/>
  <c r="Z101" i="50"/>
  <c r="I19" i="49"/>
  <c r="Q19" i="49" s="1"/>
  <c r="Z19" i="50"/>
  <c r="H71" i="49"/>
  <c r="P71" i="49" s="1"/>
  <c r="Z71" i="50"/>
  <c r="U9" i="56" s="1"/>
  <c r="I26" i="49"/>
  <c r="Q26" i="49" s="1"/>
  <c r="Z26" i="50"/>
  <c r="H65" i="49"/>
  <c r="P65" i="49" s="1"/>
  <c r="Z65" i="50"/>
  <c r="I32" i="49"/>
  <c r="Q32" i="49" s="1"/>
  <c r="Z32" i="50"/>
  <c r="I85" i="49"/>
  <c r="Q85" i="49" s="1"/>
  <c r="Z85" i="50"/>
  <c r="I18" i="49"/>
  <c r="Q18" i="49" s="1"/>
  <c r="Z18" i="50"/>
  <c r="V114" i="50"/>
  <c r="V95" i="50"/>
  <c r="V103" i="50"/>
  <c r="V75" i="50"/>
  <c r="V39" i="50"/>
  <c r="V124" i="50"/>
  <c r="V112" i="50"/>
  <c r="V61" i="50"/>
  <c r="V62" i="50"/>
  <c r="V30" i="50"/>
  <c r="V139" i="50"/>
  <c r="V111" i="50"/>
  <c r="V40" i="50"/>
  <c r="V55" i="50"/>
  <c r="V20" i="50"/>
  <c r="V34" i="50"/>
  <c r="V130" i="50"/>
  <c r="V119" i="50"/>
  <c r="V110" i="50"/>
  <c r="V86" i="50"/>
  <c r="V127" i="50"/>
  <c r="V17" i="50"/>
  <c r="V128" i="50"/>
  <c r="V134" i="50"/>
  <c r="V105" i="50"/>
  <c r="V109" i="50"/>
  <c r="V14" i="50"/>
  <c r="V26" i="50"/>
  <c r="V80" i="50"/>
  <c r="V126" i="50"/>
  <c r="V116" i="50"/>
  <c r="V84" i="50"/>
  <c r="V94" i="50"/>
  <c r="V60" i="50"/>
  <c r="V135" i="50"/>
  <c r="V107" i="50"/>
  <c r="V120" i="50"/>
  <c r="V88" i="50"/>
  <c r="V102" i="50"/>
  <c r="V70" i="50"/>
  <c r="V115" i="50"/>
  <c r="V36" i="50"/>
  <c r="V65" i="50"/>
  <c r="V101" i="50"/>
  <c r="V133" i="50"/>
  <c r="V118" i="50"/>
  <c r="V137" i="50"/>
  <c r="V79" i="50"/>
  <c r="V82" i="50"/>
  <c r="V92" i="50"/>
  <c r="V123" i="50"/>
  <c r="V100" i="50"/>
  <c r="V67" i="50"/>
  <c r="V77" i="50"/>
  <c r="V42" i="50"/>
  <c r="V122" i="50"/>
  <c r="V91" i="50"/>
  <c r="V104" i="50"/>
  <c r="V72" i="50"/>
  <c r="V85" i="50"/>
  <c r="V51" i="50"/>
  <c r="V29" i="50"/>
  <c r="V117" i="50"/>
  <c r="V132" i="50"/>
  <c r="V21" i="50"/>
  <c r="V45" i="50"/>
  <c r="V98" i="50"/>
  <c r="AB8" i="63" s="1"/>
  <c r="V83" i="50"/>
  <c r="V49" i="50"/>
  <c r="V59" i="50"/>
  <c r="V25" i="50"/>
  <c r="N8" i="63" s="1"/>
  <c r="V106" i="50"/>
  <c r="V74" i="50"/>
  <c r="V87" i="50"/>
  <c r="V54" i="50"/>
  <c r="V68" i="50"/>
  <c r="V33" i="50"/>
  <c r="V121" i="50"/>
  <c r="V131" i="50"/>
  <c r="V46" i="50"/>
  <c r="V78" i="50"/>
  <c r="V28" i="50"/>
  <c r="V96" i="50"/>
  <c r="V93" i="50"/>
  <c r="V97" i="50"/>
  <c r="AB8" i="56" s="1"/>
  <c r="V125" i="50"/>
  <c r="V57" i="50"/>
  <c r="V66" i="50"/>
  <c r="V31" i="50"/>
  <c r="V41" i="50"/>
  <c r="V76" i="50"/>
  <c r="V89" i="50"/>
  <c r="V56" i="50"/>
  <c r="V71" i="50"/>
  <c r="U8" i="63" s="1"/>
  <c r="V35" i="50"/>
  <c r="V50" i="50"/>
  <c r="V16" i="50"/>
  <c r="V64" i="50"/>
  <c r="V22" i="50"/>
  <c r="V99" i="50"/>
  <c r="V19" i="50"/>
  <c r="V47" i="50"/>
  <c r="V81" i="50"/>
  <c r="V44" i="50"/>
  <c r="V27" i="50"/>
  <c r="V136" i="50"/>
  <c r="V108" i="50"/>
  <c r="V113" i="50"/>
  <c r="V48" i="50"/>
  <c r="V138" i="50"/>
  <c r="V58" i="50"/>
  <c r="V73" i="50"/>
  <c r="V37" i="50"/>
  <c r="V52" i="50"/>
  <c r="V18" i="50"/>
  <c r="V32" i="50"/>
  <c r="J51" i="50"/>
  <c r="J75" i="50"/>
  <c r="J135" i="50"/>
  <c r="J61" i="50"/>
  <c r="J137" i="50"/>
  <c r="J128" i="50"/>
  <c r="J115" i="50"/>
  <c r="J112" i="50"/>
  <c r="J79" i="50"/>
  <c r="J131" i="50"/>
  <c r="J62" i="50"/>
  <c r="J73" i="50"/>
  <c r="J107" i="50"/>
  <c r="J93" i="50"/>
  <c r="J134" i="50"/>
  <c r="J17" i="50"/>
  <c r="J42" i="50"/>
  <c r="J104" i="50"/>
  <c r="J124" i="50"/>
  <c r="J39" i="50"/>
  <c r="J113" i="50"/>
  <c r="J72" i="50"/>
  <c r="J35" i="50"/>
  <c r="J105" i="50"/>
  <c r="J92" i="50"/>
  <c r="J83" i="50"/>
  <c r="J77" i="50"/>
  <c r="J91" i="50"/>
  <c r="J132" i="50"/>
  <c r="J48" i="50"/>
  <c r="J74" i="50"/>
  <c r="J76" i="50"/>
  <c r="J94" i="50"/>
  <c r="J114" i="50"/>
  <c r="J49" i="50"/>
  <c r="J71" i="50"/>
  <c r="J67" i="50"/>
  <c r="J59" i="50"/>
  <c r="J45" i="50"/>
  <c r="J54" i="50"/>
  <c r="J109" i="50"/>
  <c r="J111" i="50"/>
  <c r="J110" i="50"/>
  <c r="J119" i="50"/>
  <c r="J22" i="50"/>
  <c r="J52" i="50"/>
  <c r="J68" i="50"/>
  <c r="J80" i="50"/>
  <c r="J98" i="50"/>
  <c r="AB5" i="63" s="1"/>
  <c r="J118" i="50"/>
  <c r="J20" i="50"/>
  <c r="J36" i="50"/>
  <c r="J81" i="50"/>
  <c r="J95" i="50"/>
  <c r="J60" i="50"/>
  <c r="J97" i="50"/>
  <c r="AB5" i="56" s="1"/>
  <c r="J86" i="50"/>
  <c r="J87" i="50"/>
  <c r="J96" i="50"/>
  <c r="J14" i="50"/>
  <c r="J40" i="50"/>
  <c r="J121" i="50"/>
  <c r="J37" i="50"/>
  <c r="J46" i="50"/>
  <c r="J84" i="50"/>
  <c r="J102" i="50"/>
  <c r="J122" i="50"/>
  <c r="J138" i="50"/>
  <c r="J44" i="50"/>
  <c r="J65" i="50"/>
  <c r="J123" i="50"/>
  <c r="J139" i="50"/>
  <c r="J106" i="50"/>
  <c r="J18" i="50"/>
  <c r="J21" i="50"/>
  <c r="J117" i="50"/>
  <c r="J108" i="50"/>
  <c r="J125" i="50"/>
  <c r="J47" i="50"/>
  <c r="J56" i="50"/>
  <c r="J66" i="50"/>
  <c r="J78" i="50"/>
  <c r="J126" i="50"/>
  <c r="J133" i="50"/>
  <c r="J41" i="50"/>
  <c r="J64" i="50"/>
  <c r="J85" i="50"/>
  <c r="J99" i="50"/>
  <c r="J50" i="50"/>
  <c r="J136" i="50"/>
  <c r="J101" i="50"/>
  <c r="J70" i="50"/>
  <c r="J116" i="50"/>
  <c r="J19" i="50"/>
  <c r="J57" i="50"/>
  <c r="J88" i="50"/>
  <c r="J100" i="50"/>
  <c r="J120" i="50"/>
  <c r="J16" i="50"/>
  <c r="J34" i="50"/>
  <c r="J58" i="50"/>
  <c r="J89" i="50"/>
  <c r="J103" i="50"/>
  <c r="J127" i="50"/>
  <c r="J130" i="50"/>
  <c r="J55" i="50"/>
  <c r="J82" i="50"/>
  <c r="N84" i="50"/>
  <c r="N17" i="50"/>
  <c r="N135" i="50"/>
  <c r="N125" i="50"/>
  <c r="N117" i="50"/>
  <c r="N49" i="50"/>
  <c r="N33" i="50"/>
  <c r="N124" i="50"/>
  <c r="N137" i="50"/>
  <c r="N88" i="50"/>
  <c r="N127" i="50"/>
  <c r="N132" i="50"/>
  <c r="N47" i="50"/>
  <c r="N62" i="50"/>
  <c r="N94" i="50"/>
  <c r="N139" i="50"/>
  <c r="N82" i="50"/>
  <c r="N67" i="50"/>
  <c r="N54" i="50"/>
  <c r="N55" i="50"/>
  <c r="N91" i="50"/>
  <c r="N75" i="50"/>
  <c r="N79" i="50"/>
  <c r="N112" i="50"/>
  <c r="N52" i="50"/>
  <c r="N76" i="50"/>
  <c r="N133" i="50"/>
  <c r="N41" i="50"/>
  <c r="N51" i="50"/>
  <c r="N102" i="50"/>
  <c r="N98" i="50"/>
  <c r="AB6" i="63" s="1"/>
  <c r="N64" i="50"/>
  <c r="N78" i="50"/>
  <c r="N22" i="50"/>
  <c r="N36" i="50"/>
  <c r="N58" i="50"/>
  <c r="N71" i="50"/>
  <c r="N121" i="50"/>
  <c r="N116" i="50"/>
  <c r="N104" i="50"/>
  <c r="N59" i="50"/>
  <c r="N107" i="50"/>
  <c r="N30" i="50"/>
  <c r="N26" i="50"/>
  <c r="N110" i="50"/>
  <c r="N106" i="50"/>
  <c r="N57" i="50"/>
  <c r="N86" i="50"/>
  <c r="N134" i="50"/>
  <c r="N32" i="50"/>
  <c r="N100" i="50"/>
  <c r="N96" i="50"/>
  <c r="N136" i="50"/>
  <c r="N66" i="50"/>
  <c r="N37" i="50"/>
  <c r="N95" i="50"/>
  <c r="N34" i="50"/>
  <c r="N118" i="50"/>
  <c r="N114" i="50"/>
  <c r="N46" i="50"/>
  <c r="N68" i="50"/>
  <c r="N93" i="50"/>
  <c r="N18" i="50"/>
  <c r="N81" i="50"/>
  <c r="N120" i="50"/>
  <c r="N39" i="50"/>
  <c r="N80" i="50"/>
  <c r="N29" i="50"/>
  <c r="N28" i="50"/>
  <c r="N20" i="50"/>
  <c r="N44" i="50"/>
  <c r="N83" i="50"/>
  <c r="N122" i="50"/>
  <c r="N40" i="50"/>
  <c r="N61" i="50"/>
  <c r="N101" i="50"/>
  <c r="N138" i="50"/>
  <c r="N89" i="50"/>
  <c r="N128" i="50"/>
  <c r="N35" i="50"/>
  <c r="N48" i="50"/>
  <c r="N115" i="50"/>
  <c r="N108" i="50"/>
  <c r="N119" i="50"/>
  <c r="N99" i="50"/>
  <c r="N113" i="50"/>
  <c r="N60" i="50"/>
  <c r="N87" i="50"/>
  <c r="N14" i="50"/>
  <c r="N50" i="50"/>
  <c r="N109" i="50"/>
  <c r="N56" i="50"/>
  <c r="N77" i="50"/>
  <c r="N21" i="50"/>
  <c r="N42" i="50"/>
  <c r="N123" i="50"/>
  <c r="N103" i="50"/>
  <c r="N131" i="50"/>
  <c r="N25" i="50"/>
  <c r="N16" i="50"/>
  <c r="N126" i="50"/>
  <c r="N19" i="50"/>
  <c r="N74" i="50"/>
  <c r="N105" i="50"/>
  <c r="N45" i="50"/>
  <c r="N85" i="50"/>
  <c r="N92" i="50"/>
  <c r="N31" i="50"/>
  <c r="N72" i="50"/>
  <c r="N111" i="50"/>
  <c r="N130" i="50"/>
  <c r="N65" i="50"/>
  <c r="AF74" i="50"/>
  <c r="AH74" i="50"/>
  <c r="AF27" i="50"/>
  <c r="AH27" i="50"/>
  <c r="AF100" i="50"/>
  <c r="AH100" i="50"/>
  <c r="N70" i="50"/>
  <c r="N27" i="50"/>
  <c r="N97" i="50"/>
  <c r="AB6" i="56" s="1"/>
  <c r="N73" i="50"/>
  <c r="AL24" i="50"/>
  <c r="G11" i="63" s="1"/>
  <c r="I11" i="63" s="1"/>
  <c r="J24" i="50"/>
  <c r="AH24" i="50"/>
  <c r="G10" i="63" s="1"/>
  <c r="I10" i="63" s="1"/>
  <c r="N24" i="50"/>
  <c r="AD24" i="50"/>
  <c r="Z24" i="50"/>
  <c r="I24" i="49"/>
  <c r="Q24" i="49" s="1"/>
  <c r="V24" i="50"/>
  <c r="G8" i="63" s="1"/>
  <c r="N8" i="56" l="1"/>
  <c r="W10" i="56"/>
  <c r="U9" i="63"/>
  <c r="W9" i="63" s="1"/>
  <c r="AD10" i="56"/>
  <c r="AB9" i="63"/>
  <c r="AD9" i="63" s="1"/>
  <c r="U7" i="56"/>
  <c r="G7" i="56"/>
  <c r="G6" i="56"/>
  <c r="G6" i="63"/>
  <c r="N7" i="56"/>
  <c r="U5" i="56"/>
  <c r="U5" i="63"/>
  <c r="U6" i="56"/>
  <c r="U6" i="63"/>
  <c r="G5" i="56"/>
  <c r="G5" i="63"/>
  <c r="U11" i="56"/>
  <c r="W11" i="56" s="1"/>
  <c r="N12" i="56"/>
  <c r="P12" i="56" s="1"/>
  <c r="U12" i="56"/>
  <c r="W12" i="56" s="1"/>
  <c r="U8" i="56"/>
  <c r="N6" i="56"/>
  <c r="N6" i="63"/>
  <c r="N11" i="56"/>
  <c r="P11" i="56" s="1"/>
  <c r="O83" i="49"/>
  <c r="V83" i="49" s="1"/>
  <c r="O139" i="49"/>
  <c r="V139" i="49" s="1"/>
  <c r="O33" i="49"/>
  <c r="V33" i="49" s="1"/>
  <c r="O59" i="49"/>
  <c r="V59" i="49" s="1"/>
  <c r="O96" i="49"/>
  <c r="V96" i="49" s="1"/>
  <c r="O39" i="49"/>
  <c r="V39" i="49" s="1"/>
  <c r="O95" i="49"/>
  <c r="V95" i="49" s="1"/>
  <c r="O104" i="49"/>
  <c r="V104" i="49" s="1"/>
  <c r="O16" i="49"/>
  <c r="V16" i="49" s="1"/>
  <c r="O107" i="49"/>
  <c r="V107" i="49" s="1"/>
  <c r="O84" i="49"/>
  <c r="V84" i="49" s="1"/>
  <c r="O130" i="49"/>
  <c r="V130" i="49" s="1"/>
  <c r="O58" i="49"/>
  <c r="V58" i="49" s="1"/>
  <c r="O118" i="49"/>
  <c r="V118" i="49" s="1"/>
  <c r="O32" i="49"/>
  <c r="V32" i="49" s="1"/>
  <c r="O138" i="49"/>
  <c r="V138" i="49" s="1"/>
  <c r="O45" i="49"/>
  <c r="V45" i="49" s="1"/>
  <c r="O99" i="49"/>
  <c r="V99" i="49" s="1"/>
  <c r="O135" i="49"/>
  <c r="V135" i="49" s="1"/>
  <c r="O20" i="49"/>
  <c r="V20" i="49" s="1"/>
  <c r="O42" i="49"/>
  <c r="V42" i="49" s="1"/>
  <c r="O131" i="49"/>
  <c r="V131" i="49" s="1"/>
  <c r="O18" i="49"/>
  <c r="V18" i="49" s="1"/>
  <c r="M77" i="49"/>
  <c r="T77" i="49" s="1"/>
  <c r="O117" i="49"/>
  <c r="V117" i="49" s="1"/>
  <c r="M91" i="49"/>
  <c r="T91" i="49" s="1"/>
  <c r="O103" i="49"/>
  <c r="V103" i="49" s="1"/>
  <c r="M57" i="49"/>
  <c r="T57" i="49" s="1"/>
  <c r="M139" i="49"/>
  <c r="T139" i="49" s="1"/>
  <c r="M125" i="49"/>
  <c r="T125" i="49" s="1"/>
  <c r="O89" i="49"/>
  <c r="V89" i="49" s="1"/>
  <c r="O65" i="49"/>
  <c r="V65" i="49" s="1"/>
  <c r="O28" i="49"/>
  <c r="V28" i="49" s="1"/>
  <c r="M113" i="49"/>
  <c r="T113" i="49" s="1"/>
  <c r="O30" i="49"/>
  <c r="V30" i="49" s="1"/>
  <c r="M120" i="49"/>
  <c r="T120" i="49" s="1"/>
  <c r="O26" i="49"/>
  <c r="V26" i="49" s="1"/>
  <c r="M122" i="49"/>
  <c r="T122" i="49" s="1"/>
  <c r="AB79" i="50"/>
  <c r="O14" i="49"/>
  <c r="V14" i="49" s="1"/>
  <c r="O19" i="49"/>
  <c r="V19" i="49" s="1"/>
  <c r="M106" i="49"/>
  <c r="T106" i="49" s="1"/>
  <c r="O112" i="49"/>
  <c r="V112" i="49" s="1"/>
  <c r="O48" i="49"/>
  <c r="V48" i="49" s="1"/>
  <c r="O133" i="49"/>
  <c r="V133" i="49" s="1"/>
  <c r="M75" i="49"/>
  <c r="T75" i="49" s="1"/>
  <c r="O72" i="49"/>
  <c r="V72" i="49" s="1"/>
  <c r="M18" i="49"/>
  <c r="T18" i="49" s="1"/>
  <c r="M16" i="49"/>
  <c r="T16" i="49" s="1"/>
  <c r="M110" i="49"/>
  <c r="T110" i="49" s="1"/>
  <c r="M135" i="49"/>
  <c r="T135" i="49" s="1"/>
  <c r="O93" i="49"/>
  <c r="V93" i="49" s="1"/>
  <c r="O27" i="49"/>
  <c r="V27" i="49" s="1"/>
  <c r="M62" i="49"/>
  <c r="T62" i="49" s="1"/>
  <c r="O127" i="49"/>
  <c r="V127" i="49" s="1"/>
  <c r="M105" i="49"/>
  <c r="T105" i="49" s="1"/>
  <c r="M87" i="49"/>
  <c r="T87" i="49" s="1"/>
  <c r="M127" i="49"/>
  <c r="T127" i="49" s="1"/>
  <c r="M123" i="49"/>
  <c r="T123" i="49" s="1"/>
  <c r="O81" i="49"/>
  <c r="V81" i="49" s="1"/>
  <c r="O79" i="49"/>
  <c r="V79" i="49" s="1"/>
  <c r="M111" i="49"/>
  <c r="T111" i="49" s="1"/>
  <c r="O46" i="49"/>
  <c r="V46" i="49" s="1"/>
  <c r="M82" i="49"/>
  <c r="T82" i="49" s="1"/>
  <c r="M137" i="49"/>
  <c r="T137" i="49" s="1"/>
  <c r="M114" i="49"/>
  <c r="T114" i="49" s="1"/>
  <c r="O108" i="49"/>
  <c r="V108" i="49" s="1"/>
  <c r="O57" i="49"/>
  <c r="V57" i="49" s="1"/>
  <c r="O62" i="49"/>
  <c r="V62" i="49" s="1"/>
  <c r="O77" i="49"/>
  <c r="V77" i="49" s="1"/>
  <c r="O52" i="49"/>
  <c r="V52" i="49" s="1"/>
  <c r="O86" i="49"/>
  <c r="V86" i="49" s="1"/>
  <c r="O75" i="49"/>
  <c r="V75" i="49" s="1"/>
  <c r="K30" i="49"/>
  <c r="R30" i="49" s="1"/>
  <c r="O82" i="49"/>
  <c r="V82" i="49" s="1"/>
  <c r="M30" i="49"/>
  <c r="T30" i="49" s="1"/>
  <c r="O128" i="49"/>
  <c r="V128" i="49" s="1"/>
  <c r="O119" i="49"/>
  <c r="V119" i="49" s="1"/>
  <c r="O25" i="49"/>
  <c r="V25" i="49" s="1"/>
  <c r="O40" i="49"/>
  <c r="V40" i="49" s="1"/>
  <c r="O71" i="49"/>
  <c r="V71" i="49" s="1"/>
  <c r="O80" i="49"/>
  <c r="V80" i="49" s="1"/>
  <c r="O116" i="49"/>
  <c r="V116" i="49" s="1"/>
  <c r="O121" i="49"/>
  <c r="V121" i="49" s="1"/>
  <c r="O66" i="49"/>
  <c r="V66" i="49" s="1"/>
  <c r="K107" i="49"/>
  <c r="R107" i="49" s="1"/>
  <c r="O114" i="49"/>
  <c r="V114" i="49" s="1"/>
  <c r="M89" i="49"/>
  <c r="T89" i="49" s="1"/>
  <c r="O115" i="49"/>
  <c r="V115" i="49" s="1"/>
  <c r="M41" i="49"/>
  <c r="T41" i="49" s="1"/>
  <c r="M21" i="49"/>
  <c r="T21" i="49" s="1"/>
  <c r="M132" i="49"/>
  <c r="T132" i="49" s="1"/>
  <c r="M32" i="49"/>
  <c r="T32" i="49" s="1"/>
  <c r="M116" i="49"/>
  <c r="T116" i="49" s="1"/>
  <c r="M80" i="49"/>
  <c r="T80" i="49" s="1"/>
  <c r="M20" i="49"/>
  <c r="T20" i="49" s="1"/>
  <c r="M58" i="49"/>
  <c r="T58" i="49" s="1"/>
  <c r="K60" i="49"/>
  <c r="R60" i="49" s="1"/>
  <c r="M73" i="49"/>
  <c r="T73" i="49" s="1"/>
  <c r="M49" i="49"/>
  <c r="T49" i="49" s="1"/>
  <c r="M36" i="49"/>
  <c r="T36" i="49" s="1"/>
  <c r="M138" i="49"/>
  <c r="T138" i="49" s="1"/>
  <c r="M136" i="49"/>
  <c r="T136" i="49" s="1"/>
  <c r="M35" i="49"/>
  <c r="T35" i="49" s="1"/>
  <c r="K94" i="49"/>
  <c r="R94" i="49" s="1"/>
  <c r="K134" i="49"/>
  <c r="R134" i="49" s="1"/>
  <c r="K22" i="49"/>
  <c r="R22" i="49" s="1"/>
  <c r="K139" i="49"/>
  <c r="R139" i="49" s="1"/>
  <c r="K48" i="49"/>
  <c r="R48" i="49" s="1"/>
  <c r="K100" i="49"/>
  <c r="R100" i="49" s="1"/>
  <c r="K84" i="49"/>
  <c r="R84" i="49" s="1"/>
  <c r="K97" i="49"/>
  <c r="R97" i="49" s="1"/>
  <c r="M98" i="49"/>
  <c r="T98" i="49" s="1"/>
  <c r="O36" i="49"/>
  <c r="V36" i="49" s="1"/>
  <c r="I133" i="49"/>
  <c r="Q133" i="49" s="1"/>
  <c r="H94" i="49"/>
  <c r="P94" i="49" s="1"/>
  <c r="K126" i="49"/>
  <c r="R126" i="49" s="1"/>
  <c r="M44" i="49"/>
  <c r="T44" i="49" s="1"/>
  <c r="O94" i="49"/>
  <c r="V94" i="49" s="1"/>
  <c r="M67" i="49"/>
  <c r="T67" i="49" s="1"/>
  <c r="O55" i="49"/>
  <c r="V55" i="49" s="1"/>
  <c r="K73" i="49"/>
  <c r="R73" i="49" s="1"/>
  <c r="O88" i="49"/>
  <c r="V88" i="49" s="1"/>
  <c r="K66" i="49"/>
  <c r="R66" i="49" s="1"/>
  <c r="M79" i="49"/>
  <c r="T79" i="49" s="1"/>
  <c r="O122" i="49"/>
  <c r="V122" i="49" s="1"/>
  <c r="O100" i="49"/>
  <c r="V100" i="49" s="1"/>
  <c r="K52" i="49"/>
  <c r="R52" i="49" s="1"/>
  <c r="H102" i="49"/>
  <c r="P102" i="49" s="1"/>
  <c r="M96" i="49"/>
  <c r="T96" i="49" s="1"/>
  <c r="K39" i="49"/>
  <c r="R39" i="49" s="1"/>
  <c r="O47" i="49"/>
  <c r="V47" i="49" s="1"/>
  <c r="O44" i="49"/>
  <c r="V44" i="49" s="1"/>
  <c r="M85" i="49"/>
  <c r="T85" i="49" s="1"/>
  <c r="H135" i="49"/>
  <c r="P135" i="49" s="1"/>
  <c r="H70" i="49"/>
  <c r="P70" i="49" s="1"/>
  <c r="K135" i="49"/>
  <c r="R135" i="49" s="1"/>
  <c r="I103" i="49"/>
  <c r="Q103" i="49" s="1"/>
  <c r="K110" i="49"/>
  <c r="R110" i="49" s="1"/>
  <c r="K28" i="49"/>
  <c r="R28" i="49" s="1"/>
  <c r="M66" i="49"/>
  <c r="T66" i="49" s="1"/>
  <c r="H139" i="49"/>
  <c r="P139" i="49" s="1"/>
  <c r="K32" i="49"/>
  <c r="R32" i="49" s="1"/>
  <c r="K34" i="49"/>
  <c r="R34" i="49" s="1"/>
  <c r="K49" i="49"/>
  <c r="R49" i="49" s="1"/>
  <c r="M56" i="49"/>
  <c r="T56" i="49" s="1"/>
  <c r="H85" i="49"/>
  <c r="P85" i="49" s="1"/>
  <c r="M112" i="49"/>
  <c r="T112" i="49" s="1"/>
  <c r="K20" i="49"/>
  <c r="R20" i="49" s="1"/>
  <c r="K47" i="49"/>
  <c r="R47" i="49" s="1"/>
  <c r="M94" i="49"/>
  <c r="T94" i="49" s="1"/>
  <c r="K95" i="49"/>
  <c r="R95" i="49" s="1"/>
  <c r="M55" i="49"/>
  <c r="T55" i="49" s="1"/>
  <c r="K37" i="49"/>
  <c r="R37" i="49" s="1"/>
  <c r="K104" i="49"/>
  <c r="R104" i="49" s="1"/>
  <c r="M108" i="49"/>
  <c r="T108" i="49" s="1"/>
  <c r="M107" i="49"/>
  <c r="T107" i="49" s="1"/>
  <c r="M59" i="49"/>
  <c r="T59" i="49" s="1"/>
  <c r="H105" i="49"/>
  <c r="P105" i="49" s="1"/>
  <c r="K114" i="49"/>
  <c r="R114" i="49" s="1"/>
  <c r="I118" i="49"/>
  <c r="Q118" i="49" s="1"/>
  <c r="H110" i="49"/>
  <c r="P110" i="49" s="1"/>
  <c r="K77" i="49"/>
  <c r="R77" i="49" s="1"/>
  <c r="M65" i="49"/>
  <c r="T65" i="49" s="1"/>
  <c r="M42" i="49"/>
  <c r="T42" i="49" s="1"/>
  <c r="M126" i="49"/>
  <c r="T126" i="49" s="1"/>
  <c r="M71" i="49"/>
  <c r="T71" i="49" s="1"/>
  <c r="H124" i="49"/>
  <c r="P124" i="49" s="1"/>
  <c r="K65" i="49"/>
  <c r="R65" i="49" s="1"/>
  <c r="K68" i="49"/>
  <c r="R68" i="49" s="1"/>
  <c r="K36" i="49"/>
  <c r="R36" i="49" s="1"/>
  <c r="I87" i="49"/>
  <c r="Q87" i="49" s="1"/>
  <c r="M31" i="49"/>
  <c r="T31" i="49" s="1"/>
  <c r="K91" i="49"/>
  <c r="R91" i="49" s="1"/>
  <c r="K21" i="49"/>
  <c r="R21" i="49" s="1"/>
  <c r="H128" i="49"/>
  <c r="P128" i="49" s="1"/>
  <c r="I77" i="49"/>
  <c r="Q77" i="49" s="1"/>
  <c r="I117" i="49"/>
  <c r="Q117" i="49" s="1"/>
  <c r="K106" i="49"/>
  <c r="R106" i="49" s="1"/>
  <c r="M104" i="49"/>
  <c r="T104" i="49" s="1"/>
  <c r="H130" i="49"/>
  <c r="P130" i="49" s="1"/>
  <c r="O74" i="49"/>
  <c r="V74" i="49" s="1"/>
  <c r="M48" i="49"/>
  <c r="T48" i="49" s="1"/>
  <c r="O126" i="49"/>
  <c r="V126" i="49" s="1"/>
  <c r="M64" i="49"/>
  <c r="T64" i="49" s="1"/>
  <c r="K128" i="49"/>
  <c r="R128" i="49" s="1"/>
  <c r="M95" i="49"/>
  <c r="T95" i="49" s="1"/>
  <c r="I100" i="49"/>
  <c r="Q100" i="49" s="1"/>
  <c r="K57" i="49"/>
  <c r="R57" i="49" s="1"/>
  <c r="M14" i="49"/>
  <c r="T14" i="49" s="1"/>
  <c r="O106" i="49"/>
  <c r="V106" i="49" s="1"/>
  <c r="I98" i="49"/>
  <c r="Q98" i="49" s="1"/>
  <c r="M72" i="49"/>
  <c r="T72" i="49" s="1"/>
  <c r="O67" i="49"/>
  <c r="V67" i="49" s="1"/>
  <c r="M61" i="49"/>
  <c r="T61" i="49" s="1"/>
  <c r="H101" i="49"/>
  <c r="P101" i="49" s="1"/>
  <c r="H115" i="49"/>
  <c r="P115" i="49" s="1"/>
  <c r="H80" i="49"/>
  <c r="P80" i="49" s="1"/>
  <c r="M124" i="49"/>
  <c r="T124" i="49" s="1"/>
  <c r="I121" i="49"/>
  <c r="Q121" i="49" s="1"/>
  <c r="H72" i="49"/>
  <c r="P72" i="49" s="1"/>
  <c r="K103" i="49"/>
  <c r="R103" i="49" s="1"/>
  <c r="H88" i="49"/>
  <c r="P88" i="49" s="1"/>
  <c r="K75" i="49"/>
  <c r="R75" i="49" s="1"/>
  <c r="I74" i="49"/>
  <c r="Q74" i="49" s="1"/>
  <c r="I66" i="49"/>
  <c r="Q66" i="49" s="1"/>
  <c r="K118" i="49"/>
  <c r="R118" i="49" s="1"/>
  <c r="H109" i="49"/>
  <c r="P109" i="49" s="1"/>
  <c r="I82" i="49"/>
  <c r="Q82" i="49" s="1"/>
  <c r="I65" i="49"/>
  <c r="Q65" i="49" s="1"/>
  <c r="K70" i="49"/>
  <c r="R70" i="49" s="1"/>
  <c r="AB122" i="50"/>
  <c r="H104" i="49"/>
  <c r="P104" i="49" s="1"/>
  <c r="I116" i="49"/>
  <c r="Q116" i="49" s="1"/>
  <c r="K130" i="49"/>
  <c r="R130" i="49" s="1"/>
  <c r="M51" i="49"/>
  <c r="T51" i="49" s="1"/>
  <c r="H122" i="49"/>
  <c r="P122" i="49" s="1"/>
  <c r="K93" i="49"/>
  <c r="R93" i="49" s="1"/>
  <c r="K81" i="49"/>
  <c r="R81" i="49" s="1"/>
  <c r="AB44" i="50"/>
  <c r="I111" i="49"/>
  <c r="Q111" i="49" s="1"/>
  <c r="I71" i="49"/>
  <c r="Q71" i="49" s="1"/>
  <c r="K136" i="49"/>
  <c r="R136" i="49" s="1"/>
  <c r="K51" i="49"/>
  <c r="R51" i="49" s="1"/>
  <c r="K131" i="49"/>
  <c r="R131" i="49" s="1"/>
  <c r="H86" i="49"/>
  <c r="P86" i="49" s="1"/>
  <c r="I125" i="49"/>
  <c r="Q125" i="49" s="1"/>
  <c r="K71" i="49"/>
  <c r="R71" i="49" s="1"/>
  <c r="K80" i="49"/>
  <c r="R80" i="49" s="1"/>
  <c r="K31" i="49"/>
  <c r="R31" i="49" s="1"/>
  <c r="K76" i="49"/>
  <c r="R76" i="49" s="1"/>
  <c r="K125" i="49"/>
  <c r="R125" i="49" s="1"/>
  <c r="K78" i="49"/>
  <c r="R78" i="49" s="1"/>
  <c r="K137" i="49"/>
  <c r="R137" i="49" s="1"/>
  <c r="K54" i="49"/>
  <c r="R54" i="49" s="1"/>
  <c r="H64" i="49"/>
  <c r="P64" i="49" s="1"/>
  <c r="H119" i="49"/>
  <c r="P119" i="49" s="1"/>
  <c r="K117" i="49"/>
  <c r="R117" i="49" s="1"/>
  <c r="H75" i="49"/>
  <c r="P75" i="49" s="1"/>
  <c r="K14" i="49"/>
  <c r="R14" i="49" s="1"/>
  <c r="H97" i="49"/>
  <c r="P97" i="49" s="1"/>
  <c r="H106" i="49"/>
  <c r="P106" i="49" s="1"/>
  <c r="H91" i="49"/>
  <c r="P91" i="49" s="1"/>
  <c r="K116" i="49"/>
  <c r="R116" i="49" s="1"/>
  <c r="K88" i="49"/>
  <c r="R88" i="49" s="1"/>
  <c r="K67" i="49"/>
  <c r="R67" i="49" s="1"/>
  <c r="K87" i="49"/>
  <c r="R87" i="49" s="1"/>
  <c r="H96" i="49"/>
  <c r="P96" i="49" s="1"/>
  <c r="K40" i="49"/>
  <c r="R40" i="49" s="1"/>
  <c r="AB58" i="50"/>
  <c r="H136" i="49"/>
  <c r="P136" i="49" s="1"/>
  <c r="K18" i="49"/>
  <c r="R18" i="49" s="1"/>
  <c r="K64" i="49"/>
  <c r="R64" i="49" s="1"/>
  <c r="H114" i="49"/>
  <c r="P114" i="49" s="1"/>
  <c r="H78" i="49"/>
  <c r="P78" i="49" s="1"/>
  <c r="K19" i="49"/>
  <c r="R19" i="49" s="1"/>
  <c r="AB82" i="50"/>
  <c r="K29" i="49"/>
  <c r="R29" i="49" s="1"/>
  <c r="M78" i="49"/>
  <c r="T78" i="49" s="1"/>
  <c r="K61" i="49"/>
  <c r="R61" i="49" s="1"/>
  <c r="H84" i="49"/>
  <c r="P84" i="49" s="1"/>
  <c r="K124" i="49"/>
  <c r="R124" i="49" s="1"/>
  <c r="H83" i="49"/>
  <c r="P83" i="49" s="1"/>
  <c r="M92" i="49"/>
  <c r="T92" i="49" s="1"/>
  <c r="K55" i="49"/>
  <c r="R55" i="49" s="1"/>
  <c r="M37" i="49"/>
  <c r="T37" i="49" s="1"/>
  <c r="O56" i="49"/>
  <c r="V56" i="49" s="1"/>
  <c r="M103" i="49"/>
  <c r="T103" i="49" s="1"/>
  <c r="K92" i="49"/>
  <c r="R92" i="49" s="1"/>
  <c r="K138" i="49"/>
  <c r="R138" i="49" s="1"/>
  <c r="O91" i="49"/>
  <c r="V91" i="49" s="1"/>
  <c r="O61" i="49"/>
  <c r="V61" i="49" s="1"/>
  <c r="M118" i="49"/>
  <c r="T118" i="49" s="1"/>
  <c r="O76" i="49"/>
  <c r="V76" i="49" s="1"/>
  <c r="M26" i="49"/>
  <c r="T26" i="49" s="1"/>
  <c r="K62" i="49"/>
  <c r="R62" i="49" s="1"/>
  <c r="M28" i="49"/>
  <c r="T28" i="49" s="1"/>
  <c r="M102" i="49"/>
  <c r="T102" i="49" s="1"/>
  <c r="M128" i="49"/>
  <c r="T128" i="49" s="1"/>
  <c r="AB33" i="50"/>
  <c r="O73" i="49"/>
  <c r="V73" i="49" s="1"/>
  <c r="H68" i="49"/>
  <c r="P68" i="49" s="1"/>
  <c r="M52" i="49"/>
  <c r="T52" i="49" s="1"/>
  <c r="M83" i="49"/>
  <c r="T83" i="49" s="1"/>
  <c r="M130" i="49"/>
  <c r="T130" i="49" s="1"/>
  <c r="H81" i="49"/>
  <c r="P81" i="49" s="1"/>
  <c r="K16" i="49"/>
  <c r="R16" i="49" s="1"/>
  <c r="K112" i="49"/>
  <c r="R112" i="49" s="1"/>
  <c r="AB109" i="50"/>
  <c r="M46" i="49"/>
  <c r="T46" i="49" s="1"/>
  <c r="M93" i="49"/>
  <c r="T93" i="49" s="1"/>
  <c r="H127" i="49"/>
  <c r="P127" i="49" s="1"/>
  <c r="H92" i="49"/>
  <c r="P92" i="49" s="1"/>
  <c r="K59" i="49"/>
  <c r="R59" i="49" s="1"/>
  <c r="O98" i="49"/>
  <c r="V98" i="49" s="1"/>
  <c r="M45" i="49"/>
  <c r="T45" i="49" s="1"/>
  <c r="K133" i="49"/>
  <c r="R133" i="49" s="1"/>
  <c r="O92" i="49"/>
  <c r="V92" i="49" s="1"/>
  <c r="O54" i="49"/>
  <c r="V54" i="49" s="1"/>
  <c r="M117" i="49"/>
  <c r="T117" i="49" s="1"/>
  <c r="K105" i="49"/>
  <c r="R105" i="49" s="1"/>
  <c r="O78" i="49"/>
  <c r="V78" i="49" s="1"/>
  <c r="K72" i="49"/>
  <c r="R72" i="49" s="1"/>
  <c r="H73" i="49"/>
  <c r="P73" i="49" s="1"/>
  <c r="K127" i="49"/>
  <c r="R127" i="49" s="1"/>
  <c r="H113" i="49"/>
  <c r="P113" i="49" s="1"/>
  <c r="O120" i="49"/>
  <c r="V120" i="49" s="1"/>
  <c r="H79" i="49"/>
  <c r="P79" i="49" s="1"/>
  <c r="I134" i="49"/>
  <c r="Q134" i="49" s="1"/>
  <c r="O113" i="49"/>
  <c r="V113" i="49" s="1"/>
  <c r="O125" i="49"/>
  <c r="V125" i="49" s="1"/>
  <c r="I131" i="49"/>
  <c r="Q131" i="49" s="1"/>
  <c r="O136" i="49"/>
  <c r="V136" i="49" s="1"/>
  <c r="K85" i="49"/>
  <c r="R85" i="49" s="1"/>
  <c r="O137" i="49"/>
  <c r="V137" i="49" s="1"/>
  <c r="M50" i="49"/>
  <c r="T50" i="49" s="1"/>
  <c r="O68" i="49"/>
  <c r="V68" i="49" s="1"/>
  <c r="M19" i="49"/>
  <c r="T19" i="49" s="1"/>
  <c r="K132" i="49"/>
  <c r="R132" i="49" s="1"/>
  <c r="M86" i="49"/>
  <c r="T86" i="49" s="1"/>
  <c r="K89" i="49"/>
  <c r="R89" i="49" s="1"/>
  <c r="O110" i="49"/>
  <c r="V110" i="49" s="1"/>
  <c r="O51" i="49"/>
  <c r="V51" i="49" s="1"/>
  <c r="I93" i="49"/>
  <c r="Q93" i="49" s="1"/>
  <c r="M27" i="49"/>
  <c r="T27" i="49" s="1"/>
  <c r="M74" i="49"/>
  <c r="T74" i="49" s="1"/>
  <c r="M70" i="49"/>
  <c r="T70" i="49" s="1"/>
  <c r="M68" i="49"/>
  <c r="T68" i="49" s="1"/>
  <c r="O109" i="49"/>
  <c r="V109" i="49" s="1"/>
  <c r="O35" i="49"/>
  <c r="V35" i="49" s="1"/>
  <c r="O64" i="49"/>
  <c r="V64" i="49" s="1"/>
  <c r="O49" i="49"/>
  <c r="V49" i="49" s="1"/>
  <c r="O60" i="49"/>
  <c r="V60" i="49" s="1"/>
  <c r="O31" i="49"/>
  <c r="V31" i="49" s="1"/>
  <c r="O134" i="49"/>
  <c r="V134" i="49" s="1"/>
  <c r="O87" i="49"/>
  <c r="V87" i="49" s="1"/>
  <c r="O124" i="49"/>
  <c r="V124" i="49" s="1"/>
  <c r="O132" i="49"/>
  <c r="V132" i="49" s="1"/>
  <c r="O70" i="49"/>
  <c r="V70" i="49" s="1"/>
  <c r="O111" i="49"/>
  <c r="V111" i="49" s="1"/>
  <c r="O101" i="49"/>
  <c r="V101" i="49" s="1"/>
  <c r="O29" i="49"/>
  <c r="V29" i="49" s="1"/>
  <c r="O37" i="49"/>
  <c r="V37" i="49" s="1"/>
  <c r="O41" i="49"/>
  <c r="V41" i="49" s="1"/>
  <c r="O105" i="49"/>
  <c r="V105" i="49" s="1"/>
  <c r="O97" i="49"/>
  <c r="V97" i="49" s="1"/>
  <c r="O22" i="49"/>
  <c r="V22" i="49" s="1"/>
  <c r="O102" i="49"/>
  <c r="V102" i="49" s="1"/>
  <c r="O34" i="49"/>
  <c r="V34" i="49" s="1"/>
  <c r="O123" i="49"/>
  <c r="V123" i="49" s="1"/>
  <c r="O50" i="49"/>
  <c r="V50" i="49" s="1"/>
  <c r="O85" i="49"/>
  <c r="V85" i="49" s="1"/>
  <c r="O21" i="49"/>
  <c r="V21" i="49" s="1"/>
  <c r="O17" i="49"/>
  <c r="V17" i="49" s="1"/>
  <c r="M109" i="49"/>
  <c r="T109" i="49" s="1"/>
  <c r="M39" i="49"/>
  <c r="T39" i="49" s="1"/>
  <c r="M119" i="49"/>
  <c r="T119" i="49" s="1"/>
  <c r="M134" i="49"/>
  <c r="T134" i="49" s="1"/>
  <c r="M47" i="49"/>
  <c r="T47" i="49" s="1"/>
  <c r="M121" i="49"/>
  <c r="T121" i="49" s="1"/>
  <c r="M131" i="49"/>
  <c r="T131" i="49" s="1"/>
  <c r="M17" i="49"/>
  <c r="T17" i="49" s="1"/>
  <c r="M101" i="49"/>
  <c r="T101" i="49" s="1"/>
  <c r="M22" i="49"/>
  <c r="T22" i="49" s="1"/>
  <c r="M88" i="49"/>
  <c r="T88" i="49" s="1"/>
  <c r="M34" i="49"/>
  <c r="T34" i="49" s="1"/>
  <c r="M99" i="49"/>
  <c r="T99" i="49" s="1"/>
  <c r="M29" i="49"/>
  <c r="T29" i="49" s="1"/>
  <c r="M84" i="49"/>
  <c r="T84" i="49" s="1"/>
  <c r="M33" i="49"/>
  <c r="T33" i="49" s="1"/>
  <c r="M25" i="49"/>
  <c r="T25" i="49" s="1"/>
  <c r="M97" i="49"/>
  <c r="T97" i="49" s="1"/>
  <c r="M115" i="49"/>
  <c r="T115" i="49" s="1"/>
  <c r="M76" i="49"/>
  <c r="T76" i="49" s="1"/>
  <c r="M133" i="49"/>
  <c r="T133" i="49" s="1"/>
  <c r="M81" i="49"/>
  <c r="T81" i="49" s="1"/>
  <c r="M60" i="49"/>
  <c r="T60" i="49" s="1"/>
  <c r="M54" i="49"/>
  <c r="T54" i="49" s="1"/>
  <c r="M40" i="49"/>
  <c r="T40" i="49" s="1"/>
  <c r="K35" i="49"/>
  <c r="R35" i="49" s="1"/>
  <c r="K45" i="49"/>
  <c r="R45" i="49" s="1"/>
  <c r="K113" i="49"/>
  <c r="R113" i="49" s="1"/>
  <c r="K42" i="49"/>
  <c r="R42" i="49" s="1"/>
  <c r="K41" i="49"/>
  <c r="R41" i="49" s="1"/>
  <c r="K27" i="49"/>
  <c r="R27" i="49" s="1"/>
  <c r="K83" i="49"/>
  <c r="R83" i="49" s="1"/>
  <c r="K17" i="49"/>
  <c r="R17" i="49" s="1"/>
  <c r="K98" i="49"/>
  <c r="R98" i="49" s="1"/>
  <c r="K123" i="49"/>
  <c r="R123" i="49" s="1"/>
  <c r="K111" i="49"/>
  <c r="R111" i="49" s="1"/>
  <c r="K56" i="49"/>
  <c r="R56" i="49" s="1"/>
  <c r="K50" i="49"/>
  <c r="R50" i="49" s="1"/>
  <c r="K120" i="49"/>
  <c r="R120" i="49" s="1"/>
  <c r="K102" i="49"/>
  <c r="R102" i="49" s="1"/>
  <c r="K121" i="49"/>
  <c r="R121" i="49" s="1"/>
  <c r="AB115" i="50"/>
  <c r="K101" i="49"/>
  <c r="R101" i="49" s="1"/>
  <c r="K25" i="49"/>
  <c r="R25" i="49" s="1"/>
  <c r="K46" i="49"/>
  <c r="R46" i="49" s="1"/>
  <c r="K86" i="49"/>
  <c r="R86" i="49" s="1"/>
  <c r="K99" i="49"/>
  <c r="R99" i="49" s="1"/>
  <c r="K96" i="49"/>
  <c r="R96" i="49" s="1"/>
  <c r="K119" i="49"/>
  <c r="R119" i="49" s="1"/>
  <c r="K74" i="49"/>
  <c r="R74" i="49" s="1"/>
  <c r="K108" i="49"/>
  <c r="R108" i="49" s="1"/>
  <c r="K26" i="49"/>
  <c r="R26" i="49" s="1"/>
  <c r="H67" i="49"/>
  <c r="P67" i="49" s="1"/>
  <c r="H107" i="49"/>
  <c r="P107" i="49" s="1"/>
  <c r="I138" i="49"/>
  <c r="Q138" i="49" s="1"/>
  <c r="I108" i="49"/>
  <c r="Q108" i="49" s="1"/>
  <c r="I112" i="49"/>
  <c r="Q112" i="49" s="1"/>
  <c r="I137" i="49"/>
  <c r="Q137" i="49" s="1"/>
  <c r="I132" i="49"/>
  <c r="Q132" i="49" s="1"/>
  <c r="H99" i="49"/>
  <c r="P99" i="49" s="1"/>
  <c r="H89" i="49"/>
  <c r="P89" i="49" s="1"/>
  <c r="H126" i="49"/>
  <c r="P126" i="49" s="1"/>
  <c r="H95" i="49"/>
  <c r="P95" i="49" s="1"/>
  <c r="H76" i="49"/>
  <c r="P76" i="49" s="1"/>
  <c r="I123" i="49"/>
  <c r="Q123" i="49" s="1"/>
  <c r="H123" i="49"/>
  <c r="P123" i="49" s="1"/>
  <c r="H120" i="49"/>
  <c r="P120" i="49" s="1"/>
  <c r="M100" i="49"/>
  <c r="T100" i="49" s="1"/>
  <c r="G8" i="56"/>
  <c r="G9" i="56"/>
  <c r="I9" i="56" s="1"/>
  <c r="G12" i="56"/>
  <c r="I12" i="56" s="1"/>
  <c r="G11" i="56"/>
  <c r="I11" i="56" s="1"/>
  <c r="G10" i="56"/>
  <c r="AF24" i="50"/>
  <c r="M24" i="49"/>
  <c r="T24" i="49" s="1"/>
  <c r="AJ24" i="50"/>
  <c r="O24" i="49"/>
  <c r="V24" i="49" s="1"/>
  <c r="AB24" i="50"/>
  <c r="K24" i="49"/>
  <c r="R24" i="49" s="1"/>
  <c r="I10" i="56" l="1"/>
  <c r="G9" i="63"/>
  <c r="I9" i="63" s="1"/>
  <c r="P9" i="56"/>
  <c r="P10" i="56"/>
  <c r="W9" i="56"/>
  <c r="L15" i="7"/>
  <c r="Q4" i="42" s="1"/>
  <c r="W7" i="7"/>
  <c r="W15" i="7" s="1"/>
  <c r="AA7" i="7"/>
  <c r="AA15" i="7" s="1"/>
  <c r="S7" i="7"/>
  <c r="T15" i="7" s="1"/>
  <c r="G11" i="58"/>
  <c r="Q4" i="44" l="1"/>
  <c r="R54" i="44" s="1"/>
  <c r="S54" i="44" s="1"/>
  <c r="H54" i="44" s="1"/>
  <c r="I39" i="64" s="1"/>
  <c r="Q39" i="64" s="1"/>
  <c r="Q6" i="62"/>
  <c r="R69" i="42"/>
  <c r="S69" i="42" s="1"/>
  <c r="H69" i="42" s="1"/>
  <c r="R31" i="42"/>
  <c r="S31" i="42" s="1"/>
  <c r="H31" i="42" s="1"/>
  <c r="G19" i="64" s="1"/>
  <c r="O19" i="64" s="1"/>
  <c r="R22" i="42"/>
  <c r="S22" i="42" s="1"/>
  <c r="H22" i="42" s="1"/>
  <c r="G10" i="64" s="1"/>
  <c r="O10" i="64" s="1"/>
  <c r="R30" i="42"/>
  <c r="S30" i="42" s="1"/>
  <c r="H30" i="42" s="1"/>
  <c r="G18" i="64" s="1"/>
  <c r="O18" i="64" s="1"/>
  <c r="R95" i="42"/>
  <c r="S95" i="42" s="1"/>
  <c r="H95" i="42" s="1"/>
  <c r="R24" i="42"/>
  <c r="S24" i="42" s="1"/>
  <c r="H24" i="42" s="1"/>
  <c r="G12" i="64" s="1"/>
  <c r="O12" i="64" s="1"/>
  <c r="R109" i="42"/>
  <c r="S109" i="42" s="1"/>
  <c r="H109" i="42" s="1"/>
  <c r="R101" i="42"/>
  <c r="S101" i="42" s="1"/>
  <c r="H101" i="42" s="1"/>
  <c r="R123" i="42"/>
  <c r="S123" i="42" s="1"/>
  <c r="H123" i="42" s="1"/>
  <c r="R62" i="42"/>
  <c r="S62" i="42" s="1"/>
  <c r="H62" i="42" s="1"/>
  <c r="R126" i="42"/>
  <c r="S126" i="42" s="1"/>
  <c r="H126" i="42" s="1"/>
  <c r="R128" i="42"/>
  <c r="S128" i="42" s="1"/>
  <c r="H128" i="42" s="1"/>
  <c r="R114" i="42"/>
  <c r="S114" i="42" s="1"/>
  <c r="H114" i="42" s="1"/>
  <c r="R38" i="42"/>
  <c r="S38" i="42" s="1"/>
  <c r="H38" i="42" s="1"/>
  <c r="G25" i="64" s="1"/>
  <c r="O25" i="64" s="1"/>
  <c r="R130" i="42"/>
  <c r="S130" i="42" s="1"/>
  <c r="H130" i="42" s="1"/>
  <c r="R25" i="42"/>
  <c r="S25" i="42" s="1"/>
  <c r="H25" i="42" s="1"/>
  <c r="G13" i="64" s="1"/>
  <c r="O13" i="64" s="1"/>
  <c r="R16" i="42"/>
  <c r="S16" i="42" s="1"/>
  <c r="H16" i="42" s="1"/>
  <c r="G5" i="64" s="1"/>
  <c r="O5" i="64" s="1"/>
  <c r="R134" i="42"/>
  <c r="S134" i="42" s="1"/>
  <c r="H134" i="42" s="1"/>
  <c r="R56" i="42"/>
  <c r="S56" i="42" s="1"/>
  <c r="H56" i="42" s="1"/>
  <c r="G41" i="64" s="1"/>
  <c r="O41" i="64" s="1"/>
  <c r="R93" i="42"/>
  <c r="S93" i="42" s="1"/>
  <c r="H93" i="42" s="1"/>
  <c r="R46" i="42"/>
  <c r="S46" i="42" s="1"/>
  <c r="H46" i="42" s="1"/>
  <c r="G32" i="64" s="1"/>
  <c r="O32" i="64" s="1"/>
  <c r="R64" i="42"/>
  <c r="S64" i="42" s="1"/>
  <c r="H64" i="42" s="1"/>
  <c r="R96" i="42"/>
  <c r="S96" i="42" s="1"/>
  <c r="H96" i="42" s="1"/>
  <c r="R112" i="42"/>
  <c r="S112" i="42" s="1"/>
  <c r="H112" i="42" s="1"/>
  <c r="R29" i="42"/>
  <c r="S29" i="42" s="1"/>
  <c r="H29" i="42" s="1"/>
  <c r="G17" i="64" s="1"/>
  <c r="O17" i="64" s="1"/>
  <c r="R63" i="42"/>
  <c r="S63" i="42" s="1"/>
  <c r="H63" i="42" s="1"/>
  <c r="R102" i="42"/>
  <c r="S102" i="42" s="1"/>
  <c r="H102" i="42" s="1"/>
  <c r="R28" i="42"/>
  <c r="S28" i="42" s="1"/>
  <c r="H28" i="42" s="1"/>
  <c r="G16" i="64" s="1"/>
  <c r="O16" i="64" s="1"/>
  <c r="R27" i="42"/>
  <c r="S27" i="42" s="1"/>
  <c r="H27" i="42" s="1"/>
  <c r="G15" i="64" s="1"/>
  <c r="O15" i="64" s="1"/>
  <c r="R50" i="42"/>
  <c r="S50" i="42" s="1"/>
  <c r="H50" i="42" s="1"/>
  <c r="G36" i="64" s="1"/>
  <c r="O36" i="64" s="1"/>
  <c r="R70" i="42"/>
  <c r="S70" i="42" s="1"/>
  <c r="H70" i="42" s="1"/>
  <c r="R118" i="42"/>
  <c r="S118" i="42" s="1"/>
  <c r="H118" i="42" s="1"/>
  <c r="R17" i="42"/>
  <c r="S17" i="42" s="1"/>
  <c r="H17" i="42" s="1"/>
  <c r="G6" i="64" s="1"/>
  <c r="O6" i="64" s="1"/>
  <c r="R48" i="42"/>
  <c r="S48" i="42" s="1"/>
  <c r="H48" i="42" s="1"/>
  <c r="G34" i="64" s="1"/>
  <c r="O34" i="64" s="1"/>
  <c r="R85" i="42"/>
  <c r="S85" i="42" s="1"/>
  <c r="H85" i="42" s="1"/>
  <c r="R76" i="42"/>
  <c r="S76" i="42" s="1"/>
  <c r="H76" i="42" s="1"/>
  <c r="R106" i="42"/>
  <c r="S106" i="42" s="1"/>
  <c r="H106" i="42" s="1"/>
  <c r="R20" i="42"/>
  <c r="S20" i="42" s="1"/>
  <c r="H20" i="42" s="1"/>
  <c r="G9" i="64" s="1"/>
  <c r="O9" i="64" s="1"/>
  <c r="R105" i="42"/>
  <c r="S105" i="42" s="1"/>
  <c r="H105" i="42" s="1"/>
  <c r="R80" i="42"/>
  <c r="S80" i="42" s="1"/>
  <c r="H80" i="42" s="1"/>
  <c r="R57" i="42"/>
  <c r="S57" i="42" s="1"/>
  <c r="H57" i="42" s="1"/>
  <c r="G42" i="64" s="1"/>
  <c r="O42" i="64" s="1"/>
  <c r="R98" i="42"/>
  <c r="S98" i="42" s="1"/>
  <c r="H98" i="42" s="1"/>
  <c r="R82" i="42"/>
  <c r="S82" i="42" s="1"/>
  <c r="H82" i="42" s="1"/>
  <c r="R129" i="42"/>
  <c r="S129" i="42" s="1"/>
  <c r="H129" i="42" s="1"/>
  <c r="R91" i="42"/>
  <c r="S91" i="42" s="1"/>
  <c r="H91" i="42" s="1"/>
  <c r="R26" i="42"/>
  <c r="S26" i="42" s="1"/>
  <c r="H26" i="42" s="1"/>
  <c r="G14" i="64" s="1"/>
  <c r="O14" i="64" s="1"/>
  <c r="R87" i="42"/>
  <c r="S87" i="42" s="1"/>
  <c r="H87" i="42" s="1"/>
  <c r="R73" i="42"/>
  <c r="S73" i="42" s="1"/>
  <c r="H73" i="42" s="1"/>
  <c r="R119" i="42"/>
  <c r="S119" i="42" s="1"/>
  <c r="H119" i="42" s="1"/>
  <c r="R100" i="42"/>
  <c r="S100" i="42" s="1"/>
  <c r="H100" i="42" s="1"/>
  <c r="R81" i="42"/>
  <c r="S81" i="42" s="1"/>
  <c r="H81" i="42" s="1"/>
  <c r="R53" i="42"/>
  <c r="S53" i="42" s="1"/>
  <c r="H53" i="42" s="1"/>
  <c r="G38" i="64" s="1"/>
  <c r="O38" i="64" s="1"/>
  <c r="R116" i="42"/>
  <c r="S116" i="42" s="1"/>
  <c r="H116" i="42" s="1"/>
  <c r="R104" i="42"/>
  <c r="S104" i="42" s="1"/>
  <c r="H104" i="42" s="1"/>
  <c r="R40" i="42"/>
  <c r="S40" i="42" s="1"/>
  <c r="H40" i="42" s="1"/>
  <c r="G27" i="64" s="1"/>
  <c r="O27" i="64" s="1"/>
  <c r="R68" i="42"/>
  <c r="S68" i="42" s="1"/>
  <c r="H68" i="42" s="1"/>
  <c r="R12" i="42"/>
  <c r="S12" i="42" s="1"/>
  <c r="H12" i="42" s="1"/>
  <c r="G2" i="64" s="1"/>
  <c r="O2" i="64" s="1"/>
  <c r="R37" i="42"/>
  <c r="S37" i="42" s="1"/>
  <c r="H37" i="42" s="1"/>
  <c r="G24" i="64" s="1"/>
  <c r="O24" i="64" s="1"/>
  <c r="R14" i="42"/>
  <c r="S14" i="42" s="1"/>
  <c r="H14" i="42" s="1"/>
  <c r="G3" i="64" s="1"/>
  <c r="O3" i="64" s="1"/>
  <c r="R120" i="42"/>
  <c r="S120" i="42" s="1"/>
  <c r="H120" i="42" s="1"/>
  <c r="R47" i="42"/>
  <c r="S47" i="42" s="1"/>
  <c r="H47" i="42" s="1"/>
  <c r="G33" i="64" s="1"/>
  <c r="O33" i="64" s="1"/>
  <c r="R133" i="42"/>
  <c r="S133" i="42" s="1"/>
  <c r="H133" i="42" s="1"/>
  <c r="R49" i="42"/>
  <c r="S49" i="42" s="1"/>
  <c r="H49" i="42" s="1"/>
  <c r="G35" i="64" s="1"/>
  <c r="O35" i="64" s="1"/>
  <c r="R54" i="42"/>
  <c r="S54" i="42" s="1"/>
  <c r="H54" i="42" s="1"/>
  <c r="G39" i="64" s="1"/>
  <c r="O39" i="64" s="1"/>
  <c r="R117" i="42"/>
  <c r="S117" i="42" s="1"/>
  <c r="H117" i="42" s="1"/>
  <c r="R110" i="42"/>
  <c r="S110" i="42" s="1"/>
  <c r="H110" i="42" s="1"/>
  <c r="R83" i="42"/>
  <c r="S83" i="42" s="1"/>
  <c r="H83" i="42" s="1"/>
  <c r="R58" i="42"/>
  <c r="S58" i="42" s="1"/>
  <c r="H58" i="42" s="1"/>
  <c r="G43" i="64" s="1"/>
  <c r="O43" i="64" s="1"/>
  <c r="R33" i="42"/>
  <c r="S33" i="42" s="1"/>
  <c r="H33" i="42" s="1"/>
  <c r="G21" i="64" s="1"/>
  <c r="O21" i="64" s="1"/>
  <c r="R42" i="42"/>
  <c r="S42" i="42" s="1"/>
  <c r="H42" i="42" s="1"/>
  <c r="G28" i="64" s="1"/>
  <c r="O28" i="64" s="1"/>
  <c r="R32" i="42"/>
  <c r="S32" i="42" s="1"/>
  <c r="H32" i="42" s="1"/>
  <c r="G20" i="64" s="1"/>
  <c r="O20" i="64" s="1"/>
  <c r="R136" i="42"/>
  <c r="S136" i="42" s="1"/>
  <c r="H136" i="42" s="1"/>
  <c r="R89" i="42"/>
  <c r="S89" i="42" s="1"/>
  <c r="H89" i="42" s="1"/>
  <c r="R19" i="42"/>
  <c r="S19" i="42" s="1"/>
  <c r="H19" i="42" s="1"/>
  <c r="G8" i="64" s="1"/>
  <c r="O8" i="64" s="1"/>
  <c r="R108" i="42"/>
  <c r="S108" i="42" s="1"/>
  <c r="H108" i="42" s="1"/>
  <c r="R60" i="42"/>
  <c r="S60" i="42" s="1"/>
  <c r="H60" i="42" s="1"/>
  <c r="G45" i="64" s="1"/>
  <c r="O45" i="64" s="1"/>
  <c r="R97" i="42"/>
  <c r="S97" i="42" s="1"/>
  <c r="H97" i="42" s="1"/>
  <c r="R34" i="42"/>
  <c r="S34" i="42" s="1"/>
  <c r="H34" i="42" s="1"/>
  <c r="G22" i="64" s="1"/>
  <c r="O22" i="64" s="1"/>
  <c r="R15" i="42"/>
  <c r="S15" i="42" s="1"/>
  <c r="H15" i="42" s="1"/>
  <c r="G4" i="64" s="1"/>
  <c r="O4" i="64" s="1"/>
  <c r="R55" i="42"/>
  <c r="S55" i="42" s="1"/>
  <c r="H55" i="42" s="1"/>
  <c r="G40" i="64" s="1"/>
  <c r="O40" i="64" s="1"/>
  <c r="R35" i="42"/>
  <c r="S35" i="42" s="1"/>
  <c r="H35" i="42" s="1"/>
  <c r="G23" i="64" s="1"/>
  <c r="O23" i="64" s="1"/>
  <c r="R72" i="42"/>
  <c r="S72" i="42" s="1"/>
  <c r="H72" i="42" s="1"/>
  <c r="R107" i="42"/>
  <c r="S107" i="42" s="1"/>
  <c r="H107" i="42" s="1"/>
  <c r="R90" i="42"/>
  <c r="S90" i="42" s="1"/>
  <c r="H90" i="42" s="1"/>
  <c r="R115" i="42"/>
  <c r="S115" i="42" s="1"/>
  <c r="H115" i="42" s="1"/>
  <c r="R52" i="42"/>
  <c r="S52" i="42" s="1"/>
  <c r="H52" i="42" s="1"/>
  <c r="G37" i="64" s="1"/>
  <c r="O37" i="64" s="1"/>
  <c r="R59" i="42"/>
  <c r="S59" i="42" s="1"/>
  <c r="H59" i="42" s="1"/>
  <c r="G44" i="64" s="1"/>
  <c r="O44" i="64" s="1"/>
  <c r="R124" i="42"/>
  <c r="S124" i="42" s="1"/>
  <c r="H124" i="42" s="1"/>
  <c r="R18" i="42"/>
  <c r="S18" i="42" s="1"/>
  <c r="H18" i="42" s="1"/>
  <c r="G7" i="64" s="1"/>
  <c r="O7" i="64" s="1"/>
  <c r="R122" i="42"/>
  <c r="S122" i="42" s="1"/>
  <c r="H122" i="42" s="1"/>
  <c r="R65" i="42"/>
  <c r="S65" i="42" s="1"/>
  <c r="H65" i="42" s="1"/>
  <c r="R77" i="42"/>
  <c r="S77" i="42" s="1"/>
  <c r="H77" i="42" s="1"/>
  <c r="R86" i="42"/>
  <c r="S86" i="42" s="1"/>
  <c r="H86" i="42" s="1"/>
  <c r="R44" i="42"/>
  <c r="S44" i="42" s="1"/>
  <c r="H44" i="42" s="1"/>
  <c r="G30" i="64" s="1"/>
  <c r="O30" i="64" s="1"/>
  <c r="R103" i="42"/>
  <c r="S103" i="42" s="1"/>
  <c r="H103" i="42" s="1"/>
  <c r="R121" i="42"/>
  <c r="S121" i="42" s="1"/>
  <c r="H121" i="42" s="1"/>
  <c r="R43" i="42"/>
  <c r="S43" i="42" s="1"/>
  <c r="H43" i="42" s="1"/>
  <c r="G29" i="64" s="1"/>
  <c r="O29" i="64" s="1"/>
  <c r="R113" i="42"/>
  <c r="S113" i="42" s="1"/>
  <c r="H113" i="42" s="1"/>
  <c r="R84" i="42"/>
  <c r="S84" i="42" s="1"/>
  <c r="H84" i="42" s="1"/>
  <c r="R111" i="42"/>
  <c r="S111" i="42" s="1"/>
  <c r="H111" i="42" s="1"/>
  <c r="R131" i="42"/>
  <c r="S131" i="42" s="1"/>
  <c r="H131" i="42" s="1"/>
  <c r="R78" i="42"/>
  <c r="S78" i="42" s="1"/>
  <c r="H78" i="42" s="1"/>
  <c r="R71" i="42"/>
  <c r="S71" i="42" s="1"/>
  <c r="H71" i="42" s="1"/>
  <c r="R99" i="42"/>
  <c r="S99" i="42" s="1"/>
  <c r="H99" i="42" s="1"/>
  <c r="R94" i="42"/>
  <c r="S94" i="42" s="1"/>
  <c r="H94" i="42" s="1"/>
  <c r="R75" i="42"/>
  <c r="S75" i="42" s="1"/>
  <c r="H75" i="42" s="1"/>
  <c r="R39" i="42"/>
  <c r="S39" i="42" s="1"/>
  <c r="H39" i="42" s="1"/>
  <c r="G26" i="64" s="1"/>
  <c r="O26" i="64" s="1"/>
  <c r="R79" i="42"/>
  <c r="S79" i="42" s="1"/>
  <c r="H79" i="42" s="1"/>
  <c r="R92" i="42"/>
  <c r="S92" i="42" s="1"/>
  <c r="H92" i="42" s="1"/>
  <c r="R135" i="42"/>
  <c r="S135" i="42" s="1"/>
  <c r="H135" i="42" s="1"/>
  <c r="R125" i="42"/>
  <c r="S125" i="42" s="1"/>
  <c r="H125" i="42" s="1"/>
  <c r="R137" i="42"/>
  <c r="S137" i="42" s="1"/>
  <c r="H137" i="42" s="1"/>
  <c r="R74" i="42"/>
  <c r="S74" i="42" s="1"/>
  <c r="H74" i="42" s="1"/>
  <c r="R45" i="42"/>
  <c r="S45" i="42" s="1"/>
  <c r="H45" i="42" s="1"/>
  <c r="G31" i="64" s="1"/>
  <c r="O31" i="64" s="1"/>
  <c r="R66" i="42"/>
  <c r="S66" i="42" s="1"/>
  <c r="H66" i="42" s="1"/>
  <c r="R132" i="42"/>
  <c r="S132" i="42" s="1"/>
  <c r="H132" i="42" s="1"/>
  <c r="R23" i="42"/>
  <c r="S23" i="42" s="1"/>
  <c r="H23" i="42" s="1"/>
  <c r="G11" i="64" s="1"/>
  <c r="O11" i="64" s="1"/>
  <c r="Q4" i="46"/>
  <c r="Q4" i="48"/>
  <c r="R92" i="44" l="1"/>
  <c r="S92" i="44" s="1"/>
  <c r="H92" i="44" s="1"/>
  <c r="I74" i="64" s="1"/>
  <c r="Q74" i="64" s="1"/>
  <c r="R100" i="44"/>
  <c r="S100" i="44" s="1"/>
  <c r="H100" i="44" s="1"/>
  <c r="I81" i="64" s="1"/>
  <c r="Q81" i="64" s="1"/>
  <c r="R110" i="44"/>
  <c r="S110" i="44" s="1"/>
  <c r="R38" i="44"/>
  <c r="S38" i="44" s="1"/>
  <c r="R52" i="44"/>
  <c r="S52" i="44" s="1"/>
  <c r="H52" i="44" s="1"/>
  <c r="I37" i="64" s="1"/>
  <c r="Q37" i="64" s="1"/>
  <c r="R55" i="44"/>
  <c r="S55" i="44" s="1"/>
  <c r="R87" i="44"/>
  <c r="S87" i="44" s="1"/>
  <c r="R79" i="44"/>
  <c r="S79" i="44" s="1"/>
  <c r="H79" i="44" s="1"/>
  <c r="I62" i="64" s="1"/>
  <c r="Q62" i="64" s="1"/>
  <c r="R15" i="44"/>
  <c r="S15" i="44" s="1"/>
  <c r="R101" i="44"/>
  <c r="S101" i="44" s="1"/>
  <c r="H101" i="44" s="1"/>
  <c r="I82" i="64" s="1"/>
  <c r="Q82" i="64" s="1"/>
  <c r="R126" i="44"/>
  <c r="S126" i="44" s="1"/>
  <c r="R109" i="44"/>
  <c r="S109" i="44" s="1"/>
  <c r="R105" i="44"/>
  <c r="S105" i="44" s="1"/>
  <c r="H105" i="44" s="1"/>
  <c r="I86" i="64" s="1"/>
  <c r="Q86" i="64" s="1"/>
  <c r="R112" i="44"/>
  <c r="S112" i="44" s="1"/>
  <c r="R121" i="44"/>
  <c r="S121" i="44" s="1"/>
  <c r="H121" i="44" s="1"/>
  <c r="I102" i="64" s="1"/>
  <c r="Q102" i="64" s="1"/>
  <c r="R39" i="44"/>
  <c r="S39" i="44" s="1"/>
  <c r="H39" i="44" s="1"/>
  <c r="I26" i="64" s="1"/>
  <c r="Q26" i="64" s="1"/>
  <c r="R70" i="44"/>
  <c r="S70" i="44" s="1"/>
  <c r="R130" i="44"/>
  <c r="S130" i="44" s="1"/>
  <c r="R28" i="44"/>
  <c r="S28" i="44" s="1"/>
  <c r="H28" i="44" s="1"/>
  <c r="I16" i="64" s="1"/>
  <c r="Q16" i="64" s="1"/>
  <c r="R98" i="44"/>
  <c r="S98" i="44" s="1"/>
  <c r="H98" i="44" s="1"/>
  <c r="I79" i="64" s="1"/>
  <c r="Q79" i="64" s="1"/>
  <c r="R14" i="44"/>
  <c r="S14" i="44" s="1"/>
  <c r="H14" i="44" s="1"/>
  <c r="I3" i="64" s="1"/>
  <c r="Q3" i="64" s="1"/>
  <c r="R82" i="44"/>
  <c r="S82" i="44" s="1"/>
  <c r="H82" i="44" s="1"/>
  <c r="I65" i="64" s="1"/>
  <c r="Q65" i="64" s="1"/>
  <c r="R26" i="44"/>
  <c r="S26" i="44" s="1"/>
  <c r="R57" i="44"/>
  <c r="S57" i="44" s="1"/>
  <c r="R32" i="44"/>
  <c r="S32" i="44" s="1"/>
  <c r="R72" i="44"/>
  <c r="S72" i="44" s="1"/>
  <c r="H72" i="44" s="1"/>
  <c r="I55" i="64" s="1"/>
  <c r="Q55" i="64" s="1"/>
  <c r="R59" i="44"/>
  <c r="S59" i="44" s="1"/>
  <c r="H59" i="44" s="1"/>
  <c r="I44" i="64" s="1"/>
  <c r="Q44" i="64" s="1"/>
  <c r="R113" i="44"/>
  <c r="S113" i="44" s="1"/>
  <c r="R12" i="44"/>
  <c r="S12" i="44" s="1"/>
  <c r="H12" i="44" s="1"/>
  <c r="I2" i="64" s="1"/>
  <c r="Q2" i="64" s="1"/>
  <c r="R102" i="44"/>
  <c r="S102" i="44" s="1"/>
  <c r="R18" i="44"/>
  <c r="S18" i="44" s="1"/>
  <c r="H18" i="44" s="1"/>
  <c r="I7" i="64" s="1"/>
  <c r="Q7" i="64" s="1"/>
  <c r="R115" i="44"/>
  <c r="S115" i="44" s="1"/>
  <c r="H115" i="44" s="1"/>
  <c r="I96" i="64" s="1"/>
  <c r="Q96" i="64" s="1"/>
  <c r="R133" i="44"/>
  <c r="S133" i="44" s="1"/>
  <c r="H133" i="44" s="1"/>
  <c r="I113" i="64" s="1"/>
  <c r="Q113" i="64" s="1"/>
  <c r="R83" i="44"/>
  <c r="S83" i="44" s="1"/>
  <c r="R64" i="44"/>
  <c r="S64" i="44" s="1"/>
  <c r="H64" i="44" s="1"/>
  <c r="I48" i="64" s="1"/>
  <c r="Q48" i="64" s="1"/>
  <c r="R137" i="44"/>
  <c r="S137" i="44" s="1"/>
  <c r="H137" i="44" s="1"/>
  <c r="I117" i="64" s="1"/>
  <c r="Q117" i="64" s="1"/>
  <c r="R134" i="44"/>
  <c r="S134" i="44" s="1"/>
  <c r="H134" i="44" s="1"/>
  <c r="I114" i="64" s="1"/>
  <c r="Q114" i="64" s="1"/>
  <c r="R42" i="44"/>
  <c r="S42" i="44" s="1"/>
  <c r="H42" i="44" s="1"/>
  <c r="I28" i="64" s="1"/>
  <c r="Q28" i="64" s="1"/>
  <c r="R95" i="44"/>
  <c r="S95" i="44" s="1"/>
  <c r="H95" i="44" s="1"/>
  <c r="I76" i="64" s="1"/>
  <c r="Q76" i="64" s="1"/>
  <c r="R40" i="44"/>
  <c r="S40" i="44" s="1"/>
  <c r="H40" i="44" s="1"/>
  <c r="I27" i="64" s="1"/>
  <c r="Q27" i="64" s="1"/>
  <c r="R78" i="44"/>
  <c r="S78" i="44" s="1"/>
  <c r="H78" i="44" s="1"/>
  <c r="I61" i="64" s="1"/>
  <c r="Q61" i="64" s="1"/>
  <c r="R60" i="44"/>
  <c r="S60" i="44" s="1"/>
  <c r="H60" i="44" s="1"/>
  <c r="I45" i="64" s="1"/>
  <c r="Q45" i="64" s="1"/>
  <c r="R103" i="44"/>
  <c r="S103" i="44" s="1"/>
  <c r="R44" i="44"/>
  <c r="S44" i="44" s="1"/>
  <c r="H44" i="44" s="1"/>
  <c r="I30" i="64" s="1"/>
  <c r="Q30" i="64" s="1"/>
  <c r="R31" i="44"/>
  <c r="S31" i="44" s="1"/>
  <c r="H31" i="44" s="1"/>
  <c r="I19" i="64" s="1"/>
  <c r="Q19" i="64" s="1"/>
  <c r="R66" i="44"/>
  <c r="S66" i="44" s="1"/>
  <c r="R30" i="44"/>
  <c r="S30" i="44" s="1"/>
  <c r="H30" i="44" s="1"/>
  <c r="I18" i="64" s="1"/>
  <c r="Q18" i="64" s="1"/>
  <c r="R68" i="44"/>
  <c r="S68" i="44" s="1"/>
  <c r="H68" i="44" s="1"/>
  <c r="I51" i="64" s="1"/>
  <c r="Q51" i="64" s="1"/>
  <c r="R132" i="44"/>
  <c r="S132" i="44" s="1"/>
  <c r="H132" i="44" s="1"/>
  <c r="I112" i="64" s="1"/>
  <c r="Q112" i="64" s="1"/>
  <c r="R19" i="44"/>
  <c r="S19" i="44" s="1"/>
  <c r="H19" i="44" s="1"/>
  <c r="I8" i="64" s="1"/>
  <c r="Q8" i="64" s="1"/>
  <c r="R116" i="44"/>
  <c r="S116" i="44" s="1"/>
  <c r="R96" i="44"/>
  <c r="S96" i="44" s="1"/>
  <c r="H96" i="44" s="1"/>
  <c r="I77" i="64" s="1"/>
  <c r="Q77" i="64" s="1"/>
  <c r="R22" i="44"/>
  <c r="S22" i="44" s="1"/>
  <c r="H22" i="44" s="1"/>
  <c r="I10" i="64" s="1"/>
  <c r="Q10" i="64" s="1"/>
  <c r="R46" i="44"/>
  <c r="S46" i="44" s="1"/>
  <c r="H46" i="44" s="1"/>
  <c r="I32" i="64" s="1"/>
  <c r="Q32" i="64" s="1"/>
  <c r="R123" i="44"/>
  <c r="S123" i="44" s="1"/>
  <c r="H123" i="44" s="1"/>
  <c r="I104" i="64" s="1"/>
  <c r="Q104" i="64" s="1"/>
  <c r="R129" i="44"/>
  <c r="S129" i="44" s="1"/>
  <c r="H129" i="44" s="1"/>
  <c r="I109" i="64" s="1"/>
  <c r="Q109" i="64" s="1"/>
  <c r="R90" i="44"/>
  <c r="S90" i="44" s="1"/>
  <c r="H90" i="44" s="1"/>
  <c r="I72" i="64" s="1"/>
  <c r="Q72" i="64" s="1"/>
  <c r="R29" i="44"/>
  <c r="S29" i="44" s="1"/>
  <c r="H29" i="44" s="1"/>
  <c r="I17" i="64" s="1"/>
  <c r="Q17" i="64" s="1"/>
  <c r="R53" i="44"/>
  <c r="S53" i="44" s="1"/>
  <c r="R65" i="44"/>
  <c r="S65" i="44" s="1"/>
  <c r="H65" i="44" s="1"/>
  <c r="I49" i="64" s="1"/>
  <c r="Q49" i="64" s="1"/>
  <c r="R89" i="44"/>
  <c r="S89" i="44" s="1"/>
  <c r="R94" i="44"/>
  <c r="S94" i="44" s="1"/>
  <c r="H94" i="44" s="1"/>
  <c r="I75" i="64" s="1"/>
  <c r="Q75" i="64" s="1"/>
  <c r="R47" i="44"/>
  <c r="S47" i="44" s="1"/>
  <c r="R122" i="44"/>
  <c r="S122" i="44" s="1"/>
  <c r="H122" i="44" s="1"/>
  <c r="I103" i="64" s="1"/>
  <c r="Q103" i="64" s="1"/>
  <c r="R48" i="44"/>
  <c r="S48" i="44" s="1"/>
  <c r="H48" i="44" s="1"/>
  <c r="I34" i="64" s="1"/>
  <c r="Q34" i="64" s="1"/>
  <c r="R75" i="44"/>
  <c r="S75" i="44" s="1"/>
  <c r="H75" i="44" s="1"/>
  <c r="I58" i="64" s="1"/>
  <c r="Q58" i="64" s="1"/>
  <c r="R93" i="44"/>
  <c r="S93" i="44" s="1"/>
  <c r="H93" i="44" s="1"/>
  <c r="R104" i="44"/>
  <c r="S104" i="44" s="1"/>
  <c r="H104" i="44" s="1"/>
  <c r="I85" i="64" s="1"/>
  <c r="Q85" i="64" s="1"/>
  <c r="R97" i="44"/>
  <c r="S97" i="44" s="1"/>
  <c r="H97" i="44" s="1"/>
  <c r="I78" i="64" s="1"/>
  <c r="Q78" i="64" s="1"/>
  <c r="R86" i="44"/>
  <c r="S86" i="44" s="1"/>
  <c r="R119" i="44"/>
  <c r="S119" i="44" s="1"/>
  <c r="R117" i="44"/>
  <c r="S117" i="44" s="1"/>
  <c r="H117" i="44" s="1"/>
  <c r="I98" i="64" s="1"/>
  <c r="Q98" i="64" s="1"/>
  <c r="R23" i="44"/>
  <c r="S23" i="44" s="1"/>
  <c r="H23" i="44" s="1"/>
  <c r="I11" i="64" s="1"/>
  <c r="Q11" i="64" s="1"/>
  <c r="R108" i="44"/>
  <c r="S108" i="44" s="1"/>
  <c r="R56" i="44"/>
  <c r="S56" i="44" s="1"/>
  <c r="H56" i="44" s="1"/>
  <c r="I41" i="64" s="1"/>
  <c r="Q41" i="64" s="1"/>
  <c r="R111" i="44"/>
  <c r="S111" i="44" s="1"/>
  <c r="H111" i="44" s="1"/>
  <c r="I92" i="64" s="1"/>
  <c r="Q92" i="64" s="1"/>
  <c r="R71" i="44"/>
  <c r="S71" i="44" s="1"/>
  <c r="H71" i="44" s="1"/>
  <c r="I54" i="64" s="1"/>
  <c r="Q54" i="64" s="1"/>
  <c r="R37" i="44"/>
  <c r="S37" i="44" s="1"/>
  <c r="H37" i="44" s="1"/>
  <c r="I24" i="64" s="1"/>
  <c r="Q24" i="64" s="1"/>
  <c r="R25" i="44"/>
  <c r="S25" i="44" s="1"/>
  <c r="H25" i="44" s="1"/>
  <c r="I13" i="64" s="1"/>
  <c r="Q13" i="64" s="1"/>
  <c r="R77" i="44"/>
  <c r="S77" i="44" s="1"/>
  <c r="R16" i="44"/>
  <c r="S16" i="44" s="1"/>
  <c r="R120" i="44"/>
  <c r="S120" i="44" s="1"/>
  <c r="R62" i="44"/>
  <c r="S62" i="44" s="1"/>
  <c r="H62" i="44" s="1"/>
  <c r="I46" i="64" s="1"/>
  <c r="Q46" i="64" s="1"/>
  <c r="R128" i="44"/>
  <c r="S128" i="44" s="1"/>
  <c r="R49" i="44"/>
  <c r="S49" i="44" s="1"/>
  <c r="H49" i="44" s="1"/>
  <c r="I35" i="64" s="1"/>
  <c r="Q35" i="64" s="1"/>
  <c r="R84" i="44"/>
  <c r="S84" i="44" s="1"/>
  <c r="R27" i="44"/>
  <c r="S27" i="44" s="1"/>
  <c r="R135" i="44"/>
  <c r="S135" i="44" s="1"/>
  <c r="H135" i="44" s="1"/>
  <c r="I115" i="64" s="1"/>
  <c r="Q115" i="64" s="1"/>
  <c r="R136" i="44"/>
  <c r="S136" i="44" s="1"/>
  <c r="H136" i="44" s="1"/>
  <c r="I116" i="64" s="1"/>
  <c r="Q116" i="64" s="1"/>
  <c r="R85" i="44"/>
  <c r="S85" i="44" s="1"/>
  <c r="H85" i="44" s="1"/>
  <c r="I68" i="64" s="1"/>
  <c r="Q68" i="64" s="1"/>
  <c r="R35" i="44"/>
  <c r="S35" i="44" s="1"/>
  <c r="R76" i="44"/>
  <c r="S76" i="44" s="1"/>
  <c r="R125" i="44"/>
  <c r="S125" i="44" s="1"/>
  <c r="H125" i="44" s="1"/>
  <c r="I106" i="64" s="1"/>
  <c r="Q106" i="64" s="1"/>
  <c r="R34" i="44"/>
  <c r="S34" i="44" s="1"/>
  <c r="R107" i="44"/>
  <c r="S107" i="44" s="1"/>
  <c r="R20" i="44"/>
  <c r="S20" i="44" s="1"/>
  <c r="R43" i="44"/>
  <c r="S43" i="44" s="1"/>
  <c r="H43" i="44" s="1"/>
  <c r="I29" i="64" s="1"/>
  <c r="Q29" i="64" s="1"/>
  <c r="R33" i="44"/>
  <c r="S33" i="44" s="1"/>
  <c r="R74" i="44"/>
  <c r="S74" i="44" s="1"/>
  <c r="H74" i="44" s="1"/>
  <c r="I57" i="64" s="1"/>
  <c r="Q57" i="64" s="1"/>
  <c r="R118" i="44"/>
  <c r="S118" i="44" s="1"/>
  <c r="H118" i="44" s="1"/>
  <c r="I99" i="64" s="1"/>
  <c r="Q99" i="64" s="1"/>
  <c r="R63" i="44"/>
  <c r="S63" i="44" s="1"/>
  <c r="H63" i="44" s="1"/>
  <c r="I47" i="64" s="1"/>
  <c r="Q47" i="64" s="1"/>
  <c r="R69" i="44"/>
  <c r="S69" i="44" s="1"/>
  <c r="H69" i="44" s="1"/>
  <c r="I52" i="64" s="1"/>
  <c r="Q52" i="64" s="1"/>
  <c r="R45" i="44"/>
  <c r="S45" i="44" s="1"/>
  <c r="H45" i="44" s="1"/>
  <c r="I31" i="64" s="1"/>
  <c r="Q31" i="64" s="1"/>
  <c r="R131" i="44"/>
  <c r="S131" i="44" s="1"/>
  <c r="H131" i="44" s="1"/>
  <c r="I111" i="64" s="1"/>
  <c r="Q111" i="64" s="1"/>
  <c r="R106" i="44"/>
  <c r="S106" i="44" s="1"/>
  <c r="R99" i="44"/>
  <c r="S99" i="44" s="1"/>
  <c r="R124" i="44"/>
  <c r="S124" i="44" s="1"/>
  <c r="H124" i="44" s="1"/>
  <c r="I105" i="64" s="1"/>
  <c r="Q105" i="64" s="1"/>
  <c r="R81" i="44"/>
  <c r="S81" i="44" s="1"/>
  <c r="H81" i="44" s="1"/>
  <c r="I64" i="64" s="1"/>
  <c r="Q64" i="64" s="1"/>
  <c r="R73" i="44"/>
  <c r="S73" i="44" s="1"/>
  <c r="H73" i="44" s="1"/>
  <c r="I56" i="64" s="1"/>
  <c r="Q56" i="64" s="1"/>
  <c r="R50" i="44"/>
  <c r="S50" i="44" s="1"/>
  <c r="R114" i="44"/>
  <c r="S114" i="44" s="1"/>
  <c r="R58" i="44"/>
  <c r="S58" i="44" s="1"/>
  <c r="H58" i="44" s="1"/>
  <c r="I43" i="64" s="1"/>
  <c r="Q43" i="64" s="1"/>
  <c r="R80" i="44"/>
  <c r="S80" i="44" s="1"/>
  <c r="H80" i="44" s="1"/>
  <c r="I63" i="64" s="1"/>
  <c r="Q63" i="64" s="1"/>
  <c r="R24" i="44"/>
  <c r="S24" i="44" s="1"/>
  <c r="H24" i="44" s="1"/>
  <c r="I12" i="64" s="1"/>
  <c r="Q12" i="64" s="1"/>
  <c r="R17" i="44"/>
  <c r="S17" i="44" s="1"/>
  <c r="H17" i="44" s="1"/>
  <c r="I6" i="64" s="1"/>
  <c r="Q6" i="64" s="1"/>
  <c r="R91" i="44"/>
  <c r="S91" i="44" s="1"/>
  <c r="S14" i="62"/>
  <c r="T14" i="62" s="1"/>
  <c r="I14" i="62" s="1"/>
  <c r="S15" i="62"/>
  <c r="T15" i="62" s="1"/>
  <c r="I15" i="62" s="1"/>
  <c r="S17" i="62"/>
  <c r="T17" i="62" s="1"/>
  <c r="I17" i="62" s="1"/>
  <c r="S18" i="62"/>
  <c r="T18" i="62" s="1"/>
  <c r="I18" i="62" s="1"/>
  <c r="S16" i="62"/>
  <c r="T16" i="62" s="1"/>
  <c r="I16" i="62" s="1"/>
  <c r="S19" i="62"/>
  <c r="T19" i="62" s="1"/>
  <c r="I19" i="62" s="1"/>
  <c r="S13" i="62"/>
  <c r="T13" i="62" s="1"/>
  <c r="I13" i="62" s="1"/>
  <c r="I139" i="50"/>
  <c r="I101" i="50"/>
  <c r="I123" i="50"/>
  <c r="I126" i="50"/>
  <c r="I57" i="50"/>
  <c r="I138" i="50"/>
  <c r="I56" i="50"/>
  <c r="I70" i="50"/>
  <c r="I75" i="50"/>
  <c r="I82" i="50"/>
  <c r="I120" i="50"/>
  <c r="I114" i="50"/>
  <c r="I27" i="50"/>
  <c r="I103" i="50"/>
  <c r="M56" i="50"/>
  <c r="I127" i="50"/>
  <c r="I73" i="50"/>
  <c r="I105" i="50"/>
  <c r="I61" i="50"/>
  <c r="I17" i="50"/>
  <c r="I34" i="50"/>
  <c r="I51" i="50"/>
  <c r="I42" i="50"/>
  <c r="I89" i="50"/>
  <c r="I107" i="50"/>
  <c r="I72" i="50"/>
  <c r="I98" i="50"/>
  <c r="AA5" i="63" s="1"/>
  <c r="AD5" i="63" s="1"/>
  <c r="I132" i="50"/>
  <c r="I111" i="50"/>
  <c r="I137" i="50"/>
  <c r="I80" i="50"/>
  <c r="I46" i="50"/>
  <c r="I54" i="50"/>
  <c r="I36" i="50"/>
  <c r="I44" i="50"/>
  <c r="I135" i="50"/>
  <c r="I106" i="50"/>
  <c r="I28" i="50"/>
  <c r="I22" i="50"/>
  <c r="I52" i="50"/>
  <c r="I66" i="50"/>
  <c r="I40" i="50"/>
  <c r="I26" i="50"/>
  <c r="I94" i="50"/>
  <c r="I133" i="50"/>
  <c r="I88" i="50"/>
  <c r="I117" i="50"/>
  <c r="I99" i="50"/>
  <c r="I35" i="50"/>
  <c r="I49" i="50"/>
  <c r="I118" i="50"/>
  <c r="I93" i="50"/>
  <c r="I108" i="50"/>
  <c r="I29" i="50"/>
  <c r="I48" i="50"/>
  <c r="I116" i="50"/>
  <c r="I97" i="50"/>
  <c r="AA5" i="56" s="1"/>
  <c r="AD5" i="56" s="1"/>
  <c r="I134" i="50"/>
  <c r="I81" i="50"/>
  <c r="I113" i="50"/>
  <c r="I79" i="50"/>
  <c r="I92" i="50"/>
  <c r="I62" i="50"/>
  <c r="I60" i="50"/>
  <c r="I122" i="50"/>
  <c r="I55" i="50"/>
  <c r="I131" i="50"/>
  <c r="I78" i="50"/>
  <c r="I30" i="50"/>
  <c r="I95" i="50"/>
  <c r="I130" i="50"/>
  <c r="I32" i="50"/>
  <c r="R69" i="46"/>
  <c r="S69" i="46" s="1"/>
  <c r="H69" i="46" s="1"/>
  <c r="K52" i="64" s="1"/>
  <c r="S52" i="64" s="1"/>
  <c r="R23" i="46"/>
  <c r="S23" i="46" s="1"/>
  <c r="H23" i="46" s="1"/>
  <c r="K11" i="64" s="1"/>
  <c r="S11" i="64" s="1"/>
  <c r="R136" i="46"/>
  <c r="S136" i="46" s="1"/>
  <c r="H136" i="46" s="1"/>
  <c r="K116" i="64" s="1"/>
  <c r="S116" i="64" s="1"/>
  <c r="R95" i="46"/>
  <c r="S95" i="46" s="1"/>
  <c r="H95" i="46" s="1"/>
  <c r="K76" i="64" s="1"/>
  <c r="S76" i="64" s="1"/>
  <c r="R22" i="46"/>
  <c r="S22" i="46" s="1"/>
  <c r="H22" i="46" s="1"/>
  <c r="K10" i="64" s="1"/>
  <c r="S10" i="64" s="1"/>
  <c r="R33" i="46"/>
  <c r="S33" i="46" s="1"/>
  <c r="H33" i="46" s="1"/>
  <c r="K21" i="64" s="1"/>
  <c r="S21" i="64" s="1"/>
  <c r="R118" i="46"/>
  <c r="S118" i="46" s="1"/>
  <c r="H118" i="46" s="1"/>
  <c r="K99" i="64" s="1"/>
  <c r="S99" i="64" s="1"/>
  <c r="R18" i="46"/>
  <c r="S18" i="46" s="1"/>
  <c r="H18" i="46" s="1"/>
  <c r="K7" i="64" s="1"/>
  <c r="S7" i="64" s="1"/>
  <c r="R96" i="46"/>
  <c r="S96" i="46" s="1"/>
  <c r="H96" i="46" s="1"/>
  <c r="K77" i="64" s="1"/>
  <c r="S77" i="64" s="1"/>
  <c r="R59" i="46"/>
  <c r="S59" i="46" s="1"/>
  <c r="H59" i="46" s="1"/>
  <c r="K44" i="64" s="1"/>
  <c r="S44" i="64" s="1"/>
  <c r="R99" i="46"/>
  <c r="S99" i="46" s="1"/>
  <c r="H99" i="46" s="1"/>
  <c r="K80" i="64" s="1"/>
  <c r="S80" i="64" s="1"/>
  <c r="R114" i="46"/>
  <c r="S114" i="46" s="1"/>
  <c r="H114" i="46" s="1"/>
  <c r="K95" i="64" s="1"/>
  <c r="S95" i="64" s="1"/>
  <c r="R46" i="46"/>
  <c r="S46" i="46" s="1"/>
  <c r="H46" i="46" s="1"/>
  <c r="K32" i="64" s="1"/>
  <c r="S32" i="64" s="1"/>
  <c r="R65" i="46"/>
  <c r="S65" i="46" s="1"/>
  <c r="H65" i="46" s="1"/>
  <c r="K49" i="64" s="1"/>
  <c r="S49" i="64" s="1"/>
  <c r="R53" i="46"/>
  <c r="S53" i="46" s="1"/>
  <c r="H53" i="46" s="1"/>
  <c r="K38" i="64" s="1"/>
  <c r="S38" i="64" s="1"/>
  <c r="R63" i="46"/>
  <c r="S63" i="46" s="1"/>
  <c r="H63" i="46" s="1"/>
  <c r="K47" i="64" s="1"/>
  <c r="S47" i="64" s="1"/>
  <c r="R137" i="46"/>
  <c r="S137" i="46" s="1"/>
  <c r="H137" i="46" s="1"/>
  <c r="K117" i="64" s="1"/>
  <c r="S117" i="64" s="1"/>
  <c r="R133" i="46"/>
  <c r="S133" i="46" s="1"/>
  <c r="H133" i="46" s="1"/>
  <c r="K113" i="64" s="1"/>
  <c r="S113" i="64" s="1"/>
  <c r="R66" i="46"/>
  <c r="S66" i="46" s="1"/>
  <c r="H66" i="46" s="1"/>
  <c r="K50" i="64" s="1"/>
  <c r="S50" i="64" s="1"/>
  <c r="R135" i="46"/>
  <c r="S135" i="46" s="1"/>
  <c r="H135" i="46" s="1"/>
  <c r="K115" i="64" s="1"/>
  <c r="S115" i="64" s="1"/>
  <c r="R132" i="46"/>
  <c r="S132" i="46" s="1"/>
  <c r="H132" i="46" s="1"/>
  <c r="K112" i="64" s="1"/>
  <c r="S112" i="64" s="1"/>
  <c r="R27" i="46"/>
  <c r="S27" i="46" s="1"/>
  <c r="H27" i="46" s="1"/>
  <c r="K15" i="64" s="1"/>
  <c r="S15" i="64" s="1"/>
  <c r="R55" i="46"/>
  <c r="S55" i="46" s="1"/>
  <c r="H55" i="46" s="1"/>
  <c r="K40" i="64" s="1"/>
  <c r="S40" i="64" s="1"/>
  <c r="R91" i="46"/>
  <c r="S91" i="46" s="1"/>
  <c r="H91" i="46" s="1"/>
  <c r="K73" i="64" s="1"/>
  <c r="S73" i="64" s="1"/>
  <c r="R24" i="46"/>
  <c r="S24" i="46" s="1"/>
  <c r="H24" i="46" s="1"/>
  <c r="K12" i="64" s="1"/>
  <c r="S12" i="64" s="1"/>
  <c r="R129" i="46"/>
  <c r="S129" i="46" s="1"/>
  <c r="H129" i="46" s="1"/>
  <c r="K109" i="64" s="1"/>
  <c r="S109" i="64" s="1"/>
  <c r="R45" i="46"/>
  <c r="S45" i="46" s="1"/>
  <c r="H45" i="46" s="1"/>
  <c r="K31" i="64" s="1"/>
  <c r="S31" i="64" s="1"/>
  <c r="R73" i="46"/>
  <c r="S73" i="46" s="1"/>
  <c r="H73" i="46" s="1"/>
  <c r="K56" i="64" s="1"/>
  <c r="S56" i="64" s="1"/>
  <c r="R106" i="46"/>
  <c r="S106" i="46" s="1"/>
  <c r="H106" i="46" s="1"/>
  <c r="K87" i="64" s="1"/>
  <c r="S87" i="64" s="1"/>
  <c r="R94" i="46"/>
  <c r="S94" i="46" s="1"/>
  <c r="H94" i="46" s="1"/>
  <c r="K75" i="64" s="1"/>
  <c r="S75" i="64" s="1"/>
  <c r="R108" i="46"/>
  <c r="S108" i="46" s="1"/>
  <c r="H108" i="46" s="1"/>
  <c r="K89" i="64" s="1"/>
  <c r="S89" i="64" s="1"/>
  <c r="R113" i="46"/>
  <c r="S113" i="46" s="1"/>
  <c r="H113" i="46" s="1"/>
  <c r="K94" i="64" s="1"/>
  <c r="S94" i="64" s="1"/>
  <c r="R85" i="46"/>
  <c r="S85" i="46" s="1"/>
  <c r="H85" i="46" s="1"/>
  <c r="K68" i="64" s="1"/>
  <c r="S68" i="64" s="1"/>
  <c r="R38" i="46"/>
  <c r="S38" i="46" s="1"/>
  <c r="H38" i="46" s="1"/>
  <c r="K25" i="64" s="1"/>
  <c r="S25" i="64" s="1"/>
  <c r="R37" i="46"/>
  <c r="S37" i="46" s="1"/>
  <c r="H37" i="46" s="1"/>
  <c r="K24" i="64" s="1"/>
  <c r="S24" i="64" s="1"/>
  <c r="R117" i="46"/>
  <c r="S117" i="46" s="1"/>
  <c r="H117" i="46" s="1"/>
  <c r="K98" i="64" s="1"/>
  <c r="S98" i="64" s="1"/>
  <c r="R64" i="46"/>
  <c r="S64" i="46" s="1"/>
  <c r="H64" i="46" s="1"/>
  <c r="K48" i="64" s="1"/>
  <c r="S48" i="64" s="1"/>
  <c r="R101" i="46"/>
  <c r="S101" i="46" s="1"/>
  <c r="H101" i="46" s="1"/>
  <c r="K82" i="64" s="1"/>
  <c r="S82" i="64" s="1"/>
  <c r="R70" i="46"/>
  <c r="S70" i="46" s="1"/>
  <c r="H70" i="46" s="1"/>
  <c r="K53" i="64" s="1"/>
  <c r="S53" i="64" s="1"/>
  <c r="R128" i="46"/>
  <c r="S128" i="46" s="1"/>
  <c r="H128" i="46" s="1"/>
  <c r="K108" i="64" s="1"/>
  <c r="S108" i="64" s="1"/>
  <c r="R121" i="46"/>
  <c r="S121" i="46" s="1"/>
  <c r="H121" i="46" s="1"/>
  <c r="K102" i="64" s="1"/>
  <c r="S102" i="64" s="1"/>
  <c r="R50" i="46"/>
  <c r="S50" i="46" s="1"/>
  <c r="H50" i="46" s="1"/>
  <c r="K36" i="64" s="1"/>
  <c r="S36" i="64" s="1"/>
  <c r="R68" i="46"/>
  <c r="S68" i="46" s="1"/>
  <c r="H68" i="46" s="1"/>
  <c r="K51" i="64" s="1"/>
  <c r="S51" i="64" s="1"/>
  <c r="R104" i="46"/>
  <c r="S104" i="46" s="1"/>
  <c r="H104" i="46" s="1"/>
  <c r="K85" i="64" s="1"/>
  <c r="S85" i="64" s="1"/>
  <c r="R34" i="46"/>
  <c r="S34" i="46" s="1"/>
  <c r="H34" i="46" s="1"/>
  <c r="K22" i="64" s="1"/>
  <c r="S22" i="64" s="1"/>
  <c r="R115" i="46"/>
  <c r="S115" i="46" s="1"/>
  <c r="H115" i="46" s="1"/>
  <c r="K96" i="64" s="1"/>
  <c r="S96" i="64" s="1"/>
  <c r="R14" i="46"/>
  <c r="S14" i="46" s="1"/>
  <c r="H14" i="46" s="1"/>
  <c r="K3" i="64" s="1"/>
  <c r="S3" i="64" s="1"/>
  <c r="R26" i="46"/>
  <c r="S26" i="46" s="1"/>
  <c r="H26" i="46" s="1"/>
  <c r="K14" i="64" s="1"/>
  <c r="S14" i="64" s="1"/>
  <c r="R98" i="46"/>
  <c r="S98" i="46" s="1"/>
  <c r="H98" i="46" s="1"/>
  <c r="K79" i="64" s="1"/>
  <c r="S79" i="64" s="1"/>
  <c r="R52" i="46"/>
  <c r="S52" i="46" s="1"/>
  <c r="H52" i="46" s="1"/>
  <c r="K37" i="64" s="1"/>
  <c r="S37" i="64" s="1"/>
  <c r="R78" i="46"/>
  <c r="S78" i="46" s="1"/>
  <c r="H78" i="46" s="1"/>
  <c r="K61" i="64" s="1"/>
  <c r="S61" i="64" s="1"/>
  <c r="R87" i="46"/>
  <c r="S87" i="46" s="1"/>
  <c r="H87" i="46" s="1"/>
  <c r="K70" i="64" s="1"/>
  <c r="S70" i="64" s="1"/>
  <c r="R103" i="46"/>
  <c r="S103" i="46" s="1"/>
  <c r="H103" i="46" s="1"/>
  <c r="K84" i="64" s="1"/>
  <c r="S84" i="64" s="1"/>
  <c r="R75" i="46"/>
  <c r="S75" i="46" s="1"/>
  <c r="H75" i="46" s="1"/>
  <c r="K58" i="64" s="1"/>
  <c r="S58" i="64" s="1"/>
  <c r="R17" i="46"/>
  <c r="S17" i="46" s="1"/>
  <c r="H17" i="46" s="1"/>
  <c r="K6" i="64" s="1"/>
  <c r="S6" i="64" s="1"/>
  <c r="R97" i="46"/>
  <c r="S97" i="46" s="1"/>
  <c r="H97" i="46" s="1"/>
  <c r="K78" i="64" s="1"/>
  <c r="S78" i="64" s="1"/>
  <c r="R76" i="46"/>
  <c r="S76" i="46" s="1"/>
  <c r="H76" i="46" s="1"/>
  <c r="K59" i="64" s="1"/>
  <c r="S59" i="64" s="1"/>
  <c r="R81" i="46"/>
  <c r="S81" i="46" s="1"/>
  <c r="H81" i="46" s="1"/>
  <c r="K64" i="64" s="1"/>
  <c r="S64" i="64" s="1"/>
  <c r="R58" i="46"/>
  <c r="S58" i="46" s="1"/>
  <c r="H58" i="46" s="1"/>
  <c r="K43" i="64" s="1"/>
  <c r="S43" i="64" s="1"/>
  <c r="R125" i="46"/>
  <c r="S125" i="46" s="1"/>
  <c r="H125" i="46" s="1"/>
  <c r="K106" i="64" s="1"/>
  <c r="S106" i="64" s="1"/>
  <c r="R92" i="46"/>
  <c r="S92" i="46" s="1"/>
  <c r="H92" i="46" s="1"/>
  <c r="K74" i="64" s="1"/>
  <c r="S74" i="64" s="1"/>
  <c r="R54" i="46"/>
  <c r="S54" i="46" s="1"/>
  <c r="H54" i="46" s="1"/>
  <c r="K39" i="64" s="1"/>
  <c r="S39" i="64" s="1"/>
  <c r="R134" i="46"/>
  <c r="S134" i="46" s="1"/>
  <c r="H134" i="46" s="1"/>
  <c r="K114" i="64" s="1"/>
  <c r="S114" i="64" s="1"/>
  <c r="R47" i="46"/>
  <c r="S47" i="46" s="1"/>
  <c r="H47" i="46" s="1"/>
  <c r="K33" i="64" s="1"/>
  <c r="S33" i="64" s="1"/>
  <c r="R48" i="46"/>
  <c r="S48" i="46" s="1"/>
  <c r="H48" i="46" s="1"/>
  <c r="K34" i="64" s="1"/>
  <c r="S34" i="64" s="1"/>
  <c r="R82" i="46"/>
  <c r="S82" i="46" s="1"/>
  <c r="H82" i="46" s="1"/>
  <c r="K65" i="64" s="1"/>
  <c r="S65" i="64" s="1"/>
  <c r="R111" i="46"/>
  <c r="S111" i="46" s="1"/>
  <c r="H111" i="46" s="1"/>
  <c r="K92" i="64" s="1"/>
  <c r="S92" i="64" s="1"/>
  <c r="R112" i="46"/>
  <c r="S112" i="46" s="1"/>
  <c r="H112" i="46" s="1"/>
  <c r="K93" i="64" s="1"/>
  <c r="S93" i="64" s="1"/>
  <c r="R19" i="46"/>
  <c r="S19" i="46" s="1"/>
  <c r="H19" i="46" s="1"/>
  <c r="K8" i="64" s="1"/>
  <c r="S8" i="64" s="1"/>
  <c r="R35" i="46"/>
  <c r="S35" i="46" s="1"/>
  <c r="H35" i="46" s="1"/>
  <c r="K23" i="64" s="1"/>
  <c r="S23" i="64" s="1"/>
  <c r="R116" i="46"/>
  <c r="S116" i="46" s="1"/>
  <c r="H116" i="46" s="1"/>
  <c r="K97" i="64" s="1"/>
  <c r="S97" i="64" s="1"/>
  <c r="R71" i="46"/>
  <c r="S71" i="46" s="1"/>
  <c r="H71" i="46" s="1"/>
  <c r="K54" i="64" s="1"/>
  <c r="S54" i="64" s="1"/>
  <c r="R20" i="46"/>
  <c r="S20" i="46" s="1"/>
  <c r="H20" i="46" s="1"/>
  <c r="K9" i="64" s="1"/>
  <c r="S9" i="64" s="1"/>
  <c r="R100" i="46"/>
  <c r="S100" i="46" s="1"/>
  <c r="H100" i="46" s="1"/>
  <c r="K81" i="64" s="1"/>
  <c r="S81" i="64" s="1"/>
  <c r="R109" i="46"/>
  <c r="S109" i="46" s="1"/>
  <c r="H109" i="46" s="1"/>
  <c r="K90" i="64" s="1"/>
  <c r="S90" i="64" s="1"/>
  <c r="R56" i="46"/>
  <c r="S56" i="46" s="1"/>
  <c r="H56" i="46" s="1"/>
  <c r="K41" i="64" s="1"/>
  <c r="S41" i="64" s="1"/>
  <c r="R28" i="46"/>
  <c r="S28" i="46" s="1"/>
  <c r="H28" i="46" s="1"/>
  <c r="K16" i="64" s="1"/>
  <c r="S16" i="64" s="1"/>
  <c r="R29" i="46"/>
  <c r="S29" i="46" s="1"/>
  <c r="H29" i="46" s="1"/>
  <c r="K17" i="64" s="1"/>
  <c r="S17" i="64" s="1"/>
  <c r="R62" i="46"/>
  <c r="S62" i="46" s="1"/>
  <c r="H62" i="46" s="1"/>
  <c r="K46" i="64" s="1"/>
  <c r="S46" i="64" s="1"/>
  <c r="R120" i="46"/>
  <c r="S120" i="46" s="1"/>
  <c r="H120" i="46" s="1"/>
  <c r="K101" i="64" s="1"/>
  <c r="S101" i="64" s="1"/>
  <c r="R72" i="46"/>
  <c r="S72" i="46" s="1"/>
  <c r="H72" i="46" s="1"/>
  <c r="K55" i="64" s="1"/>
  <c r="S55" i="64" s="1"/>
  <c r="R42" i="46"/>
  <c r="S42" i="46" s="1"/>
  <c r="H42" i="46" s="1"/>
  <c r="K28" i="64" s="1"/>
  <c r="S28" i="64" s="1"/>
  <c r="R122" i="46"/>
  <c r="S122" i="46" s="1"/>
  <c r="H122" i="46" s="1"/>
  <c r="K103" i="64" s="1"/>
  <c r="S103" i="64" s="1"/>
  <c r="R79" i="46"/>
  <c r="S79" i="46" s="1"/>
  <c r="H79" i="46" s="1"/>
  <c r="K62" i="64" s="1"/>
  <c r="S62" i="64" s="1"/>
  <c r="R105" i="46"/>
  <c r="S105" i="46" s="1"/>
  <c r="H105" i="46" s="1"/>
  <c r="K86" i="64" s="1"/>
  <c r="S86" i="64" s="1"/>
  <c r="R43" i="46"/>
  <c r="S43" i="46" s="1"/>
  <c r="H43" i="46" s="1"/>
  <c r="K29" i="64" s="1"/>
  <c r="S29" i="64" s="1"/>
  <c r="R123" i="46"/>
  <c r="S123" i="46" s="1"/>
  <c r="H123" i="46" s="1"/>
  <c r="K104" i="64" s="1"/>
  <c r="S104" i="64" s="1"/>
  <c r="R86" i="46"/>
  <c r="S86" i="46" s="1"/>
  <c r="H86" i="46" s="1"/>
  <c r="K69" i="64" s="1"/>
  <c r="S69" i="64" s="1"/>
  <c r="R107" i="46"/>
  <c r="S107" i="46" s="1"/>
  <c r="H107" i="46" s="1"/>
  <c r="K88" i="64" s="1"/>
  <c r="S88" i="64" s="1"/>
  <c r="R60" i="46"/>
  <c r="S60" i="46" s="1"/>
  <c r="H60" i="46" s="1"/>
  <c r="K45" i="64" s="1"/>
  <c r="S45" i="64" s="1"/>
  <c r="R15" i="46"/>
  <c r="S15" i="46" s="1"/>
  <c r="H15" i="46" s="1"/>
  <c r="K4" i="64" s="1"/>
  <c r="S4" i="64" s="1"/>
  <c r="R31" i="46"/>
  <c r="S31" i="46" s="1"/>
  <c r="H31" i="46" s="1"/>
  <c r="K19" i="64" s="1"/>
  <c r="S19" i="64" s="1"/>
  <c r="R32" i="46"/>
  <c r="S32" i="46" s="1"/>
  <c r="H32" i="46" s="1"/>
  <c r="K20" i="64" s="1"/>
  <c r="S20" i="64" s="1"/>
  <c r="R16" i="46"/>
  <c r="S16" i="46" s="1"/>
  <c r="H16" i="46" s="1"/>
  <c r="K5" i="64" s="1"/>
  <c r="S5" i="64" s="1"/>
  <c r="R25" i="46"/>
  <c r="S25" i="46" s="1"/>
  <c r="H25" i="46" s="1"/>
  <c r="K13" i="64" s="1"/>
  <c r="S13" i="64" s="1"/>
  <c r="R130" i="46"/>
  <c r="S130" i="46" s="1"/>
  <c r="H130" i="46" s="1"/>
  <c r="K110" i="64" s="1"/>
  <c r="S110" i="64" s="1"/>
  <c r="R84" i="46"/>
  <c r="S84" i="46" s="1"/>
  <c r="H84" i="46" s="1"/>
  <c r="K67" i="64" s="1"/>
  <c r="S67" i="64" s="1"/>
  <c r="R80" i="46"/>
  <c r="S80" i="46" s="1"/>
  <c r="H80" i="46" s="1"/>
  <c r="K63" i="64" s="1"/>
  <c r="S63" i="64" s="1"/>
  <c r="R89" i="46"/>
  <c r="S89" i="46" s="1"/>
  <c r="H89" i="46" s="1"/>
  <c r="K71" i="64" s="1"/>
  <c r="S71" i="64" s="1"/>
  <c r="R131" i="46"/>
  <c r="S131" i="46" s="1"/>
  <c r="H131" i="46" s="1"/>
  <c r="K111" i="64" s="1"/>
  <c r="S111" i="64" s="1"/>
  <c r="R77" i="46"/>
  <c r="S77" i="46" s="1"/>
  <c r="H77" i="46" s="1"/>
  <c r="K60" i="64" s="1"/>
  <c r="S60" i="64" s="1"/>
  <c r="R110" i="46"/>
  <c r="S110" i="46" s="1"/>
  <c r="H110" i="46" s="1"/>
  <c r="K91" i="64" s="1"/>
  <c r="S91" i="64" s="1"/>
  <c r="R119" i="46"/>
  <c r="S119" i="46" s="1"/>
  <c r="H119" i="46" s="1"/>
  <c r="K100" i="64" s="1"/>
  <c r="S100" i="64" s="1"/>
  <c r="R74" i="46"/>
  <c r="S74" i="46" s="1"/>
  <c r="H74" i="46" s="1"/>
  <c r="K57" i="64" s="1"/>
  <c r="S57" i="64" s="1"/>
  <c r="R102" i="46"/>
  <c r="S102" i="46" s="1"/>
  <c r="H102" i="46" s="1"/>
  <c r="K83" i="64" s="1"/>
  <c r="S83" i="64" s="1"/>
  <c r="R39" i="46"/>
  <c r="S39" i="46" s="1"/>
  <c r="H39" i="46" s="1"/>
  <c r="K26" i="64" s="1"/>
  <c r="S26" i="64" s="1"/>
  <c r="R40" i="46"/>
  <c r="S40" i="46" s="1"/>
  <c r="H40" i="46" s="1"/>
  <c r="K27" i="64" s="1"/>
  <c r="S27" i="64" s="1"/>
  <c r="R12" i="46"/>
  <c r="S12" i="46" s="1"/>
  <c r="H12" i="46" s="1"/>
  <c r="K2" i="64" s="1"/>
  <c r="S2" i="64" s="1"/>
  <c r="R90" i="46"/>
  <c r="S90" i="46" s="1"/>
  <c r="H90" i="46" s="1"/>
  <c r="K72" i="64" s="1"/>
  <c r="S72" i="64" s="1"/>
  <c r="R44" i="46"/>
  <c r="S44" i="46" s="1"/>
  <c r="H44" i="46" s="1"/>
  <c r="K30" i="64" s="1"/>
  <c r="S30" i="64" s="1"/>
  <c r="R124" i="46"/>
  <c r="S124" i="46" s="1"/>
  <c r="H124" i="46" s="1"/>
  <c r="K105" i="64" s="1"/>
  <c r="S105" i="64" s="1"/>
  <c r="R93" i="46"/>
  <c r="S93" i="46" s="1"/>
  <c r="H93" i="46" s="1"/>
  <c r="R57" i="46"/>
  <c r="S57" i="46" s="1"/>
  <c r="H57" i="46" s="1"/>
  <c r="K42" i="64" s="1"/>
  <c r="S42" i="64" s="1"/>
  <c r="R83" i="46"/>
  <c r="S83" i="46" s="1"/>
  <c r="H83" i="46" s="1"/>
  <c r="K66" i="64" s="1"/>
  <c r="S66" i="64" s="1"/>
  <c r="R126" i="46"/>
  <c r="S126" i="46" s="1"/>
  <c r="H126" i="46" s="1"/>
  <c r="K107" i="64" s="1"/>
  <c r="S107" i="64" s="1"/>
  <c r="R30" i="46"/>
  <c r="S30" i="46" s="1"/>
  <c r="H30" i="46" s="1"/>
  <c r="K18" i="64" s="1"/>
  <c r="S18" i="64" s="1"/>
  <c r="R49" i="46"/>
  <c r="S49" i="46" s="1"/>
  <c r="H49" i="46" s="1"/>
  <c r="K35" i="64" s="1"/>
  <c r="S35" i="64" s="1"/>
  <c r="I68" i="50"/>
  <c r="I41" i="50"/>
  <c r="I86" i="50"/>
  <c r="I67" i="50"/>
  <c r="I109" i="50"/>
  <c r="I110" i="50"/>
  <c r="I85" i="50"/>
  <c r="I16" i="50"/>
  <c r="I83" i="50"/>
  <c r="I84" i="50"/>
  <c r="I87" i="50"/>
  <c r="I104" i="50"/>
  <c r="I58" i="50"/>
  <c r="I128" i="50"/>
  <c r="I24" i="50"/>
  <c r="I47" i="50"/>
  <c r="I77" i="50"/>
  <c r="I115" i="50"/>
  <c r="I124" i="50"/>
  <c r="I74" i="50"/>
  <c r="I21" i="50"/>
  <c r="I112" i="50"/>
  <c r="I39" i="50"/>
  <c r="I102" i="50"/>
  <c r="I100" i="50"/>
  <c r="I50" i="50"/>
  <c r="I65" i="50"/>
  <c r="I136" i="50"/>
  <c r="I64" i="50"/>
  <c r="I33" i="50"/>
  <c r="R69" i="48"/>
  <c r="S69" i="48" s="1"/>
  <c r="H69" i="48" s="1"/>
  <c r="M52" i="64" s="1"/>
  <c r="U52" i="64" s="1"/>
  <c r="R22" i="48"/>
  <c r="S22" i="48" s="1"/>
  <c r="H22" i="48" s="1"/>
  <c r="M10" i="64" s="1"/>
  <c r="U10" i="64" s="1"/>
  <c r="R23" i="48"/>
  <c r="S23" i="48" s="1"/>
  <c r="H23" i="48" s="1"/>
  <c r="M11" i="64" s="1"/>
  <c r="U11" i="64" s="1"/>
  <c r="R95" i="48"/>
  <c r="S95" i="48" s="1"/>
  <c r="H95" i="48" s="1"/>
  <c r="M76" i="64" s="1"/>
  <c r="U76" i="64" s="1"/>
  <c r="R27" i="48"/>
  <c r="S27" i="48" s="1"/>
  <c r="H27" i="48" s="1"/>
  <c r="M15" i="64" s="1"/>
  <c r="U15" i="64" s="1"/>
  <c r="R116" i="48"/>
  <c r="S116" i="48" s="1"/>
  <c r="H116" i="48" s="1"/>
  <c r="M97" i="64" s="1"/>
  <c r="U97" i="64" s="1"/>
  <c r="R57" i="48"/>
  <c r="S57" i="48" s="1"/>
  <c r="H57" i="48" s="1"/>
  <c r="M42" i="64" s="1"/>
  <c r="U42" i="64" s="1"/>
  <c r="R35" i="48"/>
  <c r="S35" i="48" s="1"/>
  <c r="H35" i="48" s="1"/>
  <c r="M23" i="64" s="1"/>
  <c r="U23" i="64" s="1"/>
  <c r="R31" i="48"/>
  <c r="S31" i="48" s="1"/>
  <c r="H31" i="48" s="1"/>
  <c r="M19" i="64" s="1"/>
  <c r="U19" i="64" s="1"/>
  <c r="R62" i="48"/>
  <c r="S62" i="48" s="1"/>
  <c r="H62" i="48" s="1"/>
  <c r="M46" i="64" s="1"/>
  <c r="U46" i="64" s="1"/>
  <c r="R107" i="48"/>
  <c r="S107" i="48" s="1"/>
  <c r="H107" i="48" s="1"/>
  <c r="M88" i="64" s="1"/>
  <c r="U88" i="64" s="1"/>
  <c r="R123" i="48"/>
  <c r="S123" i="48" s="1"/>
  <c r="H123" i="48" s="1"/>
  <c r="M104" i="64" s="1"/>
  <c r="U104" i="64" s="1"/>
  <c r="R124" i="48"/>
  <c r="S124" i="48" s="1"/>
  <c r="H124" i="48" s="1"/>
  <c r="M105" i="64" s="1"/>
  <c r="U105" i="64" s="1"/>
  <c r="R93" i="48"/>
  <c r="S93" i="48" s="1"/>
  <c r="H93" i="48" s="1"/>
  <c r="R136" i="48"/>
  <c r="S136" i="48" s="1"/>
  <c r="H136" i="48" s="1"/>
  <c r="M116" i="64" s="1"/>
  <c r="U116" i="64" s="1"/>
  <c r="R34" i="48"/>
  <c r="S34" i="48" s="1"/>
  <c r="H34" i="48" s="1"/>
  <c r="M22" i="64" s="1"/>
  <c r="U22" i="64" s="1"/>
  <c r="R90" i="48"/>
  <c r="S90" i="48" s="1"/>
  <c r="H90" i="48" s="1"/>
  <c r="M72" i="64" s="1"/>
  <c r="U72" i="64" s="1"/>
  <c r="R53" i="48"/>
  <c r="S53" i="48" s="1"/>
  <c r="H53" i="48" s="1"/>
  <c r="M38" i="64" s="1"/>
  <c r="U38" i="64" s="1"/>
  <c r="R39" i="48"/>
  <c r="S39" i="48" s="1"/>
  <c r="H39" i="48" s="1"/>
  <c r="M26" i="64" s="1"/>
  <c r="U26" i="64" s="1"/>
  <c r="R86" i="48"/>
  <c r="S86" i="48" s="1"/>
  <c r="H86" i="48" s="1"/>
  <c r="M69" i="64" s="1"/>
  <c r="U69" i="64" s="1"/>
  <c r="R43" i="48"/>
  <c r="S43" i="48" s="1"/>
  <c r="H43" i="48" s="1"/>
  <c r="M29" i="64" s="1"/>
  <c r="U29" i="64" s="1"/>
  <c r="R134" i="48"/>
  <c r="S134" i="48" s="1"/>
  <c r="H134" i="48" s="1"/>
  <c r="M114" i="64" s="1"/>
  <c r="U114" i="64" s="1"/>
  <c r="R15" i="48"/>
  <c r="S15" i="48" s="1"/>
  <c r="H15" i="48" s="1"/>
  <c r="M4" i="64" s="1"/>
  <c r="U4" i="64" s="1"/>
  <c r="R50" i="48"/>
  <c r="S50" i="48" s="1"/>
  <c r="H50" i="48" s="1"/>
  <c r="M36" i="64" s="1"/>
  <c r="U36" i="64" s="1"/>
  <c r="R14" i="48"/>
  <c r="S14" i="48" s="1"/>
  <c r="H14" i="48" s="1"/>
  <c r="M3" i="64" s="1"/>
  <c r="U3" i="64" s="1"/>
  <c r="R49" i="48"/>
  <c r="S49" i="48" s="1"/>
  <c r="H49" i="48" s="1"/>
  <c r="M35" i="64" s="1"/>
  <c r="U35" i="64" s="1"/>
  <c r="R75" i="48"/>
  <c r="S75" i="48" s="1"/>
  <c r="H75" i="48" s="1"/>
  <c r="M58" i="64" s="1"/>
  <c r="U58" i="64" s="1"/>
  <c r="R119" i="48"/>
  <c r="S119" i="48" s="1"/>
  <c r="H119" i="48" s="1"/>
  <c r="M100" i="64" s="1"/>
  <c r="U100" i="64" s="1"/>
  <c r="R45" i="48"/>
  <c r="S45" i="48" s="1"/>
  <c r="H45" i="48" s="1"/>
  <c r="M31" i="64" s="1"/>
  <c r="U31" i="64" s="1"/>
  <c r="R117" i="48"/>
  <c r="S117" i="48" s="1"/>
  <c r="H117" i="48" s="1"/>
  <c r="M98" i="64" s="1"/>
  <c r="U98" i="64" s="1"/>
  <c r="R28" i="48"/>
  <c r="S28" i="48" s="1"/>
  <c r="H28" i="48" s="1"/>
  <c r="M16" i="64" s="1"/>
  <c r="U16" i="64" s="1"/>
  <c r="R102" i="48"/>
  <c r="S102" i="48" s="1"/>
  <c r="H102" i="48" s="1"/>
  <c r="M83" i="64" s="1"/>
  <c r="U83" i="64" s="1"/>
  <c r="R122" i="48"/>
  <c r="S122" i="48" s="1"/>
  <c r="H122" i="48" s="1"/>
  <c r="M103" i="64" s="1"/>
  <c r="U103" i="64" s="1"/>
  <c r="R58" i="48"/>
  <c r="S58" i="48" s="1"/>
  <c r="H58" i="48" s="1"/>
  <c r="M43" i="64" s="1"/>
  <c r="U43" i="64" s="1"/>
  <c r="R85" i="48"/>
  <c r="S85" i="48" s="1"/>
  <c r="H85" i="48" s="1"/>
  <c r="M68" i="64" s="1"/>
  <c r="U68" i="64" s="1"/>
  <c r="R26" i="48"/>
  <c r="S26" i="48" s="1"/>
  <c r="H26" i="48" s="1"/>
  <c r="M14" i="64" s="1"/>
  <c r="U14" i="64" s="1"/>
  <c r="R25" i="48"/>
  <c r="S25" i="48" s="1"/>
  <c r="H25" i="48" s="1"/>
  <c r="M13" i="64" s="1"/>
  <c r="U13" i="64" s="1"/>
  <c r="R72" i="48"/>
  <c r="S72" i="48" s="1"/>
  <c r="H72" i="48" s="1"/>
  <c r="M55" i="64" s="1"/>
  <c r="U55" i="64" s="1"/>
  <c r="R118" i="48"/>
  <c r="S118" i="48" s="1"/>
  <c r="H118" i="48" s="1"/>
  <c r="M99" i="64" s="1"/>
  <c r="U99" i="64" s="1"/>
  <c r="R37" i="48"/>
  <c r="S37" i="48" s="1"/>
  <c r="H37" i="48" s="1"/>
  <c r="M24" i="64" s="1"/>
  <c r="U24" i="64" s="1"/>
  <c r="R42" i="48"/>
  <c r="S42" i="48" s="1"/>
  <c r="H42" i="48" s="1"/>
  <c r="M28" i="64" s="1"/>
  <c r="U28" i="64" s="1"/>
  <c r="R104" i="48"/>
  <c r="S104" i="48" s="1"/>
  <c r="H104" i="48" s="1"/>
  <c r="M85" i="64" s="1"/>
  <c r="U85" i="64" s="1"/>
  <c r="R68" i="48"/>
  <c r="S68" i="48" s="1"/>
  <c r="H68" i="48" s="1"/>
  <c r="M51" i="64" s="1"/>
  <c r="U51" i="64" s="1"/>
  <c r="R59" i="48"/>
  <c r="S59" i="48" s="1"/>
  <c r="H59" i="48" s="1"/>
  <c r="M44" i="64" s="1"/>
  <c r="U44" i="64" s="1"/>
  <c r="R55" i="48"/>
  <c r="S55" i="48" s="1"/>
  <c r="H55" i="48" s="1"/>
  <c r="M40" i="64" s="1"/>
  <c r="U40" i="64" s="1"/>
  <c r="R121" i="48"/>
  <c r="S121" i="48" s="1"/>
  <c r="H121" i="48" s="1"/>
  <c r="M102" i="64" s="1"/>
  <c r="U102" i="64" s="1"/>
  <c r="R108" i="48"/>
  <c r="S108" i="48" s="1"/>
  <c r="H108" i="48" s="1"/>
  <c r="M89" i="64" s="1"/>
  <c r="U89" i="64" s="1"/>
  <c r="R29" i="48"/>
  <c r="S29" i="48" s="1"/>
  <c r="H29" i="48" s="1"/>
  <c r="M17" i="64" s="1"/>
  <c r="U17" i="64" s="1"/>
  <c r="R89" i="48"/>
  <c r="S89" i="48" s="1"/>
  <c r="H89" i="48" s="1"/>
  <c r="M71" i="64" s="1"/>
  <c r="U71" i="64" s="1"/>
  <c r="R103" i="48"/>
  <c r="S103" i="48" s="1"/>
  <c r="H103" i="48" s="1"/>
  <c r="M84" i="64" s="1"/>
  <c r="U84" i="64" s="1"/>
  <c r="R87" i="48"/>
  <c r="S87" i="48" s="1"/>
  <c r="H87" i="48" s="1"/>
  <c r="M70" i="64" s="1"/>
  <c r="U70" i="64" s="1"/>
  <c r="R83" i="48"/>
  <c r="S83" i="48" s="1"/>
  <c r="H83" i="48" s="1"/>
  <c r="M66" i="64" s="1"/>
  <c r="U66" i="64" s="1"/>
  <c r="R24" i="48"/>
  <c r="S24" i="48" s="1"/>
  <c r="H24" i="48" s="1"/>
  <c r="M12" i="64" s="1"/>
  <c r="U12" i="64" s="1"/>
  <c r="R106" i="48"/>
  <c r="S106" i="48" s="1"/>
  <c r="H106" i="48" s="1"/>
  <c r="M87" i="64" s="1"/>
  <c r="U87" i="64" s="1"/>
  <c r="R52" i="48"/>
  <c r="S52" i="48" s="1"/>
  <c r="H52" i="48" s="1"/>
  <c r="M37" i="64" s="1"/>
  <c r="U37" i="64" s="1"/>
  <c r="R100" i="48"/>
  <c r="S100" i="48" s="1"/>
  <c r="H100" i="48" s="1"/>
  <c r="M81" i="64" s="1"/>
  <c r="U81" i="64" s="1"/>
  <c r="R110" i="48"/>
  <c r="S110" i="48" s="1"/>
  <c r="H110" i="48" s="1"/>
  <c r="M91" i="64" s="1"/>
  <c r="U91" i="64" s="1"/>
  <c r="R17" i="48"/>
  <c r="S17" i="48" s="1"/>
  <c r="H17" i="48" s="1"/>
  <c r="M6" i="64" s="1"/>
  <c r="U6" i="64" s="1"/>
  <c r="R47" i="48"/>
  <c r="S47" i="48" s="1"/>
  <c r="H47" i="48" s="1"/>
  <c r="M33" i="64" s="1"/>
  <c r="U33" i="64" s="1"/>
  <c r="R131" i="48"/>
  <c r="S131" i="48" s="1"/>
  <c r="H131" i="48" s="1"/>
  <c r="M111" i="64" s="1"/>
  <c r="U111" i="64" s="1"/>
  <c r="R38" i="48"/>
  <c r="S38" i="48" s="1"/>
  <c r="H38" i="48" s="1"/>
  <c r="M25" i="64" s="1"/>
  <c r="U25" i="64" s="1"/>
  <c r="R71" i="48"/>
  <c r="S71" i="48" s="1"/>
  <c r="H71" i="48" s="1"/>
  <c r="M54" i="64" s="1"/>
  <c r="U54" i="64" s="1"/>
  <c r="R44" i="48"/>
  <c r="S44" i="48" s="1"/>
  <c r="H44" i="48" s="1"/>
  <c r="M30" i="64" s="1"/>
  <c r="U30" i="64" s="1"/>
  <c r="R77" i="48"/>
  <c r="S77" i="48" s="1"/>
  <c r="H77" i="48" s="1"/>
  <c r="M60" i="64" s="1"/>
  <c r="U60" i="64" s="1"/>
  <c r="R32" i="48"/>
  <c r="S32" i="48" s="1"/>
  <c r="H32" i="48" s="1"/>
  <c r="M20" i="64" s="1"/>
  <c r="U20" i="64" s="1"/>
  <c r="R33" i="48"/>
  <c r="S33" i="48" s="1"/>
  <c r="H33" i="48" s="1"/>
  <c r="M21" i="64" s="1"/>
  <c r="U21" i="64" s="1"/>
  <c r="R70" i="48"/>
  <c r="S70" i="48" s="1"/>
  <c r="H70" i="48" s="1"/>
  <c r="M53" i="64" s="1"/>
  <c r="U53" i="64" s="1"/>
  <c r="R12" i="48"/>
  <c r="S12" i="48" s="1"/>
  <c r="H12" i="48" s="1"/>
  <c r="M2" i="64" s="1"/>
  <c r="U2" i="64" s="1"/>
  <c r="R76" i="48"/>
  <c r="S76" i="48" s="1"/>
  <c r="H76" i="48" s="1"/>
  <c r="M59" i="64" s="1"/>
  <c r="U59" i="64" s="1"/>
  <c r="R92" i="48"/>
  <c r="S92" i="48" s="1"/>
  <c r="H92" i="48" s="1"/>
  <c r="M74" i="64" s="1"/>
  <c r="U74" i="64" s="1"/>
  <c r="R112" i="48"/>
  <c r="S112" i="48" s="1"/>
  <c r="H112" i="48" s="1"/>
  <c r="M93" i="64" s="1"/>
  <c r="U93" i="64" s="1"/>
  <c r="R97" i="48"/>
  <c r="S97" i="48" s="1"/>
  <c r="H97" i="48" s="1"/>
  <c r="M78" i="64" s="1"/>
  <c r="U78" i="64" s="1"/>
  <c r="R81" i="48"/>
  <c r="S81" i="48" s="1"/>
  <c r="H81" i="48" s="1"/>
  <c r="M64" i="64" s="1"/>
  <c r="U64" i="64" s="1"/>
  <c r="R105" i="48"/>
  <c r="S105" i="48" s="1"/>
  <c r="H105" i="48" s="1"/>
  <c r="M86" i="64" s="1"/>
  <c r="U86" i="64" s="1"/>
  <c r="R73" i="48"/>
  <c r="S73" i="48" s="1"/>
  <c r="H73" i="48" s="1"/>
  <c r="M56" i="64" s="1"/>
  <c r="U56" i="64" s="1"/>
  <c r="R16" i="48"/>
  <c r="S16" i="48" s="1"/>
  <c r="H16" i="48" s="1"/>
  <c r="M5" i="64" s="1"/>
  <c r="U5" i="64" s="1"/>
  <c r="R94" i="48"/>
  <c r="S94" i="48" s="1"/>
  <c r="H94" i="48" s="1"/>
  <c r="M75" i="64" s="1"/>
  <c r="U75" i="64" s="1"/>
  <c r="R135" i="48"/>
  <c r="S135" i="48" s="1"/>
  <c r="H135" i="48" s="1"/>
  <c r="M115" i="64" s="1"/>
  <c r="U115" i="64" s="1"/>
  <c r="R18" i="48"/>
  <c r="S18" i="48" s="1"/>
  <c r="H18" i="48" s="1"/>
  <c r="M7" i="64" s="1"/>
  <c r="U7" i="64" s="1"/>
  <c r="R19" i="48"/>
  <c r="S19" i="48" s="1"/>
  <c r="H19" i="48" s="1"/>
  <c r="M8" i="64" s="1"/>
  <c r="U8" i="64" s="1"/>
  <c r="R65" i="48"/>
  <c r="S65" i="48" s="1"/>
  <c r="H65" i="48" s="1"/>
  <c r="M49" i="64" s="1"/>
  <c r="U49" i="64" s="1"/>
  <c r="R125" i="48"/>
  <c r="S125" i="48" s="1"/>
  <c r="H125" i="48" s="1"/>
  <c r="M106" i="64" s="1"/>
  <c r="U106" i="64" s="1"/>
  <c r="R64" i="48"/>
  <c r="S64" i="48" s="1"/>
  <c r="H64" i="48" s="1"/>
  <c r="M48" i="64" s="1"/>
  <c r="U48" i="64" s="1"/>
  <c r="R120" i="48"/>
  <c r="S120" i="48" s="1"/>
  <c r="H120" i="48" s="1"/>
  <c r="M101" i="64" s="1"/>
  <c r="U101" i="64" s="1"/>
  <c r="R132" i="48"/>
  <c r="S132" i="48" s="1"/>
  <c r="H132" i="48" s="1"/>
  <c r="M112" i="64" s="1"/>
  <c r="U112" i="64" s="1"/>
  <c r="R79" i="48"/>
  <c r="S79" i="48" s="1"/>
  <c r="H79" i="48" s="1"/>
  <c r="M62" i="64" s="1"/>
  <c r="U62" i="64" s="1"/>
  <c r="R96" i="48"/>
  <c r="S96" i="48" s="1"/>
  <c r="H96" i="48" s="1"/>
  <c r="M77" i="64" s="1"/>
  <c r="U77" i="64" s="1"/>
  <c r="R133" i="48"/>
  <c r="S133" i="48" s="1"/>
  <c r="H133" i="48" s="1"/>
  <c r="M113" i="64" s="1"/>
  <c r="U113" i="64" s="1"/>
  <c r="R113" i="48"/>
  <c r="S113" i="48" s="1"/>
  <c r="H113" i="48" s="1"/>
  <c r="M94" i="64" s="1"/>
  <c r="U94" i="64" s="1"/>
  <c r="R60" i="48"/>
  <c r="S60" i="48" s="1"/>
  <c r="H60" i="48" s="1"/>
  <c r="M45" i="64" s="1"/>
  <c r="U45" i="64" s="1"/>
  <c r="R111" i="48"/>
  <c r="S111" i="48" s="1"/>
  <c r="H111" i="48" s="1"/>
  <c r="M92" i="64" s="1"/>
  <c r="U92" i="64" s="1"/>
  <c r="R66" i="48"/>
  <c r="S66" i="48" s="1"/>
  <c r="H66" i="48" s="1"/>
  <c r="M50" i="64" s="1"/>
  <c r="U50" i="64" s="1"/>
  <c r="R99" i="48"/>
  <c r="S99" i="48" s="1"/>
  <c r="H99" i="48" s="1"/>
  <c r="M80" i="64" s="1"/>
  <c r="U80" i="64" s="1"/>
  <c r="R109" i="48"/>
  <c r="S109" i="48" s="1"/>
  <c r="H109" i="48" s="1"/>
  <c r="M90" i="64" s="1"/>
  <c r="U90" i="64" s="1"/>
  <c r="R74" i="48"/>
  <c r="S74" i="48" s="1"/>
  <c r="H74" i="48" s="1"/>
  <c r="M57" i="64" s="1"/>
  <c r="U57" i="64" s="1"/>
  <c r="R40" i="48"/>
  <c r="S40" i="48" s="1"/>
  <c r="H40" i="48" s="1"/>
  <c r="M27" i="64" s="1"/>
  <c r="U27" i="64" s="1"/>
  <c r="R126" i="48"/>
  <c r="S126" i="48" s="1"/>
  <c r="H126" i="48" s="1"/>
  <c r="M107" i="64" s="1"/>
  <c r="U107" i="64" s="1"/>
  <c r="R101" i="48"/>
  <c r="S101" i="48" s="1"/>
  <c r="H101" i="48" s="1"/>
  <c r="M82" i="64" s="1"/>
  <c r="U82" i="64" s="1"/>
  <c r="R46" i="48"/>
  <c r="S46" i="48" s="1"/>
  <c r="H46" i="48" s="1"/>
  <c r="M32" i="64" s="1"/>
  <c r="U32" i="64" s="1"/>
  <c r="R78" i="48"/>
  <c r="S78" i="48" s="1"/>
  <c r="H78" i="48" s="1"/>
  <c r="M61" i="64" s="1"/>
  <c r="U61" i="64" s="1"/>
  <c r="R48" i="48"/>
  <c r="S48" i="48" s="1"/>
  <c r="H48" i="48" s="1"/>
  <c r="M34" i="64" s="1"/>
  <c r="U34" i="64" s="1"/>
  <c r="R130" i="48"/>
  <c r="S130" i="48" s="1"/>
  <c r="H130" i="48" s="1"/>
  <c r="M110" i="64" s="1"/>
  <c r="U110" i="64" s="1"/>
  <c r="R82" i="48"/>
  <c r="S82" i="48" s="1"/>
  <c r="H82" i="48" s="1"/>
  <c r="M65" i="64" s="1"/>
  <c r="U65" i="64" s="1"/>
  <c r="R56" i="48"/>
  <c r="S56" i="48" s="1"/>
  <c r="H56" i="48" s="1"/>
  <c r="M41" i="64" s="1"/>
  <c r="U41" i="64" s="1"/>
  <c r="R129" i="48"/>
  <c r="S129" i="48" s="1"/>
  <c r="H129" i="48" s="1"/>
  <c r="M109" i="64" s="1"/>
  <c r="U109" i="64" s="1"/>
  <c r="R54" i="48"/>
  <c r="S54" i="48" s="1"/>
  <c r="H54" i="48" s="1"/>
  <c r="M39" i="64" s="1"/>
  <c r="U39" i="64" s="1"/>
  <c r="R80" i="48"/>
  <c r="S80" i="48" s="1"/>
  <c r="H80" i="48" s="1"/>
  <c r="M63" i="64" s="1"/>
  <c r="U63" i="64" s="1"/>
  <c r="R128" i="48"/>
  <c r="S128" i="48" s="1"/>
  <c r="H128" i="48" s="1"/>
  <c r="M108" i="64" s="1"/>
  <c r="U108" i="64" s="1"/>
  <c r="R30" i="48"/>
  <c r="S30" i="48" s="1"/>
  <c r="H30" i="48" s="1"/>
  <c r="M18" i="64" s="1"/>
  <c r="U18" i="64" s="1"/>
  <c r="R91" i="48"/>
  <c r="S91" i="48" s="1"/>
  <c r="H91" i="48" s="1"/>
  <c r="M73" i="64" s="1"/>
  <c r="U73" i="64" s="1"/>
  <c r="R98" i="48"/>
  <c r="S98" i="48" s="1"/>
  <c r="H98" i="48" s="1"/>
  <c r="M79" i="64" s="1"/>
  <c r="U79" i="64" s="1"/>
  <c r="R84" i="48"/>
  <c r="S84" i="48" s="1"/>
  <c r="H84" i="48" s="1"/>
  <c r="M67" i="64" s="1"/>
  <c r="U67" i="64" s="1"/>
  <c r="R20" i="48"/>
  <c r="S20" i="48" s="1"/>
  <c r="H20" i="48" s="1"/>
  <c r="M9" i="64" s="1"/>
  <c r="U9" i="64" s="1"/>
  <c r="R115" i="48"/>
  <c r="S115" i="48" s="1"/>
  <c r="H115" i="48" s="1"/>
  <c r="M96" i="64" s="1"/>
  <c r="U96" i="64" s="1"/>
  <c r="R114" i="48"/>
  <c r="S114" i="48" s="1"/>
  <c r="H114" i="48" s="1"/>
  <c r="M95" i="64" s="1"/>
  <c r="U95" i="64" s="1"/>
  <c r="R63" i="48"/>
  <c r="S63" i="48" s="1"/>
  <c r="H63" i="48" s="1"/>
  <c r="M47" i="64" s="1"/>
  <c r="U47" i="64" s="1"/>
  <c r="R137" i="48"/>
  <c r="S137" i="48" s="1"/>
  <c r="H137" i="48" s="1"/>
  <c r="M117" i="64" s="1"/>
  <c r="U117" i="64" s="1"/>
  <c r="I25" i="50"/>
  <c r="I76" i="50"/>
  <c r="I96" i="50"/>
  <c r="I45" i="50"/>
  <c r="I20" i="50"/>
  <c r="I37" i="50"/>
  <c r="I91" i="50"/>
  <c r="I119" i="50"/>
  <c r="I14" i="50"/>
  <c r="I121" i="50"/>
  <c r="I59" i="50"/>
  <c r="I19" i="50"/>
  <c r="I31" i="50"/>
  <c r="I18" i="50"/>
  <c r="I125" i="50"/>
  <c r="I71" i="50"/>
  <c r="M94" i="50" l="1"/>
  <c r="M5" i="56"/>
  <c r="P5" i="56" s="1"/>
  <c r="M5" i="63"/>
  <c r="P5" i="63" s="1"/>
  <c r="F5" i="56"/>
  <c r="I5" i="56" s="1"/>
  <c r="F5" i="63"/>
  <c r="I5" i="63" s="1"/>
  <c r="T5" i="56"/>
  <c r="W5" i="56" s="1"/>
  <c r="T5" i="63"/>
  <c r="W5" i="63" s="1"/>
  <c r="M102" i="50"/>
  <c r="M22" i="50"/>
  <c r="H20" i="44"/>
  <c r="M116" i="50"/>
  <c r="H114" i="44"/>
  <c r="M109" i="50"/>
  <c r="H107" i="44"/>
  <c r="M49" i="50"/>
  <c r="H47" i="44"/>
  <c r="M89" i="50"/>
  <c r="H87" i="44"/>
  <c r="M36" i="50"/>
  <c r="H34" i="44"/>
  <c r="M88" i="50"/>
  <c r="H86" i="44"/>
  <c r="M104" i="50"/>
  <c r="H102" i="44"/>
  <c r="M91" i="50"/>
  <c r="H89" i="44"/>
  <c r="M108" i="50"/>
  <c r="H106" i="44"/>
  <c r="M17" i="50"/>
  <c r="H15" i="44"/>
  <c r="M29" i="50"/>
  <c r="H27" i="44"/>
  <c r="M121" i="50"/>
  <c r="H119" i="44"/>
  <c r="M52" i="50"/>
  <c r="H50" i="44"/>
  <c r="M68" i="50"/>
  <c r="H66" i="44"/>
  <c r="M57" i="50"/>
  <c r="H55" i="44"/>
  <c r="M18" i="50"/>
  <c r="H16" i="44"/>
  <c r="M72" i="50"/>
  <c r="H70" i="44"/>
  <c r="M79" i="50"/>
  <c r="H77" i="44"/>
  <c r="M59" i="50"/>
  <c r="H57" i="44"/>
  <c r="M28" i="50"/>
  <c r="H26" i="44"/>
  <c r="M34" i="50"/>
  <c r="H32" i="44"/>
  <c r="M86" i="50"/>
  <c r="H84" i="44"/>
  <c r="M114" i="50"/>
  <c r="H112" i="44"/>
  <c r="M93" i="50"/>
  <c r="H91" i="44"/>
  <c r="M78" i="50"/>
  <c r="H76" i="44"/>
  <c r="M130" i="50"/>
  <c r="H128" i="44"/>
  <c r="M115" i="50"/>
  <c r="H113" i="44"/>
  <c r="M111" i="50"/>
  <c r="H109" i="44"/>
  <c r="I90" i="64" s="1"/>
  <c r="Q90" i="64" s="1"/>
  <c r="M40" i="50"/>
  <c r="H38" i="44"/>
  <c r="M37" i="50"/>
  <c r="H35" i="44"/>
  <c r="M55" i="50"/>
  <c r="H53" i="44"/>
  <c r="M118" i="50"/>
  <c r="H116" i="44"/>
  <c r="M105" i="50"/>
  <c r="H103" i="44"/>
  <c r="M128" i="50"/>
  <c r="H126" i="44"/>
  <c r="M112" i="50"/>
  <c r="H110" i="44"/>
  <c r="M101" i="50"/>
  <c r="H99" i="44"/>
  <c r="M35" i="50"/>
  <c r="H33" i="44"/>
  <c r="M122" i="50"/>
  <c r="H120" i="44"/>
  <c r="M110" i="50"/>
  <c r="H108" i="44"/>
  <c r="M85" i="50"/>
  <c r="H83" i="44"/>
  <c r="M132" i="50"/>
  <c r="H130" i="44"/>
  <c r="M54" i="50"/>
  <c r="M81" i="50"/>
  <c r="M100" i="50"/>
  <c r="M107" i="50"/>
  <c r="M103" i="50"/>
  <c r="M123" i="50"/>
  <c r="M137" i="50"/>
  <c r="M41" i="50"/>
  <c r="M61" i="50"/>
  <c r="M76" i="50"/>
  <c r="M31" i="50"/>
  <c r="M16" i="50"/>
  <c r="M58" i="50"/>
  <c r="M45" i="50"/>
  <c r="M30" i="50"/>
  <c r="M62" i="50"/>
  <c r="M80" i="50"/>
  <c r="M77" i="50"/>
  <c r="M74" i="50"/>
  <c r="M92" i="50"/>
  <c r="M134" i="50"/>
  <c r="M135" i="50"/>
  <c r="M87" i="50"/>
  <c r="M84" i="50"/>
  <c r="M117" i="50"/>
  <c r="M26" i="50"/>
  <c r="M138" i="50"/>
  <c r="M20" i="50"/>
  <c r="M14" i="50"/>
  <c r="M64" i="50"/>
  <c r="M73" i="50"/>
  <c r="M113" i="50"/>
  <c r="M42" i="50"/>
  <c r="M119" i="50"/>
  <c r="M60" i="50"/>
  <c r="M133" i="50"/>
  <c r="M70" i="50"/>
  <c r="M124" i="50"/>
  <c r="M131" i="50"/>
  <c r="M98" i="50"/>
  <c r="AA6" i="63" s="1"/>
  <c r="AD6" i="63" s="1"/>
  <c r="M21" i="50"/>
  <c r="M106" i="50"/>
  <c r="M136" i="50"/>
  <c r="M51" i="50"/>
  <c r="M120" i="50"/>
  <c r="M139" i="50"/>
  <c r="M97" i="50"/>
  <c r="AA6" i="56" s="1"/>
  <c r="AD6" i="56" s="1"/>
  <c r="M32" i="50"/>
  <c r="M67" i="50"/>
  <c r="M83" i="50"/>
  <c r="M46" i="50"/>
  <c r="M27" i="50"/>
  <c r="M125" i="50"/>
  <c r="M95" i="50"/>
  <c r="M66" i="50"/>
  <c r="M48" i="50"/>
  <c r="M39" i="50"/>
  <c r="M71" i="50"/>
  <c r="M127" i="50"/>
  <c r="M99" i="50"/>
  <c r="M75" i="50"/>
  <c r="M65" i="50"/>
  <c r="M24" i="50"/>
  <c r="M96" i="50"/>
  <c r="M33" i="50"/>
  <c r="M44" i="50"/>
  <c r="M25" i="50"/>
  <c r="M82" i="50"/>
  <c r="M50" i="50"/>
  <c r="M47" i="50"/>
  <c r="M19" i="50"/>
  <c r="M126" i="50"/>
  <c r="I20" i="62"/>
  <c r="H96" i="50"/>
  <c r="X96" i="50"/>
  <c r="J71" i="49"/>
  <c r="S71" i="49" s="1"/>
  <c r="L71" i="50"/>
  <c r="U139" i="50"/>
  <c r="U32" i="50"/>
  <c r="U50" i="50"/>
  <c r="U101" i="50"/>
  <c r="U134" i="50"/>
  <c r="U96" i="50"/>
  <c r="U78" i="50"/>
  <c r="U40" i="50"/>
  <c r="U26" i="50"/>
  <c r="U57" i="50"/>
  <c r="U27" i="50"/>
  <c r="U47" i="50"/>
  <c r="U45" i="50"/>
  <c r="U126" i="50"/>
  <c r="U29" i="50"/>
  <c r="H33" i="50"/>
  <c r="H33" i="49"/>
  <c r="P33" i="49" s="1"/>
  <c r="X33" i="50"/>
  <c r="X50" i="50"/>
  <c r="H50" i="50"/>
  <c r="H50" i="49"/>
  <c r="P50" i="49" s="1"/>
  <c r="X112" i="50"/>
  <c r="H112" i="50"/>
  <c r="H115" i="50"/>
  <c r="X115" i="50"/>
  <c r="L70" i="50"/>
  <c r="J70" i="49"/>
  <c r="S70" i="49" s="1"/>
  <c r="H128" i="50"/>
  <c r="X128" i="50"/>
  <c r="X84" i="50"/>
  <c r="H84" i="50"/>
  <c r="H110" i="50"/>
  <c r="X110" i="50"/>
  <c r="H41" i="49"/>
  <c r="P41" i="49" s="1"/>
  <c r="H41" i="50"/>
  <c r="X41" i="50"/>
  <c r="J92" i="49"/>
  <c r="S92" i="49" s="1"/>
  <c r="L92" i="50"/>
  <c r="J125" i="49"/>
  <c r="S125" i="49" s="1"/>
  <c r="L125" i="50"/>
  <c r="L30" i="50"/>
  <c r="J30" i="49"/>
  <c r="S30" i="49" s="1"/>
  <c r="Q95" i="50"/>
  <c r="Q76" i="50"/>
  <c r="Q132" i="50"/>
  <c r="Q88" i="50"/>
  <c r="Q122" i="50"/>
  <c r="Q73" i="50"/>
  <c r="Q49" i="50"/>
  <c r="Q99" i="50"/>
  <c r="Q28" i="50"/>
  <c r="Q130" i="50"/>
  <c r="Q115" i="50"/>
  <c r="Q93" i="50"/>
  <c r="Q65" i="50"/>
  <c r="Q20" i="50"/>
  <c r="H97" i="50"/>
  <c r="X97" i="50"/>
  <c r="L87" i="50"/>
  <c r="J87" i="49"/>
  <c r="S87" i="49" s="1"/>
  <c r="H25" i="50"/>
  <c r="X25" i="50"/>
  <c r="H25" i="49"/>
  <c r="P25" i="49" s="1"/>
  <c r="U65" i="50"/>
  <c r="U130" i="50"/>
  <c r="U68" i="50"/>
  <c r="U122" i="50"/>
  <c r="U18" i="50"/>
  <c r="U14" i="50"/>
  <c r="U133" i="50"/>
  <c r="U85" i="50"/>
  <c r="U61" i="50"/>
  <c r="U28" i="50"/>
  <c r="U121" i="50"/>
  <c r="U88" i="50"/>
  <c r="U125" i="50"/>
  <c r="U97" i="50"/>
  <c r="AA8" i="56" s="1"/>
  <c r="AD8" i="56" s="1"/>
  <c r="Q126" i="50"/>
  <c r="Q121" i="50"/>
  <c r="Q27" i="50"/>
  <c r="Q125" i="50"/>
  <c r="Q64" i="50"/>
  <c r="Q118" i="50"/>
  <c r="Q136" i="50"/>
  <c r="Q19" i="50"/>
  <c r="Q16" i="50"/>
  <c r="Q72" i="50"/>
  <c r="Q110" i="50"/>
  <c r="Q57" i="50"/>
  <c r="Q55" i="50"/>
  <c r="Q120" i="50"/>
  <c r="X30" i="50"/>
  <c r="H30" i="49"/>
  <c r="P30" i="49" s="1"/>
  <c r="H30" i="50"/>
  <c r="X122" i="50"/>
  <c r="H122" i="50"/>
  <c r="H79" i="50"/>
  <c r="X79" i="50"/>
  <c r="J24" i="49"/>
  <c r="S24" i="49" s="1"/>
  <c r="L24" i="50"/>
  <c r="J134" i="49"/>
  <c r="L134" i="50"/>
  <c r="X108" i="50"/>
  <c r="H108" i="50"/>
  <c r="X35" i="50"/>
  <c r="H35" i="49"/>
  <c r="P35" i="49" s="1"/>
  <c r="H35" i="50"/>
  <c r="H133" i="50"/>
  <c r="X133" i="50"/>
  <c r="J95" i="49"/>
  <c r="S95" i="49" s="1"/>
  <c r="L95" i="50"/>
  <c r="L83" i="50"/>
  <c r="J83" i="49"/>
  <c r="S83" i="49" s="1"/>
  <c r="X52" i="50"/>
  <c r="H52" i="49"/>
  <c r="P52" i="49" s="1"/>
  <c r="H52" i="50"/>
  <c r="H135" i="50"/>
  <c r="X135" i="50"/>
  <c r="H46" i="50"/>
  <c r="H46" i="49"/>
  <c r="P46" i="49" s="1"/>
  <c r="X46" i="50"/>
  <c r="J46" i="49"/>
  <c r="S46" i="49" s="1"/>
  <c r="L46" i="50"/>
  <c r="L62" i="50"/>
  <c r="J62" i="49"/>
  <c r="S62" i="49" s="1"/>
  <c r="J80" i="49"/>
  <c r="S80" i="49" s="1"/>
  <c r="L80" i="50"/>
  <c r="H132" i="50"/>
  <c r="X132" i="50"/>
  <c r="H89" i="50"/>
  <c r="X89" i="50"/>
  <c r="X17" i="50"/>
  <c r="H17" i="50"/>
  <c r="H17" i="49"/>
  <c r="P17" i="49" s="1"/>
  <c r="H127" i="50"/>
  <c r="X127" i="50"/>
  <c r="L26" i="50"/>
  <c r="J26" i="49"/>
  <c r="S26" i="49" s="1"/>
  <c r="H103" i="50"/>
  <c r="X103" i="50"/>
  <c r="X82" i="50"/>
  <c r="H82" i="50"/>
  <c r="X138" i="50"/>
  <c r="H138" i="50"/>
  <c r="H101" i="50"/>
  <c r="X101" i="50"/>
  <c r="L103" i="50"/>
  <c r="J103" i="49"/>
  <c r="S103" i="49" s="1"/>
  <c r="H14" i="49"/>
  <c r="P14" i="49" s="1"/>
  <c r="X14" i="50"/>
  <c r="H14" i="50"/>
  <c r="J27" i="49"/>
  <c r="S27" i="49" s="1"/>
  <c r="L27" i="50"/>
  <c r="U80" i="50"/>
  <c r="U116" i="50"/>
  <c r="U82" i="50"/>
  <c r="U48" i="50"/>
  <c r="U113" i="50"/>
  <c r="U66" i="50"/>
  <c r="U75" i="50"/>
  <c r="U72" i="50"/>
  <c r="U49" i="50"/>
  <c r="U89" i="50"/>
  <c r="U70" i="50"/>
  <c r="U87" i="50"/>
  <c r="U77" i="50"/>
  <c r="U41" i="50"/>
  <c r="U109" i="50"/>
  <c r="U25" i="50"/>
  <c r="H64" i="50"/>
  <c r="X64" i="50"/>
  <c r="H100" i="50"/>
  <c r="X100" i="50"/>
  <c r="H21" i="49"/>
  <c r="P21" i="49" s="1"/>
  <c r="H21" i="50"/>
  <c r="X21" i="50"/>
  <c r="H77" i="50"/>
  <c r="X77" i="50"/>
  <c r="J51" i="49"/>
  <c r="S51" i="49" s="1"/>
  <c r="L51" i="50"/>
  <c r="L81" i="50"/>
  <c r="J81" i="49"/>
  <c r="S81" i="49" s="1"/>
  <c r="H58" i="49"/>
  <c r="P58" i="49" s="1"/>
  <c r="H58" i="50"/>
  <c r="X58" i="50"/>
  <c r="X83" i="50"/>
  <c r="H83" i="50"/>
  <c r="H109" i="50"/>
  <c r="X109" i="50"/>
  <c r="X68" i="50"/>
  <c r="H68" i="50"/>
  <c r="J123" i="49"/>
  <c r="S123" i="49" s="1"/>
  <c r="L123" i="50"/>
  <c r="Q46" i="50"/>
  <c r="Q112" i="50"/>
  <c r="Q18" i="50"/>
  <c r="Q45" i="50"/>
  <c r="Q31" i="50"/>
  <c r="Q37" i="50"/>
  <c r="Q56" i="50"/>
  <c r="Q77" i="50"/>
  <c r="Q117" i="50"/>
  <c r="Q103" i="50"/>
  <c r="Q96" i="50"/>
  <c r="Q29" i="50"/>
  <c r="Q67" i="50"/>
  <c r="Q35" i="50"/>
  <c r="X20" i="50"/>
  <c r="H20" i="49"/>
  <c r="P20" i="49" s="1"/>
  <c r="H20" i="50"/>
  <c r="H71" i="50"/>
  <c r="X71" i="50"/>
  <c r="H19" i="49"/>
  <c r="P19" i="49" s="1"/>
  <c r="X19" i="50"/>
  <c r="H19" i="50"/>
  <c r="H119" i="50"/>
  <c r="X119" i="50"/>
  <c r="X45" i="50"/>
  <c r="H45" i="50"/>
  <c r="H45" i="49"/>
  <c r="P45" i="49" s="1"/>
  <c r="J65" i="49"/>
  <c r="S65" i="49" s="1"/>
  <c r="L65" i="50"/>
  <c r="L45" i="50"/>
  <c r="J45" i="49"/>
  <c r="S45" i="49" s="1"/>
  <c r="J127" i="49"/>
  <c r="S127" i="49" s="1"/>
  <c r="L127" i="50"/>
  <c r="L138" i="50"/>
  <c r="J138" i="49"/>
  <c r="J73" i="49"/>
  <c r="S73" i="49" s="1"/>
  <c r="L73" i="50"/>
  <c r="J14" i="49"/>
  <c r="S14" i="49" s="1"/>
  <c r="L14" i="50"/>
  <c r="U117" i="50"/>
  <c r="U56" i="50"/>
  <c r="U103" i="50"/>
  <c r="U62" i="50"/>
  <c r="U127" i="50"/>
  <c r="U107" i="50"/>
  <c r="U35" i="50"/>
  <c r="U19" i="50"/>
  <c r="U105" i="50"/>
  <c r="U106" i="50"/>
  <c r="U60" i="50"/>
  <c r="U51" i="50"/>
  <c r="U55" i="50"/>
  <c r="U64" i="50"/>
  <c r="U24" i="50"/>
  <c r="Q51" i="50"/>
  <c r="Q92" i="50"/>
  <c r="Q79" i="50"/>
  <c r="Q34" i="50"/>
  <c r="Q107" i="50"/>
  <c r="Q30" i="50"/>
  <c r="Q21" i="50"/>
  <c r="Q94" i="50"/>
  <c r="Q105" i="50"/>
  <c r="Q36" i="50"/>
  <c r="Q66" i="50"/>
  <c r="Q108" i="50"/>
  <c r="Q134" i="50"/>
  <c r="Q48" i="50"/>
  <c r="Q24" i="50"/>
  <c r="H32" i="50"/>
  <c r="X32" i="50"/>
  <c r="H32" i="49"/>
  <c r="P32" i="49" s="1"/>
  <c r="H78" i="50"/>
  <c r="X78" i="50"/>
  <c r="H60" i="49"/>
  <c r="P60" i="49" s="1"/>
  <c r="H60" i="50"/>
  <c r="X60" i="50"/>
  <c r="H113" i="50"/>
  <c r="X113" i="50"/>
  <c r="J100" i="49"/>
  <c r="S100" i="49" s="1"/>
  <c r="L100" i="50"/>
  <c r="X116" i="50"/>
  <c r="H116" i="50"/>
  <c r="H93" i="50"/>
  <c r="X93" i="50"/>
  <c r="X99" i="50"/>
  <c r="H99" i="50"/>
  <c r="X94" i="50"/>
  <c r="H94" i="50"/>
  <c r="L77" i="50"/>
  <c r="J77" i="49"/>
  <c r="S77" i="49" s="1"/>
  <c r="J96" i="49"/>
  <c r="S96" i="49" s="1"/>
  <c r="L96" i="50"/>
  <c r="J33" i="49"/>
  <c r="S33" i="49" s="1"/>
  <c r="L33" i="50"/>
  <c r="H26" i="49"/>
  <c r="P26" i="49" s="1"/>
  <c r="H26" i="50"/>
  <c r="X26" i="50"/>
  <c r="H22" i="50"/>
  <c r="X22" i="50"/>
  <c r="H22" i="49"/>
  <c r="P22" i="49" s="1"/>
  <c r="H44" i="49"/>
  <c r="P44" i="49" s="1"/>
  <c r="H44" i="50"/>
  <c r="X44" i="50"/>
  <c r="H80" i="50"/>
  <c r="X80" i="50"/>
  <c r="J44" i="49"/>
  <c r="S44" i="49" s="1"/>
  <c r="L44" i="50"/>
  <c r="J139" i="49"/>
  <c r="L139" i="50"/>
  <c r="J75" i="49"/>
  <c r="S75" i="49" s="1"/>
  <c r="L75" i="50"/>
  <c r="H98" i="50"/>
  <c r="X98" i="50"/>
  <c r="H42" i="49"/>
  <c r="P42" i="49" s="1"/>
  <c r="H42" i="50"/>
  <c r="X42" i="50"/>
  <c r="H61" i="50"/>
  <c r="X61" i="50"/>
  <c r="H61" i="49"/>
  <c r="P61" i="49" s="1"/>
  <c r="J56" i="49"/>
  <c r="S56" i="49" s="1"/>
  <c r="L56" i="50"/>
  <c r="J82" i="49"/>
  <c r="S82" i="49" s="1"/>
  <c r="L82" i="50"/>
  <c r="H27" i="49"/>
  <c r="P27" i="49" s="1"/>
  <c r="H27" i="50"/>
  <c r="X27" i="50"/>
  <c r="H75" i="50"/>
  <c r="X75" i="50"/>
  <c r="H57" i="50"/>
  <c r="H57" i="49"/>
  <c r="P57" i="49" s="1"/>
  <c r="X57" i="50"/>
  <c r="H139" i="50"/>
  <c r="X139" i="50"/>
  <c r="L102" i="50"/>
  <c r="J102" i="49"/>
  <c r="S102" i="49" s="1"/>
  <c r="H31" i="49"/>
  <c r="P31" i="49" s="1"/>
  <c r="H31" i="50"/>
  <c r="X31" i="50"/>
  <c r="U22" i="50"/>
  <c r="U131" i="50"/>
  <c r="U128" i="50"/>
  <c r="U115" i="50"/>
  <c r="U67" i="50"/>
  <c r="U83" i="50"/>
  <c r="U34" i="50"/>
  <c r="U112" i="50"/>
  <c r="U91" i="50"/>
  <c r="U44" i="50"/>
  <c r="U124" i="50"/>
  <c r="U16" i="50"/>
  <c r="U92" i="50"/>
  <c r="U33" i="50"/>
  <c r="U71" i="50"/>
  <c r="X136" i="50"/>
  <c r="H136" i="50"/>
  <c r="H102" i="50"/>
  <c r="X102" i="50"/>
  <c r="H74" i="50"/>
  <c r="X74" i="50"/>
  <c r="H47" i="49"/>
  <c r="P47" i="49" s="1"/>
  <c r="X47" i="50"/>
  <c r="H47" i="50"/>
  <c r="J39" i="49"/>
  <c r="S39" i="49" s="1"/>
  <c r="L39" i="50"/>
  <c r="H104" i="50"/>
  <c r="X104" i="50"/>
  <c r="H16" i="49"/>
  <c r="P16" i="49" s="1"/>
  <c r="X16" i="50"/>
  <c r="H16" i="50"/>
  <c r="X67" i="50"/>
  <c r="H67" i="50"/>
  <c r="J31" i="49"/>
  <c r="S31" i="49" s="1"/>
  <c r="L31" i="50"/>
  <c r="L131" i="50"/>
  <c r="J131" i="49"/>
  <c r="S131" i="49" s="1"/>
  <c r="L48" i="50"/>
  <c r="J48" i="49"/>
  <c r="S48" i="49" s="1"/>
  <c r="Q32" i="50"/>
  <c r="Q14" i="50"/>
  <c r="Q133" i="50"/>
  <c r="Q33" i="50"/>
  <c r="Q81" i="50"/>
  <c r="Q58" i="50"/>
  <c r="Q114" i="50"/>
  <c r="Q127" i="50"/>
  <c r="Q89" i="50"/>
  <c r="Q106" i="50"/>
  <c r="Q119" i="50"/>
  <c r="Q75" i="50"/>
  <c r="Q137" i="50"/>
  <c r="Q116" i="50"/>
  <c r="Q97" i="50"/>
  <c r="AA7" i="56" s="1"/>
  <c r="AD7" i="56" s="1"/>
  <c r="H91" i="50"/>
  <c r="X91" i="50"/>
  <c r="J137" i="49"/>
  <c r="L137" i="50"/>
  <c r="U58" i="50"/>
  <c r="U42" i="50"/>
  <c r="U21" i="50"/>
  <c r="U99" i="50"/>
  <c r="U79" i="50"/>
  <c r="U102" i="50"/>
  <c r="U31" i="50"/>
  <c r="U39" i="50"/>
  <c r="U104" i="50"/>
  <c r="U52" i="50"/>
  <c r="U36" i="50"/>
  <c r="U37" i="50"/>
  <c r="Q128" i="50"/>
  <c r="Q42" i="50"/>
  <c r="Q91" i="50"/>
  <c r="Q17" i="50"/>
  <c r="Q124" i="50"/>
  <c r="Q111" i="50"/>
  <c r="Q113" i="50"/>
  <c r="Q60" i="50"/>
  <c r="Q80" i="50"/>
  <c r="Q70" i="50"/>
  <c r="Q39" i="50"/>
  <c r="Q47" i="50"/>
  <c r="Q68" i="50"/>
  <c r="Q101" i="50"/>
  <c r="Q138" i="50"/>
  <c r="H130" i="50"/>
  <c r="X130" i="50"/>
  <c r="X131" i="50"/>
  <c r="H131" i="50"/>
  <c r="H62" i="49"/>
  <c r="P62" i="49" s="1"/>
  <c r="H62" i="50"/>
  <c r="X62" i="50"/>
  <c r="H81" i="50"/>
  <c r="X81" i="50"/>
  <c r="L98" i="50"/>
  <c r="J98" i="49"/>
  <c r="S98" i="49" s="1"/>
  <c r="J21" i="49"/>
  <c r="S21" i="49" s="1"/>
  <c r="L21" i="50"/>
  <c r="J32" i="49"/>
  <c r="S32" i="49" s="1"/>
  <c r="L32" i="50"/>
  <c r="H48" i="50"/>
  <c r="H48" i="49"/>
  <c r="P48" i="49" s="1"/>
  <c r="X48" i="50"/>
  <c r="X118" i="50"/>
  <c r="H118" i="50"/>
  <c r="H117" i="50"/>
  <c r="X117" i="50"/>
  <c r="J25" i="49"/>
  <c r="S25" i="49" s="1"/>
  <c r="L25" i="50"/>
  <c r="L99" i="50"/>
  <c r="J99" i="49"/>
  <c r="S99" i="49" s="1"/>
  <c r="J50" i="49"/>
  <c r="S50" i="49" s="1"/>
  <c r="L50" i="50"/>
  <c r="L42" i="50"/>
  <c r="J42" i="49"/>
  <c r="S42" i="49" s="1"/>
  <c r="H40" i="49"/>
  <c r="P40" i="49" s="1"/>
  <c r="H40" i="50"/>
  <c r="X40" i="50"/>
  <c r="H28" i="50"/>
  <c r="H28" i="49"/>
  <c r="P28" i="49" s="1"/>
  <c r="X28" i="50"/>
  <c r="H36" i="49"/>
  <c r="P36" i="49" s="1"/>
  <c r="H36" i="50"/>
  <c r="X36" i="50"/>
  <c r="H137" i="50"/>
  <c r="X137" i="50"/>
  <c r="L135" i="50"/>
  <c r="J135" i="49"/>
  <c r="J133" i="49"/>
  <c r="S133" i="49" s="1"/>
  <c r="L133" i="50"/>
  <c r="H72" i="50"/>
  <c r="X72" i="50"/>
  <c r="H51" i="50"/>
  <c r="H51" i="49"/>
  <c r="P51" i="49" s="1"/>
  <c r="X51" i="50"/>
  <c r="H105" i="50"/>
  <c r="X105" i="50"/>
  <c r="H114" i="50"/>
  <c r="X114" i="50"/>
  <c r="H70" i="50"/>
  <c r="X70" i="50"/>
  <c r="H126" i="50"/>
  <c r="X126" i="50"/>
  <c r="J61" i="49"/>
  <c r="S61" i="49" s="1"/>
  <c r="L61" i="50"/>
  <c r="L74" i="50"/>
  <c r="J74" i="49"/>
  <c r="S74" i="49" s="1"/>
  <c r="J94" i="49"/>
  <c r="S94" i="49" s="1"/>
  <c r="L94" i="50"/>
  <c r="X59" i="50"/>
  <c r="H59" i="50"/>
  <c r="H59" i="49"/>
  <c r="P59" i="49" s="1"/>
  <c r="J120" i="49"/>
  <c r="S120" i="49" s="1"/>
  <c r="L120" i="50"/>
  <c r="L113" i="50"/>
  <c r="J113" i="49"/>
  <c r="S113" i="49" s="1"/>
  <c r="U86" i="50"/>
  <c r="U135" i="50"/>
  <c r="U100" i="50"/>
  <c r="U84" i="50"/>
  <c r="U76" i="50"/>
  <c r="U98" i="50"/>
  <c r="AA8" i="63" s="1"/>
  <c r="AD8" i="63" s="1"/>
  <c r="U20" i="50"/>
  <c r="U114" i="50"/>
  <c r="U46" i="50"/>
  <c r="U54" i="50"/>
  <c r="U110" i="50"/>
  <c r="U120" i="50"/>
  <c r="U30" i="50"/>
  <c r="U17" i="50"/>
  <c r="U138" i="50"/>
  <c r="U59" i="50"/>
  <c r="L84" i="50"/>
  <c r="J84" i="49"/>
  <c r="S84" i="49" s="1"/>
  <c r="X65" i="50"/>
  <c r="H65" i="50"/>
  <c r="H39" i="50"/>
  <c r="H39" i="49"/>
  <c r="P39" i="49" s="1"/>
  <c r="X39" i="50"/>
  <c r="H124" i="50"/>
  <c r="X124" i="50"/>
  <c r="J64" i="49"/>
  <c r="S64" i="49" s="1"/>
  <c r="L64" i="50"/>
  <c r="H24" i="49"/>
  <c r="P24" i="49" s="1"/>
  <c r="H24" i="50"/>
  <c r="X24" i="50"/>
  <c r="X87" i="50"/>
  <c r="H87" i="50"/>
  <c r="H85" i="50"/>
  <c r="X85" i="50"/>
  <c r="H86" i="50"/>
  <c r="X86" i="50"/>
  <c r="J41" i="49"/>
  <c r="S41" i="49" s="1"/>
  <c r="L41" i="50"/>
  <c r="J107" i="49"/>
  <c r="S107" i="49" s="1"/>
  <c r="L107" i="50"/>
  <c r="Q85" i="50"/>
  <c r="Q41" i="50"/>
  <c r="Q82" i="50"/>
  <c r="Q62" i="50"/>
  <c r="Q44" i="50"/>
  <c r="Q102" i="50"/>
  <c r="Q84" i="50"/>
  <c r="Q83" i="50"/>
  <c r="Q54" i="50"/>
  <c r="Q52" i="50"/>
  <c r="Q40" i="50"/>
  <c r="Q131" i="50"/>
  <c r="Q135" i="50"/>
  <c r="Q61" i="50"/>
  <c r="Q25" i="50"/>
  <c r="H125" i="50"/>
  <c r="X125" i="50"/>
  <c r="X18" i="50"/>
  <c r="H18" i="49"/>
  <c r="P18" i="49" s="1"/>
  <c r="H18" i="50"/>
  <c r="H121" i="50"/>
  <c r="X121" i="50"/>
  <c r="X37" i="50"/>
  <c r="H37" i="50"/>
  <c r="H37" i="49"/>
  <c r="P37" i="49" s="1"/>
  <c r="H76" i="50"/>
  <c r="X76" i="50"/>
  <c r="J76" i="49"/>
  <c r="S76" i="49" s="1"/>
  <c r="L76" i="50"/>
  <c r="L58" i="50"/>
  <c r="J58" i="49"/>
  <c r="S58" i="49" s="1"/>
  <c r="U93" i="50"/>
  <c r="U132" i="50"/>
  <c r="U111" i="50"/>
  <c r="U81" i="50"/>
  <c r="U137" i="50"/>
  <c r="U94" i="50"/>
  <c r="U73" i="50"/>
  <c r="U108" i="50"/>
  <c r="U123" i="50"/>
  <c r="U74" i="50"/>
  <c r="U119" i="50"/>
  <c r="U136" i="50"/>
  <c r="U95" i="50"/>
  <c r="U118" i="50"/>
  <c r="Q59" i="50"/>
  <c r="Q104" i="50"/>
  <c r="Q86" i="50"/>
  <c r="Q109" i="50"/>
  <c r="Q74" i="50"/>
  <c r="Q22" i="50"/>
  <c r="Q50" i="50"/>
  <c r="Q78" i="50"/>
  <c r="Q100" i="50"/>
  <c r="Q123" i="50"/>
  <c r="Q87" i="50"/>
  <c r="Q26" i="50"/>
  <c r="Q139" i="50"/>
  <c r="Q98" i="50"/>
  <c r="AA7" i="63" s="1"/>
  <c r="AD7" i="63" s="1"/>
  <c r="Q71" i="50"/>
  <c r="H95" i="50"/>
  <c r="X95" i="50"/>
  <c r="H55" i="50"/>
  <c r="H55" i="49"/>
  <c r="P55" i="49" s="1"/>
  <c r="X55" i="50"/>
  <c r="H92" i="50"/>
  <c r="X92" i="50"/>
  <c r="H134" i="50"/>
  <c r="X134" i="50"/>
  <c r="J20" i="49"/>
  <c r="S20" i="49" s="1"/>
  <c r="L20" i="50"/>
  <c r="L47" i="50"/>
  <c r="J47" i="49"/>
  <c r="S47" i="49" s="1"/>
  <c r="X29" i="50"/>
  <c r="H29" i="50"/>
  <c r="H29" i="49"/>
  <c r="P29" i="49" s="1"/>
  <c r="H49" i="50"/>
  <c r="H49" i="49"/>
  <c r="P49" i="49" s="1"/>
  <c r="X49" i="50"/>
  <c r="H88" i="50"/>
  <c r="X88" i="50"/>
  <c r="L119" i="50"/>
  <c r="J119" i="49"/>
  <c r="S119" i="49" s="1"/>
  <c r="L106" i="50"/>
  <c r="J106" i="49"/>
  <c r="S106" i="49" s="1"/>
  <c r="L124" i="50"/>
  <c r="J124" i="49"/>
  <c r="S124" i="49" s="1"/>
  <c r="L67" i="50"/>
  <c r="J67" i="49"/>
  <c r="S67" i="49" s="1"/>
  <c r="L60" i="50"/>
  <c r="J60" i="49"/>
  <c r="S60" i="49" s="1"/>
  <c r="H66" i="50"/>
  <c r="X66" i="50"/>
  <c r="H106" i="50"/>
  <c r="X106" i="50"/>
  <c r="X54" i="50"/>
  <c r="H54" i="49"/>
  <c r="P54" i="49" s="1"/>
  <c r="H54" i="50"/>
  <c r="J97" i="49"/>
  <c r="S97" i="49" s="1"/>
  <c r="L97" i="50"/>
  <c r="J136" i="49"/>
  <c r="L136" i="50"/>
  <c r="J66" i="49"/>
  <c r="S66" i="49" s="1"/>
  <c r="L66" i="50"/>
  <c r="L117" i="50"/>
  <c r="J117" i="49"/>
  <c r="S117" i="49" s="1"/>
  <c r="H111" i="50"/>
  <c r="X111" i="50"/>
  <c r="H107" i="50"/>
  <c r="X107" i="50"/>
  <c r="H34" i="50"/>
  <c r="H34" i="49"/>
  <c r="P34" i="49" s="1"/>
  <c r="X34" i="50"/>
  <c r="X73" i="50"/>
  <c r="H73" i="50"/>
  <c r="L19" i="50"/>
  <c r="J19" i="49"/>
  <c r="S19" i="49" s="1"/>
  <c r="J126" i="49"/>
  <c r="S126" i="49" s="1"/>
  <c r="L126" i="50"/>
  <c r="H120" i="50"/>
  <c r="X120" i="50"/>
  <c r="H56" i="49"/>
  <c r="P56" i="49" s="1"/>
  <c r="H56" i="50"/>
  <c r="X56" i="50"/>
  <c r="H123" i="50"/>
  <c r="X123" i="50"/>
  <c r="J16" i="49"/>
  <c r="S16" i="49" s="1"/>
  <c r="L16" i="50"/>
  <c r="J54" i="49"/>
  <c r="S54" i="49" s="1"/>
  <c r="L54" i="50"/>
  <c r="J35" i="49" l="1"/>
  <c r="S35" i="49" s="1"/>
  <c r="I21" i="64"/>
  <c r="Q21" i="64" s="1"/>
  <c r="L55" i="50"/>
  <c r="I38" i="64"/>
  <c r="Q38" i="64" s="1"/>
  <c r="J78" i="49"/>
  <c r="S78" i="49" s="1"/>
  <c r="I59" i="64"/>
  <c r="Q59" i="64" s="1"/>
  <c r="J59" i="49"/>
  <c r="S59" i="49" s="1"/>
  <c r="I42" i="64"/>
  <c r="Q42" i="64" s="1"/>
  <c r="J52" i="49"/>
  <c r="S52" i="49" s="1"/>
  <c r="I36" i="64"/>
  <c r="Q36" i="64" s="1"/>
  <c r="L104" i="50"/>
  <c r="I83" i="64"/>
  <c r="Q83" i="64" s="1"/>
  <c r="J116" i="49"/>
  <c r="S116" i="49" s="1"/>
  <c r="I95" i="64"/>
  <c r="Q95" i="64" s="1"/>
  <c r="L101" i="50"/>
  <c r="I80" i="64"/>
  <c r="Q80" i="64" s="1"/>
  <c r="J37" i="49"/>
  <c r="S37" i="49" s="1"/>
  <c r="I23" i="64"/>
  <c r="Q23" i="64" s="1"/>
  <c r="J93" i="49"/>
  <c r="S93" i="49" s="1"/>
  <c r="I73" i="64"/>
  <c r="Q73" i="64" s="1"/>
  <c r="L79" i="50"/>
  <c r="I60" i="64"/>
  <c r="Q60" i="64" s="1"/>
  <c r="J121" i="49"/>
  <c r="S121" i="49" s="1"/>
  <c r="I100" i="64"/>
  <c r="Q100" i="64" s="1"/>
  <c r="J88" i="49"/>
  <c r="S88" i="49" s="1"/>
  <c r="I69" i="64"/>
  <c r="Q69" i="64" s="1"/>
  <c r="J22" i="49"/>
  <c r="S22" i="49" s="1"/>
  <c r="I9" i="64"/>
  <c r="Q9" i="64" s="1"/>
  <c r="J132" i="49"/>
  <c r="S132" i="49" s="1"/>
  <c r="I110" i="64"/>
  <c r="Q110" i="64" s="1"/>
  <c r="J112" i="49"/>
  <c r="S112" i="49" s="1"/>
  <c r="I91" i="64"/>
  <c r="Q91" i="64" s="1"/>
  <c r="J40" i="49"/>
  <c r="S40" i="49" s="1"/>
  <c r="I25" i="64"/>
  <c r="Q25" i="64" s="1"/>
  <c r="J114" i="49"/>
  <c r="S114" i="49" s="1"/>
  <c r="I93" i="64"/>
  <c r="Q93" i="64" s="1"/>
  <c r="J72" i="49"/>
  <c r="S72" i="49" s="1"/>
  <c r="I53" i="64"/>
  <c r="Q53" i="64" s="1"/>
  <c r="J29" i="49"/>
  <c r="S29" i="49" s="1"/>
  <c r="I15" i="64"/>
  <c r="Q15" i="64" s="1"/>
  <c r="L36" i="50"/>
  <c r="I22" i="64"/>
  <c r="Q22" i="64" s="1"/>
  <c r="J85" i="49"/>
  <c r="S85" i="49" s="1"/>
  <c r="I66" i="64"/>
  <c r="Q66" i="64" s="1"/>
  <c r="J128" i="49"/>
  <c r="S128" i="49" s="1"/>
  <c r="I107" i="64"/>
  <c r="Q107" i="64" s="1"/>
  <c r="L86" i="50"/>
  <c r="I67" i="64"/>
  <c r="Q67" i="64" s="1"/>
  <c r="J18" i="49"/>
  <c r="S18" i="49" s="1"/>
  <c r="I5" i="64"/>
  <c r="Q5" i="64" s="1"/>
  <c r="L17" i="50"/>
  <c r="I4" i="64"/>
  <c r="Q4" i="64" s="1"/>
  <c r="J89" i="49"/>
  <c r="S89" i="49" s="1"/>
  <c r="I70" i="64"/>
  <c r="Q70" i="64" s="1"/>
  <c r="L110" i="50"/>
  <c r="I89" i="64"/>
  <c r="Q89" i="64" s="1"/>
  <c r="L105" i="50"/>
  <c r="I84" i="64"/>
  <c r="Q84" i="64" s="1"/>
  <c r="L115" i="50"/>
  <c r="I94" i="64"/>
  <c r="Q94" i="64" s="1"/>
  <c r="J34" i="49"/>
  <c r="S34" i="49" s="1"/>
  <c r="I20" i="64"/>
  <c r="Q20" i="64" s="1"/>
  <c r="J57" i="49"/>
  <c r="S57" i="49" s="1"/>
  <c r="I40" i="64"/>
  <c r="Q40" i="64" s="1"/>
  <c r="L108" i="50"/>
  <c r="I87" i="64"/>
  <c r="Q87" i="64" s="1"/>
  <c r="J49" i="49"/>
  <c r="S49" i="49" s="1"/>
  <c r="I33" i="64"/>
  <c r="Q33" i="64" s="1"/>
  <c r="J111" i="49"/>
  <c r="S111" i="49" s="1"/>
  <c r="L122" i="50"/>
  <c r="I101" i="64"/>
  <c r="Q101" i="64" s="1"/>
  <c r="L118" i="50"/>
  <c r="I97" i="64"/>
  <c r="Q97" i="64" s="1"/>
  <c r="J130" i="49"/>
  <c r="S130" i="49" s="1"/>
  <c r="I108" i="64"/>
  <c r="Q108" i="64" s="1"/>
  <c r="L28" i="50"/>
  <c r="I14" i="64"/>
  <c r="Q14" i="64" s="1"/>
  <c r="L68" i="50"/>
  <c r="I50" i="64"/>
  <c r="Q50" i="64" s="1"/>
  <c r="L91" i="50"/>
  <c r="I71" i="64"/>
  <c r="Q71" i="64" s="1"/>
  <c r="J109" i="49"/>
  <c r="S109" i="49" s="1"/>
  <c r="I88" i="64"/>
  <c r="Q88" i="64" s="1"/>
  <c r="F8" i="56"/>
  <c r="I8" i="56" s="1"/>
  <c r="F8" i="63"/>
  <c r="I8" i="63" s="1"/>
  <c r="F7" i="56"/>
  <c r="I7" i="56" s="1"/>
  <c r="F7" i="63"/>
  <c r="I7" i="63" s="1"/>
  <c r="T7" i="56"/>
  <c r="W7" i="56" s="1"/>
  <c r="T7" i="63"/>
  <c r="W7" i="63" s="1"/>
  <c r="T8" i="56"/>
  <c r="W8" i="56" s="1"/>
  <c r="T8" i="63"/>
  <c r="W8" i="63" s="1"/>
  <c r="M7" i="56"/>
  <c r="P7" i="56" s="1"/>
  <c r="M7" i="63"/>
  <c r="P7" i="63" s="1"/>
  <c r="M8" i="56"/>
  <c r="P8" i="56" s="1"/>
  <c r="M8" i="63"/>
  <c r="P8" i="63" s="1"/>
  <c r="F6" i="56"/>
  <c r="I6" i="56" s="1"/>
  <c r="F6" i="63"/>
  <c r="I6" i="63" s="1"/>
  <c r="T6" i="56"/>
  <c r="W6" i="56" s="1"/>
  <c r="T6" i="63"/>
  <c r="W6" i="63" s="1"/>
  <c r="M6" i="56"/>
  <c r="P6" i="56" s="1"/>
  <c r="M6" i="63"/>
  <c r="P6" i="63" s="1"/>
  <c r="L40" i="50"/>
  <c r="L112" i="50"/>
  <c r="L128" i="50"/>
  <c r="L57" i="50"/>
  <c r="L72" i="50"/>
  <c r="J17" i="49"/>
  <c r="S17" i="49" s="1"/>
  <c r="L89" i="50"/>
  <c r="L114" i="50"/>
  <c r="J28" i="49"/>
  <c r="S28" i="49" s="1"/>
  <c r="L111" i="50"/>
  <c r="L59" i="50"/>
  <c r="J105" i="49"/>
  <c r="S105" i="49" s="1"/>
  <c r="J101" i="49"/>
  <c r="S101" i="49" s="1"/>
  <c r="L132" i="50"/>
  <c r="L18" i="50"/>
  <c r="J122" i="49"/>
  <c r="S122" i="49" s="1"/>
  <c r="L93" i="50"/>
  <c r="L35" i="50"/>
  <c r="J118" i="49"/>
  <c r="S118" i="49" s="1"/>
  <c r="L34" i="50"/>
  <c r="L37" i="50"/>
  <c r="J115" i="49"/>
  <c r="S115" i="49" s="1"/>
  <c r="L22" i="50"/>
  <c r="L85" i="50"/>
  <c r="L109" i="50"/>
  <c r="L78" i="50"/>
  <c r="L130" i="50"/>
  <c r="J91" i="49"/>
  <c r="S91" i="49" s="1"/>
  <c r="J110" i="49"/>
  <c r="S110" i="49" s="1"/>
  <c r="J104" i="49"/>
  <c r="S104" i="49" s="1"/>
  <c r="L29" i="50"/>
  <c r="J55" i="49"/>
  <c r="S55" i="49" s="1"/>
  <c r="J79" i="49"/>
  <c r="S79" i="49" s="1"/>
  <c r="J68" i="49"/>
  <c r="S68" i="49" s="1"/>
  <c r="L52" i="50"/>
  <c r="J86" i="49"/>
  <c r="S86" i="49" s="1"/>
  <c r="J108" i="49"/>
  <c r="S108" i="49" s="1"/>
  <c r="J36" i="49"/>
  <c r="S36" i="49" s="1"/>
  <c r="L88" i="50"/>
  <c r="L121" i="50"/>
  <c r="L116" i="50"/>
  <c r="L49" i="50"/>
  <c r="P87" i="50"/>
  <c r="L87" i="49"/>
  <c r="U87" i="49" s="1"/>
  <c r="P50" i="50"/>
  <c r="L50" i="49"/>
  <c r="U50" i="49" s="1"/>
  <c r="P86" i="50"/>
  <c r="L86" i="49"/>
  <c r="U86" i="49" s="1"/>
  <c r="N95" i="49"/>
  <c r="W95" i="49" s="1"/>
  <c r="T95" i="50"/>
  <c r="N123" i="49"/>
  <c r="W123" i="49" s="1"/>
  <c r="T123" i="50"/>
  <c r="N137" i="49"/>
  <c r="W137" i="49" s="1"/>
  <c r="T137" i="50"/>
  <c r="N93" i="49"/>
  <c r="W93" i="49" s="1"/>
  <c r="T93" i="50"/>
  <c r="P131" i="50"/>
  <c r="L131" i="49"/>
  <c r="U131" i="49" s="1"/>
  <c r="L83" i="49"/>
  <c r="U83" i="49" s="1"/>
  <c r="P83" i="50"/>
  <c r="L62" i="49"/>
  <c r="U62" i="49" s="1"/>
  <c r="P62" i="50"/>
  <c r="L68" i="49"/>
  <c r="U68" i="49" s="1"/>
  <c r="P68" i="50"/>
  <c r="L80" i="49"/>
  <c r="U80" i="49" s="1"/>
  <c r="P80" i="50"/>
  <c r="P124" i="50"/>
  <c r="L124" i="49"/>
  <c r="U124" i="49" s="1"/>
  <c r="P128" i="50"/>
  <c r="L128" i="49"/>
  <c r="U128" i="49" s="1"/>
  <c r="N104" i="49"/>
  <c r="W104" i="49" s="1"/>
  <c r="T104" i="50"/>
  <c r="N79" i="49"/>
  <c r="W79" i="49" s="1"/>
  <c r="T79" i="50"/>
  <c r="N58" i="49"/>
  <c r="W58" i="49" s="1"/>
  <c r="T58" i="50"/>
  <c r="L75" i="49"/>
  <c r="U75" i="49" s="1"/>
  <c r="P75" i="50"/>
  <c r="L127" i="49"/>
  <c r="U127" i="49" s="1"/>
  <c r="P127" i="50"/>
  <c r="L33" i="49"/>
  <c r="U33" i="49" s="1"/>
  <c r="P33" i="50"/>
  <c r="T92" i="50"/>
  <c r="N92" i="49"/>
  <c r="W92" i="49" s="1"/>
  <c r="N91" i="49"/>
  <c r="W91" i="49" s="1"/>
  <c r="T91" i="50"/>
  <c r="N67" i="49"/>
  <c r="W67" i="49" s="1"/>
  <c r="T67" i="50"/>
  <c r="N22" i="49"/>
  <c r="W22" i="49" s="1"/>
  <c r="T22" i="50"/>
  <c r="P48" i="50"/>
  <c r="L48" i="49"/>
  <c r="U48" i="49" s="1"/>
  <c r="P36" i="50"/>
  <c r="L36" i="49"/>
  <c r="U36" i="49" s="1"/>
  <c r="P30" i="50"/>
  <c r="L30" i="49"/>
  <c r="U30" i="49" s="1"/>
  <c r="P92" i="50"/>
  <c r="L92" i="49"/>
  <c r="U92" i="49" s="1"/>
  <c r="N55" i="49"/>
  <c r="W55" i="49" s="1"/>
  <c r="T55" i="50"/>
  <c r="N105" i="49"/>
  <c r="W105" i="49" s="1"/>
  <c r="T105" i="50"/>
  <c r="N127" i="49"/>
  <c r="W127" i="49" s="1"/>
  <c r="T127" i="50"/>
  <c r="N117" i="49"/>
  <c r="W117" i="49" s="1"/>
  <c r="T117" i="50"/>
  <c r="L93" i="49"/>
  <c r="U93" i="49" s="1"/>
  <c r="P93" i="50"/>
  <c r="L99" i="49"/>
  <c r="U99" i="49" s="1"/>
  <c r="P99" i="50"/>
  <c r="L88" i="49"/>
  <c r="U88" i="49" s="1"/>
  <c r="P88" i="50"/>
  <c r="L25" i="49"/>
  <c r="U25" i="49" s="1"/>
  <c r="P25" i="50"/>
  <c r="N138" i="49"/>
  <c r="W138" i="49" s="1"/>
  <c r="T138" i="50"/>
  <c r="N110" i="49"/>
  <c r="W110" i="49" s="1"/>
  <c r="T110" i="50"/>
  <c r="N20" i="49"/>
  <c r="W20" i="49" s="1"/>
  <c r="T20" i="50"/>
  <c r="N100" i="49"/>
  <c r="W100" i="49" s="1"/>
  <c r="T100" i="50"/>
  <c r="L97" i="49"/>
  <c r="U97" i="49" s="1"/>
  <c r="P97" i="50"/>
  <c r="P96" i="50"/>
  <c r="L96" i="49"/>
  <c r="U96" i="49" s="1"/>
  <c r="L56" i="49"/>
  <c r="U56" i="49" s="1"/>
  <c r="P56" i="50"/>
  <c r="P18" i="50"/>
  <c r="L18" i="49"/>
  <c r="U18" i="49" s="1"/>
  <c r="T41" i="50"/>
  <c r="N41" i="49"/>
  <c r="W41" i="49" s="1"/>
  <c r="T89" i="50"/>
  <c r="N89" i="49"/>
  <c r="W89" i="49" s="1"/>
  <c r="T66" i="50"/>
  <c r="N66" i="49"/>
  <c r="W66" i="49" s="1"/>
  <c r="T116" i="50"/>
  <c r="N116" i="49"/>
  <c r="W116" i="49" s="1"/>
  <c r="P110" i="50"/>
  <c r="L110" i="49"/>
  <c r="U110" i="49" s="1"/>
  <c r="L136" i="49"/>
  <c r="U136" i="49" s="1"/>
  <c r="P136" i="50"/>
  <c r="P27" i="50"/>
  <c r="L27" i="49"/>
  <c r="U27" i="49" s="1"/>
  <c r="N125" i="49"/>
  <c r="W125" i="49" s="1"/>
  <c r="T125" i="50"/>
  <c r="N61" i="49"/>
  <c r="W61" i="49" s="1"/>
  <c r="T61" i="50"/>
  <c r="T18" i="50"/>
  <c r="N18" i="49"/>
  <c r="W18" i="49" s="1"/>
  <c r="T65" i="50"/>
  <c r="N65" i="49"/>
  <c r="W65" i="49" s="1"/>
  <c r="N126" i="49"/>
  <c r="W126" i="49" s="1"/>
  <c r="T126" i="50"/>
  <c r="N57" i="49"/>
  <c r="W57" i="49" s="1"/>
  <c r="T57" i="50"/>
  <c r="T96" i="50"/>
  <c r="N96" i="49"/>
  <c r="W96" i="49" s="1"/>
  <c r="N32" i="49"/>
  <c r="W32" i="49" s="1"/>
  <c r="T32" i="50"/>
  <c r="L98" i="49"/>
  <c r="U98" i="49" s="1"/>
  <c r="P98" i="50"/>
  <c r="L123" i="49"/>
  <c r="U123" i="49" s="1"/>
  <c r="P123" i="50"/>
  <c r="L22" i="49"/>
  <c r="U22" i="49" s="1"/>
  <c r="P22" i="50"/>
  <c r="P104" i="50"/>
  <c r="L104" i="49"/>
  <c r="U104" i="49" s="1"/>
  <c r="N136" i="49"/>
  <c r="W136" i="49" s="1"/>
  <c r="T136" i="50"/>
  <c r="T108" i="50"/>
  <c r="N108" i="49"/>
  <c r="W108" i="49" s="1"/>
  <c r="N81" i="49"/>
  <c r="W81" i="49" s="1"/>
  <c r="T81" i="50"/>
  <c r="L40" i="49"/>
  <c r="U40" i="49" s="1"/>
  <c r="P40" i="50"/>
  <c r="P84" i="50"/>
  <c r="L84" i="49"/>
  <c r="U84" i="49" s="1"/>
  <c r="L82" i="49"/>
  <c r="U82" i="49" s="1"/>
  <c r="P82" i="50"/>
  <c r="L47" i="49"/>
  <c r="U47" i="49" s="1"/>
  <c r="P47" i="50"/>
  <c r="P60" i="50"/>
  <c r="L60" i="49"/>
  <c r="U60" i="49" s="1"/>
  <c r="P17" i="50"/>
  <c r="L17" i="49"/>
  <c r="U17" i="49" s="1"/>
  <c r="N37" i="49"/>
  <c r="W37" i="49" s="1"/>
  <c r="T37" i="50"/>
  <c r="N39" i="49"/>
  <c r="W39" i="49" s="1"/>
  <c r="T39" i="50"/>
  <c r="T99" i="50"/>
  <c r="N99" i="49"/>
  <c r="W99" i="49" s="1"/>
  <c r="P119" i="50"/>
  <c r="L119" i="49"/>
  <c r="U119" i="49" s="1"/>
  <c r="P114" i="50"/>
  <c r="L114" i="49"/>
  <c r="U114" i="49" s="1"/>
  <c r="L133" i="49"/>
  <c r="U133" i="49" s="1"/>
  <c r="P133" i="50"/>
  <c r="N16" i="49"/>
  <c r="W16" i="49" s="1"/>
  <c r="T16" i="50"/>
  <c r="N112" i="49"/>
  <c r="W112" i="49" s="1"/>
  <c r="T112" i="50"/>
  <c r="N115" i="49"/>
  <c r="W115" i="49" s="1"/>
  <c r="T115" i="50"/>
  <c r="L134" i="49"/>
  <c r="U134" i="49" s="1"/>
  <c r="P134" i="50"/>
  <c r="P105" i="50"/>
  <c r="L105" i="49"/>
  <c r="U105" i="49" s="1"/>
  <c r="P107" i="50"/>
  <c r="L107" i="49"/>
  <c r="U107" i="49" s="1"/>
  <c r="L51" i="49"/>
  <c r="U51" i="49" s="1"/>
  <c r="P51" i="50"/>
  <c r="T51" i="50"/>
  <c r="N51" i="49"/>
  <c r="W51" i="49" s="1"/>
  <c r="N19" i="49"/>
  <c r="W19" i="49" s="1"/>
  <c r="T19" i="50"/>
  <c r="N62" i="49"/>
  <c r="W62" i="49" s="1"/>
  <c r="T62" i="50"/>
  <c r="L115" i="49"/>
  <c r="U115" i="49" s="1"/>
  <c r="P115" i="50"/>
  <c r="P49" i="50"/>
  <c r="L49" i="49"/>
  <c r="U49" i="49" s="1"/>
  <c r="P132" i="50"/>
  <c r="L132" i="49"/>
  <c r="U132" i="49" s="1"/>
  <c r="N17" i="49"/>
  <c r="W17" i="49" s="1"/>
  <c r="T17" i="50"/>
  <c r="T54" i="50"/>
  <c r="N54" i="49"/>
  <c r="W54" i="49" s="1"/>
  <c r="N98" i="49"/>
  <c r="W98" i="49" s="1"/>
  <c r="T98" i="50"/>
  <c r="T135" i="50"/>
  <c r="N135" i="49"/>
  <c r="W135" i="49" s="1"/>
  <c r="T71" i="50"/>
  <c r="N71" i="49"/>
  <c r="W71" i="49" s="1"/>
  <c r="N24" i="49"/>
  <c r="W24" i="49" s="1"/>
  <c r="T24" i="50"/>
  <c r="L35" i="49"/>
  <c r="U35" i="49" s="1"/>
  <c r="P35" i="50"/>
  <c r="L103" i="49"/>
  <c r="U103" i="49" s="1"/>
  <c r="P103" i="50"/>
  <c r="P37" i="50"/>
  <c r="L37" i="49"/>
  <c r="U37" i="49" s="1"/>
  <c r="P112" i="50"/>
  <c r="L112" i="49"/>
  <c r="U112" i="49" s="1"/>
  <c r="T77" i="50"/>
  <c r="N77" i="49"/>
  <c r="W77" i="49" s="1"/>
  <c r="T49" i="50"/>
  <c r="N49" i="49"/>
  <c r="W49" i="49" s="1"/>
  <c r="N113" i="49"/>
  <c r="W113" i="49" s="1"/>
  <c r="T113" i="50"/>
  <c r="T80" i="50"/>
  <c r="N80" i="49"/>
  <c r="W80" i="49" s="1"/>
  <c r="P120" i="50"/>
  <c r="L120" i="49"/>
  <c r="U120" i="49" s="1"/>
  <c r="L72" i="49"/>
  <c r="U72" i="49" s="1"/>
  <c r="P72" i="50"/>
  <c r="L118" i="49"/>
  <c r="U118" i="49" s="1"/>
  <c r="P118" i="50"/>
  <c r="L121" i="49"/>
  <c r="U121" i="49" s="1"/>
  <c r="P121" i="50"/>
  <c r="T88" i="50"/>
  <c r="N88" i="49"/>
  <c r="W88" i="49" s="1"/>
  <c r="N85" i="49"/>
  <c r="W85" i="49" s="1"/>
  <c r="T85" i="50"/>
  <c r="N122" i="49"/>
  <c r="W122" i="49" s="1"/>
  <c r="T122" i="50"/>
  <c r="N45" i="49"/>
  <c r="W45" i="49" s="1"/>
  <c r="T45" i="50"/>
  <c r="N26" i="49"/>
  <c r="W26" i="49" s="1"/>
  <c r="T26" i="50"/>
  <c r="N134" i="49"/>
  <c r="W134" i="49" s="1"/>
  <c r="T134" i="50"/>
  <c r="N139" i="49"/>
  <c r="W139" i="49" s="1"/>
  <c r="T139" i="50"/>
  <c r="L139" i="49"/>
  <c r="U139" i="49" s="1"/>
  <c r="P139" i="50"/>
  <c r="P100" i="50"/>
  <c r="L100" i="49"/>
  <c r="U100" i="49" s="1"/>
  <c r="L74" i="49"/>
  <c r="U74" i="49" s="1"/>
  <c r="P74" i="50"/>
  <c r="L59" i="49"/>
  <c r="U59" i="49" s="1"/>
  <c r="P59" i="50"/>
  <c r="N119" i="49"/>
  <c r="W119" i="49" s="1"/>
  <c r="T119" i="50"/>
  <c r="N73" i="49"/>
  <c r="W73" i="49" s="1"/>
  <c r="T73" i="50"/>
  <c r="T111" i="50"/>
  <c r="N111" i="49"/>
  <c r="W111" i="49" s="1"/>
  <c r="P61" i="50"/>
  <c r="L61" i="49"/>
  <c r="U61" i="49" s="1"/>
  <c r="P52" i="50"/>
  <c r="L52" i="49"/>
  <c r="U52" i="49" s="1"/>
  <c r="L102" i="49"/>
  <c r="U102" i="49" s="1"/>
  <c r="P102" i="50"/>
  <c r="P41" i="50"/>
  <c r="L41" i="49"/>
  <c r="U41" i="49" s="1"/>
  <c r="L138" i="49"/>
  <c r="U138" i="49" s="1"/>
  <c r="P138" i="50"/>
  <c r="P39" i="50"/>
  <c r="L39" i="49"/>
  <c r="U39" i="49" s="1"/>
  <c r="L113" i="49"/>
  <c r="U113" i="49" s="1"/>
  <c r="P113" i="50"/>
  <c r="P91" i="50"/>
  <c r="L91" i="49"/>
  <c r="U91" i="49" s="1"/>
  <c r="T36" i="50"/>
  <c r="N36" i="49"/>
  <c r="W36" i="49" s="1"/>
  <c r="T31" i="50"/>
  <c r="N31" i="49"/>
  <c r="W31" i="49" s="1"/>
  <c r="T21" i="50"/>
  <c r="N21" i="49"/>
  <c r="W21" i="49" s="1"/>
  <c r="P116" i="50"/>
  <c r="L116" i="49"/>
  <c r="U116" i="49" s="1"/>
  <c r="L106" i="49"/>
  <c r="U106" i="49" s="1"/>
  <c r="P106" i="50"/>
  <c r="L58" i="49"/>
  <c r="U58" i="49" s="1"/>
  <c r="P58" i="50"/>
  <c r="L14" i="49"/>
  <c r="U14" i="49" s="1"/>
  <c r="P14" i="50"/>
  <c r="N124" i="49"/>
  <c r="W124" i="49" s="1"/>
  <c r="T124" i="50"/>
  <c r="N34" i="49"/>
  <c r="W34" i="49" s="1"/>
  <c r="T34" i="50"/>
  <c r="N128" i="49"/>
  <c r="W128" i="49" s="1"/>
  <c r="T128" i="50"/>
  <c r="P108" i="50"/>
  <c r="L108" i="49"/>
  <c r="U108" i="49" s="1"/>
  <c r="P94" i="50"/>
  <c r="L94" i="49"/>
  <c r="U94" i="49" s="1"/>
  <c r="P34" i="50"/>
  <c r="L34" i="49"/>
  <c r="U34" i="49" s="1"/>
  <c r="T60" i="50"/>
  <c r="N60" i="49"/>
  <c r="W60" i="49" s="1"/>
  <c r="N35" i="49"/>
  <c r="W35" i="49" s="1"/>
  <c r="T35" i="50"/>
  <c r="N103" i="49"/>
  <c r="W103" i="49" s="1"/>
  <c r="T103" i="50"/>
  <c r="T25" i="50"/>
  <c r="N25" i="49"/>
  <c r="W25" i="49" s="1"/>
  <c r="P20" i="50"/>
  <c r="L20" i="49"/>
  <c r="U20" i="49" s="1"/>
  <c r="L130" i="49"/>
  <c r="U130" i="49" s="1"/>
  <c r="P130" i="50"/>
  <c r="L73" i="49"/>
  <c r="U73" i="49" s="1"/>
  <c r="P73" i="50"/>
  <c r="P76" i="50"/>
  <c r="L76" i="49"/>
  <c r="U76" i="49" s="1"/>
  <c r="N30" i="49"/>
  <c r="W30" i="49" s="1"/>
  <c r="T30" i="50"/>
  <c r="N46" i="49"/>
  <c r="W46" i="49" s="1"/>
  <c r="T46" i="50"/>
  <c r="N76" i="49"/>
  <c r="W76" i="49" s="1"/>
  <c r="T76" i="50"/>
  <c r="N86" i="49"/>
  <c r="W86" i="49" s="1"/>
  <c r="T86" i="50"/>
  <c r="P24" i="50"/>
  <c r="L24" i="49"/>
  <c r="U24" i="49" s="1"/>
  <c r="L67" i="49"/>
  <c r="U67" i="49" s="1"/>
  <c r="P67" i="50"/>
  <c r="P117" i="50"/>
  <c r="L117" i="49"/>
  <c r="U117" i="49" s="1"/>
  <c r="P31" i="50"/>
  <c r="L31" i="49"/>
  <c r="U31" i="49" s="1"/>
  <c r="P46" i="50"/>
  <c r="L46" i="49"/>
  <c r="U46" i="49" s="1"/>
  <c r="N87" i="49"/>
  <c r="W87" i="49" s="1"/>
  <c r="T87" i="50"/>
  <c r="N72" i="49"/>
  <c r="W72" i="49" s="1"/>
  <c r="T72" i="50"/>
  <c r="T48" i="50"/>
  <c r="N48" i="49"/>
  <c r="W48" i="49" s="1"/>
  <c r="L55" i="49"/>
  <c r="U55" i="49" s="1"/>
  <c r="P55" i="50"/>
  <c r="L16" i="49"/>
  <c r="U16" i="49" s="1"/>
  <c r="P16" i="50"/>
  <c r="L64" i="49"/>
  <c r="U64" i="49" s="1"/>
  <c r="P64" i="50"/>
  <c r="L126" i="49"/>
  <c r="U126" i="49" s="1"/>
  <c r="P126" i="50"/>
  <c r="N121" i="49"/>
  <c r="W121" i="49" s="1"/>
  <c r="T121" i="50"/>
  <c r="T133" i="50"/>
  <c r="N133" i="49"/>
  <c r="W133" i="49" s="1"/>
  <c r="N68" i="49"/>
  <c r="W68" i="49" s="1"/>
  <c r="T68" i="50"/>
  <c r="N47" i="49"/>
  <c r="W47" i="49" s="1"/>
  <c r="T47" i="50"/>
  <c r="N40" i="49"/>
  <c r="W40" i="49" s="1"/>
  <c r="T40" i="50"/>
  <c r="N101" i="49"/>
  <c r="W101" i="49" s="1"/>
  <c r="T101" i="50"/>
  <c r="L26" i="49"/>
  <c r="U26" i="49" s="1"/>
  <c r="P26" i="50"/>
  <c r="P78" i="50"/>
  <c r="L78" i="49"/>
  <c r="U78" i="49" s="1"/>
  <c r="L109" i="49"/>
  <c r="U109" i="49" s="1"/>
  <c r="P109" i="50"/>
  <c r="N118" i="49"/>
  <c r="W118" i="49" s="1"/>
  <c r="T118" i="50"/>
  <c r="T74" i="50"/>
  <c r="N74" i="49"/>
  <c r="W74" i="49" s="1"/>
  <c r="T94" i="50"/>
  <c r="N94" i="49"/>
  <c r="W94" i="49" s="1"/>
  <c r="T132" i="50"/>
  <c r="N132" i="49"/>
  <c r="W132" i="49" s="1"/>
  <c r="L135" i="49"/>
  <c r="U135" i="49" s="1"/>
  <c r="P135" i="50"/>
  <c r="L54" i="49"/>
  <c r="U54" i="49" s="1"/>
  <c r="P54" i="50"/>
  <c r="L44" i="49"/>
  <c r="U44" i="49" s="1"/>
  <c r="P44" i="50"/>
  <c r="L85" i="49"/>
  <c r="U85" i="49" s="1"/>
  <c r="P85" i="50"/>
  <c r="L101" i="49"/>
  <c r="U101" i="49" s="1"/>
  <c r="P101" i="50"/>
  <c r="L70" i="49"/>
  <c r="U70" i="49" s="1"/>
  <c r="P70" i="50"/>
  <c r="L111" i="49"/>
  <c r="U111" i="49" s="1"/>
  <c r="P111" i="50"/>
  <c r="P42" i="50"/>
  <c r="L42" i="49"/>
  <c r="U42" i="49" s="1"/>
  <c r="N52" i="49"/>
  <c r="W52" i="49" s="1"/>
  <c r="T52" i="50"/>
  <c r="N102" i="49"/>
  <c r="W102" i="49" s="1"/>
  <c r="T102" i="50"/>
  <c r="T42" i="50"/>
  <c r="N42" i="49"/>
  <c r="W42" i="49" s="1"/>
  <c r="P137" i="50"/>
  <c r="L137" i="49"/>
  <c r="U137" i="49" s="1"/>
  <c r="L89" i="49"/>
  <c r="U89" i="49" s="1"/>
  <c r="P89" i="50"/>
  <c r="L81" i="49"/>
  <c r="U81" i="49" s="1"/>
  <c r="P81" i="50"/>
  <c r="L32" i="49"/>
  <c r="U32" i="49" s="1"/>
  <c r="P32" i="50"/>
  <c r="N33" i="49"/>
  <c r="W33" i="49" s="1"/>
  <c r="T33" i="50"/>
  <c r="N44" i="49"/>
  <c r="W44" i="49" s="1"/>
  <c r="T44" i="50"/>
  <c r="N83" i="49"/>
  <c r="W83" i="49" s="1"/>
  <c r="T83" i="50"/>
  <c r="N131" i="49"/>
  <c r="W131" i="49" s="1"/>
  <c r="T131" i="50"/>
  <c r="L66" i="49"/>
  <c r="U66" i="49" s="1"/>
  <c r="P66" i="50"/>
  <c r="P21" i="50"/>
  <c r="L21" i="49"/>
  <c r="U21" i="49" s="1"/>
  <c r="P79" i="50"/>
  <c r="L79" i="49"/>
  <c r="U79" i="49" s="1"/>
  <c r="T64" i="50"/>
  <c r="N64" i="49"/>
  <c r="W64" i="49" s="1"/>
  <c r="T106" i="50"/>
  <c r="N106" i="49"/>
  <c r="W106" i="49" s="1"/>
  <c r="N107" i="49"/>
  <c r="W107" i="49" s="1"/>
  <c r="T107" i="50"/>
  <c r="N56" i="49"/>
  <c r="W56" i="49" s="1"/>
  <c r="T56" i="50"/>
  <c r="T97" i="50"/>
  <c r="N97" i="49"/>
  <c r="W97" i="49" s="1"/>
  <c r="P65" i="50"/>
  <c r="L65" i="49"/>
  <c r="U65" i="49" s="1"/>
  <c r="L28" i="49"/>
  <c r="U28" i="49" s="1"/>
  <c r="P28" i="50"/>
  <c r="L122" i="49"/>
  <c r="U122" i="49" s="1"/>
  <c r="P122" i="50"/>
  <c r="L95" i="49"/>
  <c r="U95" i="49" s="1"/>
  <c r="P95" i="50"/>
  <c r="L71" i="49"/>
  <c r="U71" i="49" s="1"/>
  <c r="P71" i="50"/>
  <c r="N59" i="49"/>
  <c r="W59" i="49" s="1"/>
  <c r="T59" i="50"/>
  <c r="N120" i="49"/>
  <c r="W120" i="49" s="1"/>
  <c r="T120" i="50"/>
  <c r="N114" i="49"/>
  <c r="W114" i="49" s="1"/>
  <c r="T114" i="50"/>
  <c r="N84" i="49"/>
  <c r="W84" i="49" s="1"/>
  <c r="T84" i="50"/>
  <c r="P29" i="50"/>
  <c r="L29" i="49"/>
  <c r="U29" i="49" s="1"/>
  <c r="L77" i="49"/>
  <c r="U77" i="49" s="1"/>
  <c r="P77" i="50"/>
  <c r="P45" i="50"/>
  <c r="L45" i="49"/>
  <c r="U45" i="49" s="1"/>
  <c r="N109" i="49"/>
  <c r="W109" i="49" s="1"/>
  <c r="T109" i="50"/>
  <c r="T70" i="50"/>
  <c r="N70" i="49"/>
  <c r="W70" i="49" s="1"/>
  <c r="T75" i="50"/>
  <c r="N75" i="49"/>
  <c r="W75" i="49" s="1"/>
  <c r="T82" i="50"/>
  <c r="N82" i="49"/>
  <c r="W82" i="49" s="1"/>
  <c r="L57" i="49"/>
  <c r="U57" i="49" s="1"/>
  <c r="P57" i="50"/>
  <c r="P19" i="50"/>
  <c r="L19" i="49"/>
  <c r="U19" i="49" s="1"/>
  <c r="P125" i="50"/>
  <c r="L125" i="49"/>
  <c r="U125" i="49" s="1"/>
  <c r="T28" i="50"/>
  <c r="N28" i="49"/>
  <c r="W28" i="49" s="1"/>
  <c r="N14" i="49"/>
  <c r="W14" i="49" s="1"/>
  <c r="T14" i="50"/>
  <c r="N130" i="49"/>
  <c r="W130" i="49" s="1"/>
  <c r="T130" i="50"/>
  <c r="N29" i="49"/>
  <c r="W29" i="49" s="1"/>
  <c r="T29" i="50"/>
  <c r="T27" i="50"/>
  <c r="N27" i="49"/>
  <c r="W27" i="49" s="1"/>
  <c r="N78" i="49"/>
  <c r="W78" i="49" s="1"/>
  <c r="T78" i="50"/>
  <c r="N50" i="49"/>
  <c r="W50" i="49" s="1"/>
  <c r="T50" i="5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tc={0A50E3F4-141C-4E0C-81B7-9B924D6B5F7B}</author>
  </authors>
  <commentList>
    <comment ref="M4" authorId="0" shapeId="0" xr:uid="{0A50E3F4-141C-4E0C-81B7-9B924D6B5F7B}">
      <text>
        <t>[Threaded comment]
Your version of Excel allows you to read this threaded comment; however, any edits to it will get removed if the file is opened in a newer version of Excel. Learn more: https://go.microsoft.com/fwlink/?linkid=870924
Comment:
    @Kohl Malo update with latest map</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tc={36808A60-1F2F-4507-AD30-E9040D217E43}</author>
  </authors>
  <commentList>
    <comment ref="G6" authorId="0" shapeId="0" xr:uid="{36808A60-1F2F-4507-AD30-E9040D217E43}">
      <text>
        <t>[Threaded comment]
Your version of Excel allows you to read this threaded comment; however, any edits to it will get removed if the file is opened in a newer version of Excel. Learn more: https://go.microsoft.com/fwlink/?linkid=870924
Comment:
    @Joel Lehman please check and update if needed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Kohl Malo</author>
    <author>tc={3F5B0376-E55D-4D1A-A457-D14A3F41C61E}</author>
  </authors>
  <commentList>
    <comment ref="Q1" authorId="0" shapeId="0" xr:uid="{F4C58FF9-D36D-42E1-A618-61AB8E7BE41F}">
      <text>
        <r>
          <rPr>
            <b/>
            <sz val="9"/>
            <color indexed="81"/>
            <rFont val="Tahoma"/>
            <family val="2"/>
          </rPr>
          <t>Kohl Malo:</t>
        </r>
        <r>
          <rPr>
            <sz val="9"/>
            <color indexed="81"/>
            <rFont val="Tahoma"/>
            <family val="2"/>
          </rPr>
          <t xml:space="preserve">
https://www.miamidade.gov/zoning/library/fees/2020-09-impact-fee-rates.pdf</t>
        </r>
      </text>
    </comment>
    <comment ref="Q73" authorId="0" shapeId="0" xr:uid="{3CB3AE55-9278-4FDA-8323-1620F594058F}">
      <text>
        <r>
          <rPr>
            <sz val="9"/>
            <color rgb="FF000000"/>
            <rFont val="Tahoma"/>
            <family val="2"/>
          </rPr>
          <t xml:space="preserve">The Calculated RIF Row sheet uses Within UIA rates to provide Within UIA Current Fee Estimates (based on Chap 33, Table 101). It turns out that the calculation needed to get to the $14,865 rate found in the .pdf Impact Fee Schedule, for the UIA, relies on a trip length from OIA to calculate a value of $14,865. This may be incorrect, but is carried over directly it for consistency. </t>
        </r>
      </text>
    </comment>
    <comment ref="B117" authorId="1" shapeId="0" xr:uid="{3F5B0376-E55D-4D1A-A457-D14A3F41C61E}">
      <text>
        <t>[Threaded comment]
Your version of Excel allows you to read this threaded comment; however, any edits to it will get removed if the file is opened in a newer version of Excel. Learn more: https://go.microsoft.com/fwlink/?linkid=870924
Comment:
    WITH drive through</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tc={49FAE089-F6C1-4FDA-ACE7-FECF7C95296F}</author>
    <author>tc={63DBE38C-57B9-4699-8050-ABB79773529D}</author>
    <author>tc={A661E8A7-FDFC-4B7C-A28F-75A681FF1992}</author>
    <author>tc={919EED1A-DC9C-4786-A3DE-E2F14864024B}</author>
    <author>tc={FEF5DD58-16AF-46AB-85FD-1655881604CB}</author>
  </authors>
  <commentList>
    <comment ref="K7" authorId="0" shapeId="0" xr:uid="{49FAE089-F6C1-4FDA-ACE7-FECF7C95296F}">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S7" authorId="1" shapeId="0" xr:uid="{63DBE38C-57B9-4699-8050-ABB79773529D}">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W7" authorId="2" shapeId="0" xr:uid="{A661E8A7-FDFC-4B7C-A28F-75A681FF1992}">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AA7" authorId="3" shapeId="0" xr:uid="{919EED1A-DC9C-4786-A3DE-E2F14864024B}">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E11" authorId="4" shapeId="0" xr:uid="{FEF5DD58-16AF-46AB-85FD-1655881604CB}">
      <text>
        <t>[Threaded comment]
Your version of Excel allows you to read this threaded comment; however, any edits to it will get removed if the file is opened in a newer version of Excel. Learn more: https://go.microsoft.com/fwlink/?linkid=870924
Comment:
    @Kohl Malo please update as needed
Reply:
    https://appriver3651006727.sharepoint.com/:w:/r/sites/MiamiDadeCo/_layouts/15/Doc.aspx?sourcedoc=%7B068D80B4-B829-4BFB-958E-FB215CAA9AC7%7D&amp;file=CTS%20Task%201_Final.docx&amp;action=default&amp;mobileredirect=true
Reply:
    FDOT LRE 8.057$M</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tc={562FDF50-805C-40E6-9A30-8A1F84CDDCAD}</author>
    <author>tc={357CB1A7-D834-434B-AB36-859E864736CF}</author>
    <author>tc={E26FB289-0C39-4201-AAAB-4CA6999D7A6B}</author>
    <author>tc={112E30C6-C522-4280-A111-BF27A4662EE9}</author>
  </authors>
  <commentList>
    <comment ref="B3" authorId="0" shapeId="0" xr:uid="{562FDF50-805C-40E6-9A30-8A1F84CDDCAD}">
      <text>
        <t>[Threaded comment]
Your version of Excel allows you to read this threaded comment; however, any edits to it will get removed if the file is opened in a newer version of Excel. Learn more: https://go.microsoft.com/fwlink/?linkid=870924
Comment:
    @Kohl Malo please check against CTS tech memo</t>
      </text>
    </comment>
    <comment ref="R3" authorId="1" shapeId="0" xr:uid="{357CB1A7-D834-434B-AB36-859E864736CF}">
      <text>
        <t>[Threaded comment]
Your version of Excel allows you to read this threaded comment; however, any edits to it will get removed if the file is opened in a newer version of Excel. Learn more: https://go.microsoft.com/fwlink/?linkid=870924
Comment:
    Before 3/30, the funded value was 53%, but that did not include the "part unfunded" in the calculation.</t>
      </text>
    </comment>
    <comment ref="AA9" authorId="2" shapeId="0" xr:uid="{E26FB289-0C39-4201-AAAB-4CA6999D7A6B}">
      <text>
        <t>[Threaded comment]
Your version of Excel allows you to read this threaded comment; however, any edits to it will get removed if the file is opened in a newer version of Excel. Learn more: https://go.microsoft.com/fwlink/?linkid=870924
Comment:
    @Dan Hardy @Joel Lehman  please update
Reply:
    40
40
20
before</t>
      </text>
    </comment>
    <comment ref="AC10" authorId="3" shapeId="0" xr:uid="{112E30C6-C522-4280-A111-BF27A4662EE9}">
      <text>
        <t>[Threaded comment]
Your version of Excel allows you to read this threaded comment; however, any edits to it will get removed if the file is opened in a newer version of Excel. Learn more: https://go.microsoft.com/fwlink/?linkid=870924
Comment:
    40
20
40
before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tc={73F00812-374C-44D4-9C15-E90EA696F08D}</author>
    <author>Kohl Malo</author>
  </authors>
  <commentList>
    <comment ref="J3" authorId="0" shapeId="0" xr:uid="{73F00812-374C-44D4-9C15-E90EA696F08D}">
      <text>
        <t>[Threaded comment]
Your version of Excel allows you to read this threaded comment; however, any edits to it will get removed if the file is opened in a newer version of Excel. Learn more: https://go.microsoft.com/fwlink/?linkid=870924
Comment:
    Check original GIS geo's for lengths / both sides of the street question</t>
      </text>
    </comment>
    <comment ref="K3" authorId="1" shapeId="0" xr:uid="{0427FA68-5C8D-4AF9-89AD-7070410A6A8B}">
      <text>
        <r>
          <rPr>
            <b/>
            <sz val="9"/>
            <color indexed="81"/>
            <rFont val="Tahoma"/>
            <family val="2"/>
          </rPr>
          <t>Kohl Malo:</t>
        </r>
        <r>
          <rPr>
            <sz val="9"/>
            <color indexed="81"/>
            <rFont val="Tahoma"/>
            <family val="2"/>
          </rPr>
          <t xml:space="preserve">
Reflects bike/ped LRTP funded &amp; unfunded rates from LRTP sheet</t>
        </r>
      </text>
    </comment>
    <comment ref="J6" authorId="1" shapeId="0" xr:uid="{2B8F950D-5AB0-4E21-9BB7-3BB96A32C0B2}">
      <text>
        <r>
          <rPr>
            <b/>
            <sz val="9"/>
            <color indexed="81"/>
            <rFont val="Tahoma"/>
            <family val="2"/>
          </rPr>
          <t>Kohl Malo:</t>
        </r>
        <r>
          <rPr>
            <sz val="9"/>
            <color indexed="81"/>
            <rFont val="Tahoma"/>
            <family val="2"/>
          </rPr>
          <t xml:space="preserve">
Previously…
200
700
700
700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tc={F42A5C4A-0849-4DF8-B5E1-01653C531859}</author>
    <author>tc={3352CC1D-26DE-411C-B4F3-1C8900E9E6A3}</author>
    <author>tc={58315FCD-8126-4C50-A17E-45DB1470AF48}</author>
  </authors>
  <commentList>
    <comment ref="F66" authorId="0" shapeId="0" xr:uid="{F42A5C4A-0849-4DF8-B5E1-01653C531859}">
      <text>
        <t>[Threaded comment]
Your version of Excel allows you to read this threaded comment; however, any edits to it will get removed if the file is opened in a newer version of Excel. Learn more: https://go.microsoft.com/fwlink/?linkid=870924
Comment:
    This is the function from #710 with the median GSF (column A)
Reply:
    Ln(T) = .97 Ln(X) + 2.50</t>
      </text>
    </comment>
    <comment ref="F104" authorId="1" shapeId="0" xr:uid="{3352CC1D-26DE-411C-B4F3-1C8900E9E6A3}">
      <text>
        <t>[Threaded comment]
Your version of Excel allows you to read this threaded comment; however, any edits to it will get removed if the file is opened in a newer version of Excel. Learn more: https://go.microsoft.com/fwlink/?linkid=870924
Comment:
    ln(t) = 0.68(ln(x)) + 5.57
Reply:
    @Dan Hardy the EXP function seems to result in numbers too high, esp. compared to the function used without the EXP container.</t>
      </text>
    </comment>
    <comment ref="B136" authorId="2" shapeId="0" xr:uid="{58315FCD-8126-4C50-A17E-45DB1470AF48}">
      <text>
        <t>[Threaded comment]
Your version of Excel allows you to read this threaded comment; however, any edits to it will get removed if the file is opened in a newer version of Excel. Learn more: https://go.microsoft.com/fwlink/?linkid=870924
Comment:
    WITH drive through</t>
      </text>
    </comment>
  </commentList>
</comments>
</file>

<file path=xl/sharedStrings.xml><?xml version="1.0" encoding="utf-8"?>
<sst xmlns="http://schemas.openxmlformats.org/spreadsheetml/2006/main" count="4095" uniqueCount="956">
  <si>
    <t>Table of Contents</t>
  </si>
  <si>
    <t>Content</t>
  </si>
  <si>
    <t>Tab Name</t>
  </si>
  <si>
    <t>Tab Description</t>
  </si>
  <si>
    <t>Context</t>
  </si>
  <si>
    <t>TOC</t>
  </si>
  <si>
    <t>Table of context for spreadsheet</t>
  </si>
  <si>
    <t>Context_Areas</t>
  </si>
  <si>
    <t>Context area map</t>
  </si>
  <si>
    <t>Fee schedule</t>
  </si>
  <si>
    <t>FEE_ByContextArea</t>
  </si>
  <si>
    <t>Total mobility fee rate schedule by context area</t>
  </si>
  <si>
    <t>FEE_ByContextArea_ByMode</t>
  </si>
  <si>
    <t>Mobility fee rate schedule by context area and mode</t>
  </si>
  <si>
    <t>Fee calculation</t>
  </si>
  <si>
    <t>FEE_1_In</t>
  </si>
  <si>
    <t>Fee calculation for Ring 1, within SMART Plan corridor</t>
  </si>
  <si>
    <t>FEE_1_Out</t>
  </si>
  <si>
    <t>Fee calculation for Ring 1, outside SMART Plan corridor</t>
  </si>
  <si>
    <t>FEE_2_In</t>
  </si>
  <si>
    <t>FEE_2_Out</t>
  </si>
  <si>
    <t>FEE_3_In</t>
  </si>
  <si>
    <t>FEE_3_Out</t>
  </si>
  <si>
    <t>FEE_4_In</t>
  </si>
  <si>
    <t>FEE_4_Out</t>
  </si>
  <si>
    <t>Travel Demand Inputs</t>
  </si>
  <si>
    <t>ITE_LUC_Rates</t>
  </si>
  <si>
    <t>ITE Vehicle Trip Generation Rates</t>
  </si>
  <si>
    <t>ITECountywide</t>
  </si>
  <si>
    <t>ITE vehicle trip to person trip by mode calculation</t>
  </si>
  <si>
    <t>Passby_Length_Adj</t>
  </si>
  <si>
    <t>Pass by and trip length adjustment factors</t>
  </si>
  <si>
    <t>SurveyTripLengthsAndPassBy</t>
  </si>
  <si>
    <t>Survey data supporting pass by and trip length adjustments</t>
  </si>
  <si>
    <t>2045_24hr_all_productions</t>
  </si>
  <si>
    <t>SERPM 8 SMART Plan and Ring production person trips and person miles traveled by mode</t>
  </si>
  <si>
    <t>Facility Cost and Capacity Inputs</t>
  </si>
  <si>
    <t>RoadCapCost</t>
  </si>
  <si>
    <t>Roadway facility capacities and cost inputs</t>
  </si>
  <si>
    <t>TransitCapCost</t>
  </si>
  <si>
    <t>Transit facilities capacities and cost inputs</t>
  </si>
  <si>
    <t>WalkBikeCapCost</t>
  </si>
  <si>
    <t>Walk and bike facility capacities and costs</t>
  </si>
  <si>
    <t>Other</t>
  </si>
  <si>
    <t>CurrentFee</t>
  </si>
  <si>
    <t>Current road impact fee trip generation and fee rates</t>
  </si>
  <si>
    <t>RoadFeeCalc</t>
  </si>
  <si>
    <t>Example of current road impact fee calculation methodology</t>
  </si>
  <si>
    <t>RIFvsMIF</t>
  </si>
  <si>
    <t>Comparisons of road impact fee and mobility fee for selected land uses</t>
  </si>
  <si>
    <t>ImpTypePct</t>
  </si>
  <si>
    <t>Summary of facility type usages by mode</t>
  </si>
  <si>
    <t>Mobility Fee Calculation</t>
  </si>
  <si>
    <t>Ring</t>
  </si>
  <si>
    <t>SMART Plan</t>
  </si>
  <si>
    <t>Input</t>
  </si>
  <si>
    <t>In</t>
  </si>
  <si>
    <t>Mode Shares and Trip Lengths (from SERPM v8)</t>
  </si>
  <si>
    <t>Weighted Capacity Costs by Mode</t>
  </si>
  <si>
    <t>Mode</t>
  </si>
  <si>
    <t>Auto</t>
  </si>
  <si>
    <t>Transit</t>
  </si>
  <si>
    <t>Walk</t>
  </si>
  <si>
    <t>Bike</t>
  </si>
  <si>
    <t>Walk / Bike</t>
  </si>
  <si>
    <t>Persons per Vehicle</t>
  </si>
  <si>
    <t>Walk/Bike</t>
  </si>
  <si>
    <r>
      <rPr>
        <b/>
        <sz val="12"/>
        <color theme="1"/>
        <rFont val="Arial Narrow"/>
        <family val="2"/>
      </rPr>
      <t>Prod</t>
    </r>
    <r>
      <rPr>
        <sz val="12"/>
        <color theme="1"/>
        <rFont val="Arial Narrow"/>
        <family val="2"/>
      </rPr>
      <t xml:space="preserve"> Share</t>
    </r>
  </si>
  <si>
    <t>Prod</t>
  </si>
  <si>
    <t>Net Cost per Capcity Mile</t>
  </si>
  <si>
    <r>
      <rPr>
        <b/>
        <sz val="12"/>
        <color theme="1"/>
        <rFont val="Arial Narrow"/>
        <family val="2"/>
      </rPr>
      <t>Attr</t>
    </r>
    <r>
      <rPr>
        <sz val="12"/>
        <color theme="1"/>
        <rFont val="Arial Narrow"/>
        <family val="2"/>
      </rPr>
      <t xml:space="preserve"> Share</t>
    </r>
  </si>
  <si>
    <t>Attr</t>
  </si>
  <si>
    <r>
      <rPr>
        <b/>
        <sz val="12"/>
        <color theme="1"/>
        <rFont val="Arial Narrow"/>
        <family val="2"/>
      </rPr>
      <t>Prod</t>
    </r>
    <r>
      <rPr>
        <sz val="12"/>
        <color theme="1"/>
        <rFont val="Arial Narrow"/>
        <family val="2"/>
      </rPr>
      <t xml:space="preserve"> Length</t>
    </r>
  </si>
  <si>
    <r>
      <rPr>
        <b/>
        <sz val="12"/>
        <color theme="1"/>
        <rFont val="Arial Narrow"/>
        <family val="2"/>
      </rPr>
      <t>Attr</t>
    </r>
    <r>
      <rPr>
        <sz val="12"/>
        <color theme="1"/>
        <rFont val="Arial Narrow"/>
        <family val="2"/>
      </rPr>
      <t xml:space="preserve"> Length</t>
    </r>
  </si>
  <si>
    <t>Trip Adjustments</t>
  </si>
  <si>
    <t>Roadway</t>
  </si>
  <si>
    <t>ITE Land Use Code</t>
  </si>
  <si>
    <t>Land Use</t>
  </si>
  <si>
    <t>Unit</t>
  </si>
  <si>
    <t>Units</t>
  </si>
  <si>
    <t>ITE Rate</t>
  </si>
  <si>
    <t>Trip Type</t>
  </si>
  <si>
    <t>Printed RIF (Current Fee)</t>
  </si>
  <si>
    <t>Mobilty Fee</t>
  </si>
  <si>
    <t>Person Trips (Countywide linkage &lt;-&gt; ITE)</t>
  </si>
  <si>
    <t>Persons per Vehicle in MFDistrict</t>
  </si>
  <si>
    <t>Auto Mode Share in MFDistrict</t>
  </si>
  <si>
    <t>Length Adjustment</t>
  </si>
  <si>
    <t>Pass By</t>
  </si>
  <si>
    <t>Trip End to Trip</t>
  </si>
  <si>
    <t xml:space="preserve">Net </t>
  </si>
  <si>
    <t>Person Miles</t>
  </si>
  <si>
    <t>Vehicle Miles</t>
  </si>
  <si>
    <t>Net Cost per Capacity Mile</t>
  </si>
  <si>
    <t>Mobility Fee</t>
  </si>
  <si>
    <t>Net Cost Per Seat Mile</t>
  </si>
  <si>
    <t>Net Cost Per Capacity Mile</t>
  </si>
  <si>
    <t>Person Miles Traveled</t>
  </si>
  <si>
    <t>Total</t>
  </si>
  <si>
    <t>Summary of Proposed Mobility Fee by Land Use and District and Comparison to Current Road Impact Fee</t>
  </si>
  <si>
    <t>Mobility Fee By District</t>
  </si>
  <si>
    <t>Change from Current Road Impact Fee by District</t>
  </si>
  <si>
    <t>Ring 1</t>
  </si>
  <si>
    <t>Ring 2</t>
  </si>
  <si>
    <t>Ring 3</t>
  </si>
  <si>
    <t>Ring 4</t>
  </si>
  <si>
    <t>Within SMART Corridor</t>
  </si>
  <si>
    <t>Outside SMART Corridor</t>
  </si>
  <si>
    <t>Within Smart Corridor</t>
  </si>
  <si>
    <t>Outside Smart Corridor</t>
  </si>
  <si>
    <t>1000 GSF</t>
  </si>
  <si>
    <t>Ring 1 - In</t>
  </si>
  <si>
    <t>Ring 2 - In</t>
  </si>
  <si>
    <t>Ring 3 - In</t>
  </si>
  <si>
    <t>Ring 4 - In</t>
  </si>
  <si>
    <t>Ring 1 - Out</t>
  </si>
  <si>
    <t>Ring 2 - Out</t>
  </si>
  <si>
    <t>Ring 3 - Out</t>
  </si>
  <si>
    <t>Ring 4 - Out</t>
  </si>
  <si>
    <t>Road</t>
  </si>
  <si>
    <t>Net Cost / Cap Mile</t>
  </si>
  <si>
    <t>Base Development Information</t>
  </si>
  <si>
    <t>Length Adjust-ment</t>
  </si>
  <si>
    <t>`</t>
  </si>
  <si>
    <t>Out</t>
  </si>
  <si>
    <t>Trip Generation Inventory</t>
  </si>
  <si>
    <t>Identified in RIF</t>
  </si>
  <si>
    <t>Updated ITE Weekday</t>
  </si>
  <si>
    <t>Daily Trip Rate
Road Impact Fee</t>
  </si>
  <si>
    <t>ITE 
General Urban / Suburban</t>
  </si>
  <si>
    <t>ITE 
Multi-Use Urban</t>
  </si>
  <si>
    <t>ITE
Center City Core</t>
  </si>
  <si>
    <r>
      <t xml:space="preserve">ITE
</t>
    </r>
    <r>
      <rPr>
        <i/>
        <sz val="8"/>
        <color theme="1"/>
        <rFont val="Arial Narrow"/>
        <family val="2"/>
      </rPr>
      <t>Person Trips</t>
    </r>
    <r>
      <rPr>
        <sz val="8"/>
        <color theme="1"/>
        <rFont val="Arial Narrow"/>
        <family val="2"/>
      </rPr>
      <t xml:space="preserve">
Dense Multi-Use Urban</t>
    </r>
  </si>
  <si>
    <r>
      <t xml:space="preserve">ITE
</t>
    </r>
    <r>
      <rPr>
        <i/>
        <sz val="8"/>
        <color theme="1"/>
        <rFont val="Arial Narrow"/>
        <family val="2"/>
      </rPr>
      <t>Person Trips</t>
    </r>
    <r>
      <rPr>
        <sz val="8"/>
        <color theme="1"/>
        <rFont val="Arial Narrow"/>
        <family val="2"/>
      </rPr>
      <t xml:space="preserve">
Central City Core</t>
    </r>
  </si>
  <si>
    <r>
      <t xml:space="preserve">Calculated Current Fee (Inflated - </t>
    </r>
    <r>
      <rPr>
        <b/>
        <sz val="10"/>
        <color theme="1"/>
        <rFont val="Arial Narrow"/>
        <family val="2"/>
      </rPr>
      <t>Within UIA)</t>
    </r>
  </si>
  <si>
    <t>Special LU Multiplier for Formula-based Calcs</t>
  </si>
  <si>
    <t>RIF Trip Length</t>
  </si>
  <si>
    <t>% New Trips</t>
  </si>
  <si>
    <t>Printed Rate</t>
  </si>
  <si>
    <t>Printed / Calculated RIF</t>
  </si>
  <si>
    <t>Port and Terminal</t>
  </si>
  <si>
    <t>ITE Code</t>
  </si>
  <si>
    <t>Trip Length</t>
  </si>
  <si>
    <t>Impact Fee</t>
  </si>
  <si>
    <t>General Light Industrial</t>
  </si>
  <si>
    <t>Per Unit of Dev.</t>
  </si>
  <si>
    <t>New</t>
  </si>
  <si>
    <t>of Dev.</t>
  </si>
  <si>
    <t>Industrial</t>
  </si>
  <si>
    <t>%</t>
  </si>
  <si>
    <t>Industrial Park</t>
  </si>
  <si>
    <t>Trip 3</t>
  </si>
  <si>
    <t>($) 6</t>
  </si>
  <si>
    <t>Manufacturing</t>
  </si>
  <si>
    <t>Warehousing</t>
  </si>
  <si>
    <t>Truck Terminals</t>
  </si>
  <si>
    <t>9.85/1,000 GSF 4</t>
  </si>
  <si>
    <t>Mini-Warehousing</t>
  </si>
  <si>
    <t>Data Center</t>
  </si>
  <si>
    <t>6.96/1,000 GSF</t>
  </si>
  <si>
    <t>Utility</t>
  </si>
  <si>
    <t>3.82/1,000 GSF</t>
  </si>
  <si>
    <t>Residential</t>
  </si>
  <si>
    <t>Single Family Detached</t>
  </si>
  <si>
    <t>Dwelling unit</t>
  </si>
  <si>
    <t>Mini-Warehouse</t>
  </si>
  <si>
    <t>2.50/1,000 GSF</t>
  </si>
  <si>
    <t>Multi-family Housing (Low-Rise)</t>
  </si>
  <si>
    <t>Multi-family Housing (Mid-Rise)</t>
  </si>
  <si>
    <t>Single-Family Detached</t>
  </si>
  <si>
    <t>9.57/unit</t>
  </si>
  <si>
    <t>Multi-family Housing (High-Rise)</t>
  </si>
  <si>
    <t>Apartment (Rentals)</t>
  </si>
  <si>
    <t>6.72/unit</t>
  </si>
  <si>
    <t xml:space="preserve">Residential Condominium/Townhouse </t>
  </si>
  <si>
    <t>High-Rise Apartment or Condominium (more than three floors)</t>
  </si>
  <si>
    <t>4.20/unit</t>
  </si>
  <si>
    <t>Mid Rise Apart w/ 1st Commercial</t>
  </si>
  <si>
    <t>Mobile Home (Park)</t>
  </si>
  <si>
    <t>Condominium, Townhouse</t>
  </si>
  <si>
    <t>5.86/unit</t>
  </si>
  <si>
    <t>Senior Adult Housing-Detached</t>
  </si>
  <si>
    <t>Mobile Home</t>
  </si>
  <si>
    <t>4.99/unit</t>
  </si>
  <si>
    <t>Senior Adult Housing-Attached</t>
  </si>
  <si>
    <t>Senior Adult Housing—Detached</t>
  </si>
  <si>
    <t>3.68/unit</t>
  </si>
  <si>
    <t>Congregate Care Facility</t>
  </si>
  <si>
    <t>Senior Adult Housing—Attached</t>
  </si>
  <si>
    <t>3.44/unit</t>
  </si>
  <si>
    <t>Assisted Living Facility</t>
  </si>
  <si>
    <t>Bed</t>
  </si>
  <si>
    <t>2.02/unit</t>
  </si>
  <si>
    <t>Continuing Care Retirement Community</t>
  </si>
  <si>
    <t>2.66/bed</t>
  </si>
  <si>
    <t xml:space="preserve">Timeshare </t>
  </si>
  <si>
    <t>2.28/unit</t>
  </si>
  <si>
    <t>Residential PUD</t>
  </si>
  <si>
    <t>Lodging</t>
  </si>
  <si>
    <t>Hotel</t>
  </si>
  <si>
    <t>Hotel room</t>
  </si>
  <si>
    <t>All Suites Hotel</t>
  </si>
  <si>
    <t>6.24/available room</t>
  </si>
  <si>
    <t>Motel</t>
  </si>
  <si>
    <t>9.11/occupied room</t>
  </si>
  <si>
    <t>Recreational</t>
  </si>
  <si>
    <t>Business Hotel</t>
  </si>
  <si>
    <t>Marina</t>
  </si>
  <si>
    <t>2.96/berth</t>
  </si>
  <si>
    <t>Golf Course</t>
  </si>
  <si>
    <t>Berth</t>
  </si>
  <si>
    <t>Amusement Park</t>
  </si>
  <si>
    <t>75.76/acre</t>
  </si>
  <si>
    <t>Hole</t>
  </si>
  <si>
    <t>Tennis Courts (open to public; no ancillary facilities)</t>
  </si>
  <si>
    <t>31.04/court</t>
  </si>
  <si>
    <t>Movie Theater</t>
  </si>
  <si>
    <t>Racquet Club</t>
  </si>
  <si>
    <t>38.70/court</t>
  </si>
  <si>
    <t>Screens</t>
  </si>
  <si>
    <t>Health/Fitness</t>
  </si>
  <si>
    <t>4.02/1,000 GSF</t>
  </si>
  <si>
    <t>Acre</t>
  </si>
  <si>
    <t>Institutional</t>
  </si>
  <si>
    <t>Tennis Courts</t>
  </si>
  <si>
    <t>Court</t>
  </si>
  <si>
    <t>Elementary School</t>
  </si>
  <si>
    <t>1.29/student</t>
  </si>
  <si>
    <t>Recreational Community Center</t>
  </si>
  <si>
    <t>High School</t>
  </si>
  <si>
    <t>1.71/student</t>
  </si>
  <si>
    <t>Elementary School (30 FT/St)</t>
  </si>
  <si>
    <t>Student</t>
  </si>
  <si>
    <t>University</t>
  </si>
  <si>
    <t>2.38/student</t>
  </si>
  <si>
    <t>High School (25 SF/St)</t>
  </si>
  <si>
    <t>Church/Synagogue</t>
  </si>
  <si>
    <t>9.11/1,000 GSF</t>
  </si>
  <si>
    <t>Private School (K-8)</t>
  </si>
  <si>
    <t>Day Care Center</t>
  </si>
  <si>
    <t>79.26/1,000 GSF</t>
  </si>
  <si>
    <t>Private School (K-12)</t>
  </si>
  <si>
    <t>Medical</t>
  </si>
  <si>
    <t>Charter Elementary School</t>
  </si>
  <si>
    <t>Hospital</t>
  </si>
  <si>
    <t>17.57/1,000 GSF</t>
  </si>
  <si>
    <t>Jr./Community Co</t>
  </si>
  <si>
    <t>Nursing Home</t>
  </si>
  <si>
    <t>2.37/bed</t>
  </si>
  <si>
    <t>University (20SF/st)</t>
  </si>
  <si>
    <t>Clinic</t>
  </si>
  <si>
    <t>31.45/1,000 GSF</t>
  </si>
  <si>
    <t>Church</t>
  </si>
  <si>
    <t>Office</t>
  </si>
  <si>
    <t>General Office Building</t>
  </si>
  <si>
    <t>50,001—100,000</t>
  </si>
  <si>
    <t>13.34/1,000 GSF</t>
  </si>
  <si>
    <t>100,001—200,000</t>
  </si>
  <si>
    <t>11.37/1,000 GSF</t>
  </si>
  <si>
    <t>200,001—300,000</t>
  </si>
  <si>
    <t>10.36/1,000 GSF</t>
  </si>
  <si>
    <t>Animal Hospital / Veterinary Clinic</t>
  </si>
  <si>
    <t>300,001—400,000</t>
  </si>
  <si>
    <t>9.70/1,000 GSF</t>
  </si>
  <si>
    <t>Free-standing Emergency Room</t>
  </si>
  <si>
    <t>400,001—500,000</t>
  </si>
  <si>
    <t>9.21/1,000 GSF</t>
  </si>
  <si>
    <t>500,001—600,000</t>
  </si>
  <si>
    <t>1 - 50,000</t>
  </si>
  <si>
    <t>600,001—700,000</t>
  </si>
  <si>
    <t>8.53/1,000 GSF</t>
  </si>
  <si>
    <t>50,001 - 100,000</t>
  </si>
  <si>
    <t>700,001—more</t>
  </si>
  <si>
    <t>8.27/1,000 GSF</t>
  </si>
  <si>
    <t>100,001 - 150,000</t>
  </si>
  <si>
    <t>Medical Office Building</t>
  </si>
  <si>
    <t>36.13/1,000 GSF</t>
  </si>
  <si>
    <t>150,001 - 200,000</t>
  </si>
  <si>
    <t>Office Park 7</t>
  </si>
  <si>
    <t>11.42/GSF</t>
  </si>
  <si>
    <t>200,001 - 300,000</t>
  </si>
  <si>
    <t>Research Center</t>
  </si>
  <si>
    <t>8.11/1,000 GSF</t>
  </si>
  <si>
    <t>300,001 - 400,000</t>
  </si>
  <si>
    <t>Business Park</t>
  </si>
  <si>
    <t>12.76/1,000 GSF</t>
  </si>
  <si>
    <t>400,001 - 500,000</t>
  </si>
  <si>
    <t>Retail</t>
  </si>
  <si>
    <t>500,001 - 600,000</t>
  </si>
  <si>
    <t>Discount Superstore (free standing)</t>
  </si>
  <si>
    <t>50.75/1,000 GSF</t>
  </si>
  <si>
    <t>600,001 - 700,000</t>
  </si>
  <si>
    <t>Hardware/Paint Store/Pool Supply (free standing)</t>
  </si>
  <si>
    <t>51.29/1,000 GSF</t>
  </si>
  <si>
    <t>700,001 - more</t>
  </si>
  <si>
    <t>Nursery/Garden Center</t>
  </si>
  <si>
    <t>36.08/1,000 GSF</t>
  </si>
  <si>
    <t>Small Office Building</t>
  </si>
  <si>
    <t>Shopping Center/General Retail</t>
  </si>
  <si>
    <t>Corporate Headquarters Buildings</t>
  </si>
  <si>
    <t>1—10,000</t>
  </si>
  <si>
    <t>152.03/1,000 GSF</t>
  </si>
  <si>
    <t>Single Tenant Office Building</t>
  </si>
  <si>
    <t>10,001—50,000</t>
  </si>
  <si>
    <t>86.56/1,000 GSF</t>
  </si>
  <si>
    <t>67.91/1,000 GSF</t>
  </si>
  <si>
    <t>Government Office Building</t>
  </si>
  <si>
    <t>53.28/1,000 GSF</t>
  </si>
  <si>
    <t>State Motor Vehicles Department</t>
  </si>
  <si>
    <t>46.23/1,000 GSF</t>
  </si>
  <si>
    <t>Government Office Complex</t>
  </si>
  <si>
    <t>41.80/1,000 GSF</t>
  </si>
  <si>
    <t>Office Park</t>
  </si>
  <si>
    <t>38.66/1,000 GSF</t>
  </si>
  <si>
    <t>36.27/1,000 GSF</t>
  </si>
  <si>
    <t>600,001—800,000</t>
  </si>
  <si>
    <t>32.80/1,000 GSF</t>
  </si>
  <si>
    <t>Building Materials and Lumber Store</t>
  </si>
  <si>
    <t>1,000,001—1,200,000</t>
  </si>
  <si>
    <t>28.46/1,000 GSF</t>
  </si>
  <si>
    <t>Discount Superstore (Free standing)</t>
  </si>
  <si>
    <t>1,200,001—more</t>
  </si>
  <si>
    <t>27.67/1,000 GSF</t>
  </si>
  <si>
    <t>Hardware/Paint Store/Pool Suply</t>
  </si>
  <si>
    <t>Car Sales 5</t>
  </si>
  <si>
    <t>Nursery Garden Center</t>
  </si>
  <si>
    <t>Car Sales (new and used car sales area)</t>
  </si>
  <si>
    <t>33.56/1,000 GSF</t>
  </si>
  <si>
    <t>Shopping Center/General Retail…</t>
  </si>
  <si>
    <t>Car Sales (services and parts sales area)</t>
  </si>
  <si>
    <t>21.44/1,000 GSF</t>
  </si>
  <si>
    <t>1 - 10,000</t>
  </si>
  <si>
    <t>Tire Store</t>
  </si>
  <si>
    <t>24.87/1,000 GSF</t>
  </si>
  <si>
    <t>10,001 - 50,000</t>
  </si>
  <si>
    <t>Supermarket (free standing)</t>
  </si>
  <si>
    <t>Convenience Market</t>
  </si>
  <si>
    <t>737.99/1,000 GSF</t>
  </si>
  <si>
    <t>100,001 - 200,000</t>
  </si>
  <si>
    <t>Convenience Market with Gasoline</t>
  </si>
  <si>
    <t>845.60/1,000 GSF</t>
  </si>
  <si>
    <t>Home Improvement Superstore</t>
  </si>
  <si>
    <t>30.74/1,000 GSF</t>
  </si>
  <si>
    <t>Department Store (free standing)</t>
  </si>
  <si>
    <t>22.88/1,000 GSF</t>
  </si>
  <si>
    <t>Pharmacy/Drugstore (no Drive thru)</t>
  </si>
  <si>
    <t>90.06/1,000 GSF</t>
  </si>
  <si>
    <t>Pharmacy/Drugstore (with Drive thru)</t>
  </si>
  <si>
    <t>96.91/1,000 GSF</t>
  </si>
  <si>
    <t>600,001 - 800,000</t>
  </si>
  <si>
    <t>Furniture Store (free standing)</t>
  </si>
  <si>
    <t>5.06/1,000 GSF</t>
  </si>
  <si>
    <t>800,001 - 1,000,000</t>
  </si>
  <si>
    <t>Services</t>
  </si>
  <si>
    <t>1,000,001 - 1,200,000</t>
  </si>
  <si>
    <t>Bank (Walk-in)</t>
  </si>
  <si>
    <t>156.48/1,000 GSF</t>
  </si>
  <si>
    <t>1,200,001 - more</t>
  </si>
  <si>
    <t>Bank (Drive-in)</t>
  </si>
  <si>
    <t>246.49/1,000 GSF</t>
  </si>
  <si>
    <t>Factory Outlet Center</t>
  </si>
  <si>
    <t>Quality Restaurant</t>
  </si>
  <si>
    <t>89.95/1,000 GSF -or-</t>
  </si>
  <si>
    <t>Car Sales (New &amp; Used Car Sales Area)</t>
  </si>
  <si>
    <t>2.86/seat 8</t>
  </si>
  <si>
    <t>Car Sales (Parts Sales)</t>
  </si>
  <si>
    <t>High Turnover Restaurant</t>
  </si>
  <si>
    <t>158.37/1,000 GSF -or-</t>
  </si>
  <si>
    <t>Tire Stores</t>
  </si>
  <si>
    <t>High Turnover Restaurant (optional)</t>
  </si>
  <si>
    <t>4.83/seat 8</t>
  </si>
  <si>
    <t>Fast Food Restaurant No Drive Thru</t>
  </si>
  <si>
    <t>716.00/1,000 GSF</t>
  </si>
  <si>
    <t>Convenience market</t>
  </si>
  <si>
    <t>Fast Food Restaurant with Drive Thru</t>
  </si>
  <si>
    <t>496.12/1,000 GSF</t>
  </si>
  <si>
    <t>Convenience market with Gasoline Pump</t>
  </si>
  <si>
    <t>Coffee / Donut Shop</t>
  </si>
  <si>
    <t>818.58/1,000 GSF</t>
  </si>
  <si>
    <t>Discount Club</t>
  </si>
  <si>
    <t>Service Stations w/Gasoline</t>
  </si>
  <si>
    <t>168.56/pump</t>
  </si>
  <si>
    <t>Sporting Goods Store</t>
  </si>
  <si>
    <t>Home Improvements Superstore</t>
  </si>
  <si>
    <t>Electronics Superstore</t>
  </si>
  <si>
    <t>Book Superstore</t>
  </si>
  <si>
    <t>Discount Home Furnishing Superstore</t>
  </si>
  <si>
    <t>Apparel Store</t>
  </si>
  <si>
    <t>Arts &amp; Crafts Store</t>
  </si>
  <si>
    <t>Pharmacy/Drugstore w/o Drive-Thru</t>
  </si>
  <si>
    <t>Pharmacy/Drugstore w/ Drive-Thru</t>
  </si>
  <si>
    <t>Marijuana Dispensary</t>
  </si>
  <si>
    <t>Liquor Store</t>
  </si>
  <si>
    <t>Quality Restaurant / Seats</t>
  </si>
  <si>
    <t>Seat</t>
  </si>
  <si>
    <t>High Turnover Rest</t>
  </si>
  <si>
    <t>Fast Food Rest. w/o Drive-Thru</t>
  </si>
  <si>
    <t>Fast Food Rest. w/ Drive-Thru</t>
  </si>
  <si>
    <t>Coffee/Donut Shop</t>
  </si>
  <si>
    <t>Service Stations w/ Gasoline</t>
  </si>
  <si>
    <t>Pump</t>
  </si>
  <si>
    <t>Orange cells</t>
  </si>
  <si>
    <t>indicate 9th edition source from Trip Generation</t>
  </si>
  <si>
    <t>Yellow cells</t>
  </si>
  <si>
    <t>indicate formula-based rates</t>
  </si>
  <si>
    <t>ITE Vehicle Trip Rates - derivation of Countywide conditions</t>
  </si>
  <si>
    <t>Values pasted below from F_24_B_PMT for PMT in 2045 daily trips for Ps plus As</t>
  </si>
  <si>
    <t>STEP</t>
  </si>
  <si>
    <t>Mobility_Fee_Mode_Summaries_24hr_all_07232020.xlsx</t>
  </si>
  <si>
    <t>Unit rate for ITE daily vehicle trips (hypothetical, only used for purposes of placing information in context)</t>
  </si>
  <si>
    <t>Summary by Corridors</t>
  </si>
  <si>
    <t>Total Counting Values</t>
  </si>
  <si>
    <t xml:space="preserve">Assumed average vehicle occupancy </t>
  </si>
  <si>
    <t>Corridor</t>
  </si>
  <si>
    <t>Smart</t>
  </si>
  <si>
    <t>All Modes</t>
  </si>
  <si>
    <t>Auto Share of PMT</t>
  </si>
  <si>
    <t>Person trips in vehicles</t>
  </si>
  <si>
    <t>All</t>
  </si>
  <si>
    <t>Yes</t>
  </si>
  <si>
    <t>From Ring 3-No, assume ITE rates result in baseline trips by:</t>
  </si>
  <si>
    <t>Factor to expand ITE vehicle trip generation rate to assumed Miami-Dade Countywide person trip generation rate</t>
  </si>
  <si>
    <t>No</t>
  </si>
  <si>
    <t>max</t>
  </si>
  <si>
    <t>Values pasted below from F_24_B_PMT for Trips in 2045 daily trips for Ps plus As</t>
  </si>
  <si>
    <t>Auto Share of Trips</t>
  </si>
  <si>
    <t>Values pasted below from F_24_B_length for Average Trip Lengths in 2045 daily trips for Ps plus As</t>
  </si>
  <si>
    <t>Adjustments for Pass-by and Trip Lengths</t>
  </si>
  <si>
    <t>Survey Trip Type for Trip Length</t>
  </si>
  <si>
    <t>Change in Average Trip Length for Primary Use Type Purpose (non-JTW)</t>
  </si>
  <si>
    <t>Assumed Percent Primary Purpose (as opposed to JTW)</t>
  </si>
  <si>
    <t>Weighted Adjustment to Average Trip Length</t>
  </si>
  <si>
    <t>Person Trip Length Adjustment</t>
  </si>
  <si>
    <t>Survey Trip Type for Pass-By</t>
  </si>
  <si>
    <t>Pass-by Trip Adjustment</t>
  </si>
  <si>
    <t>Truck Terminal</t>
  </si>
  <si>
    <t>Mid Rise Apart w/ 1st Commerical</t>
  </si>
  <si>
    <t>Corportate Headquarters Buildings</t>
  </si>
  <si>
    <t>Car Sales (Service and Parts Sales Area)</t>
  </si>
  <si>
    <t>Average Trip Length by Origin Activity - All Modes</t>
  </si>
  <si>
    <t>TRIP LENGTHS</t>
  </si>
  <si>
    <t xml:space="preserve">PASS BY </t>
  </si>
  <si>
    <t>Activity</t>
  </si>
  <si>
    <t>Average Distance by Origin Activity</t>
  </si>
  <si>
    <t>Average Distance by Destination Activity</t>
  </si>
  <si>
    <t>Type</t>
  </si>
  <si>
    <t>Average</t>
  </si>
  <si>
    <t>Pct total average</t>
  </si>
  <si>
    <t>Percent pass-by trips</t>
  </si>
  <si>
    <t>Paid work (employment/job-related work at place of employment, home, or remotely)</t>
  </si>
  <si>
    <t>Home activities (sleeping, chores, walking dog)</t>
  </si>
  <si>
    <t>Attend classes (daycare, childcare, elem. school, high school, college, professional)</t>
  </si>
  <si>
    <t>Other school activities (studying, student meetings, school clubs/associations)</t>
  </si>
  <si>
    <t>Personal business (ATM, banking, medical, salon)</t>
  </si>
  <si>
    <t>Major shopping (appliances, cars, home furnishings, clothes)</t>
  </si>
  <si>
    <t>Everyday shopping (grocery, drug store, gas)</t>
  </si>
  <si>
    <t>Visiting friends/relatives</t>
  </si>
  <si>
    <t xml:space="preserve">Participate in recreation/leisure (running, hiking, playing sports, exercising, social groups)  </t>
  </si>
  <si>
    <t>Attend entertainment, sports, cultural events (watching concerts, movies, plays, museum, attending sports games)</t>
  </si>
  <si>
    <t>Dining and drinking (restaurant, drive-thru, cup of coffee, bar and pub)</t>
  </si>
  <si>
    <t>Religious/community (worship, wedding, funeral, volunteer work, civic meetings)</t>
  </si>
  <si>
    <t>Pick-up/Drop-off passenger(s) (pick up spouse, drop-off child)</t>
  </si>
  <si>
    <t>Other:________________ text box size: 1 row, 50 alphanumeric characters&gt;</t>
  </si>
  <si>
    <t>Unknown or does not apply</t>
  </si>
  <si>
    <t>Grand Total</t>
  </si>
  <si>
    <t xml:space="preserve">2045 Daily </t>
  </si>
  <si>
    <t>Columns from R scripting of SERPM8 Model Summaries</t>
  </si>
  <si>
    <t>F_TAZ</t>
  </si>
  <si>
    <t>trips_auto</t>
  </si>
  <si>
    <t>trips_bike</t>
  </si>
  <si>
    <t>trips_transit</t>
  </si>
  <si>
    <t>trips_walk</t>
  </si>
  <si>
    <t>pmt_auto</t>
  </si>
  <si>
    <t>pmt_bike</t>
  </si>
  <si>
    <t>pmt_transit</t>
  </si>
  <si>
    <t>pmt_walk</t>
  </si>
  <si>
    <t>dist_auto</t>
  </si>
  <si>
    <t>dist_bike</t>
  </si>
  <si>
    <t>dist_transit</t>
  </si>
  <si>
    <t>dist_walk</t>
  </si>
  <si>
    <t>Pct_A</t>
  </si>
  <si>
    <t>Pct_B</t>
  </si>
  <si>
    <t>Pct_T</t>
  </si>
  <si>
    <t>Pct_W</t>
  </si>
  <si>
    <t>A</t>
  </si>
  <si>
    <t>E</t>
  </si>
  <si>
    <t>B</t>
  </si>
  <si>
    <t>C</t>
  </si>
  <si>
    <t>D</t>
  </si>
  <si>
    <t>Broward and Palm Beach County</t>
  </si>
  <si>
    <t>Summary by Updated Fee District Definitions</t>
  </si>
  <si>
    <t>Check of Fee District Assembly</t>
  </si>
  <si>
    <t>TOTAL Trips</t>
  </si>
  <si>
    <t>TOTAL PMT</t>
  </si>
  <si>
    <t>T_TAZ</t>
  </si>
  <si>
    <t>Vehicle Trip Capacity per Mile (3)</t>
  </si>
  <si>
    <t>Improvement Cost per Mile (000s)</t>
  </si>
  <si>
    <t>Net Roadway Cost per Capacity Mile</t>
  </si>
  <si>
    <t>In SMART Plan Corridor</t>
  </si>
  <si>
    <t>Outside SMART Plan Corridor</t>
  </si>
  <si>
    <t>Within SMART Plan Corridor</t>
  </si>
  <si>
    <t>Ring 1 In</t>
  </si>
  <si>
    <t>Ring 2 In</t>
  </si>
  <si>
    <t>Ring 3 In</t>
  </si>
  <si>
    <t>Ring 4 In</t>
  </si>
  <si>
    <t>Ring 1 Out</t>
  </si>
  <si>
    <t>Ring 2 Out</t>
  </si>
  <si>
    <t>Ring 3 Out</t>
  </si>
  <si>
    <t>Ring 4 Out</t>
  </si>
  <si>
    <t>Roadway Improvement Types</t>
  </si>
  <si>
    <t>LOS C</t>
  </si>
  <si>
    <t>LOS D</t>
  </si>
  <si>
    <t>LOS E</t>
  </si>
  <si>
    <t>Cost (1)</t>
  </si>
  <si>
    <t>% Credit (2)</t>
  </si>
  <si>
    <t>Credits</t>
  </si>
  <si>
    <t>Net Costs</t>
  </si>
  <si>
    <t>LOS Target</t>
  </si>
  <si>
    <t>VMC</t>
  </si>
  <si>
    <t>% Use (4)</t>
  </si>
  <si>
    <t>Cost / VMC</t>
  </si>
  <si>
    <t>LOS</t>
  </si>
  <si>
    <t>LOS (4)</t>
  </si>
  <si>
    <t>Pct Use (5)</t>
  </si>
  <si>
    <t>Pct</t>
  </si>
  <si>
    <t>Expressways</t>
  </si>
  <si>
    <t>c</t>
  </si>
  <si>
    <t>d</t>
  </si>
  <si>
    <t>e</t>
  </si>
  <si>
    <t xml:space="preserve">  Expressway (6 lanes)</t>
  </si>
  <si>
    <t xml:space="preserve">  Expressways (8 lanes)</t>
  </si>
  <si>
    <t xml:space="preserve">  Expressways add 2 lanes</t>
  </si>
  <si>
    <t>Arterials / collectors</t>
  </si>
  <si>
    <t xml:space="preserve">  Class II arterial (4 lanes)</t>
  </si>
  <si>
    <t xml:space="preserve">  Class II arterial (6 lanes)</t>
  </si>
  <si>
    <t xml:space="preserve">  Class II arterial add 2 lanes</t>
  </si>
  <si>
    <t>Legend</t>
  </si>
  <si>
    <t>User input cells</t>
  </si>
  <si>
    <t>Calculated cells</t>
  </si>
  <si>
    <t>Weighted Net Cost / VMC</t>
  </si>
  <si>
    <t>Sources</t>
  </si>
  <si>
    <t>Zone Capacity Factor</t>
  </si>
  <si>
    <t>(1) FDOT / Miami Dade historical construction cost data</t>
  </si>
  <si>
    <t>Zone Cost Factor</t>
  </si>
  <si>
    <t xml:space="preserve">(2) Miami Dade TPO 2045 Long Range Transportation Plan </t>
  </si>
  <si>
    <t>(3) FDOT Generalized Level of Service Tables</t>
  </si>
  <si>
    <t>(4) SERPM v8 highway assignment summaries</t>
  </si>
  <si>
    <t>Person Trip Capacity per Seat Mile (1)</t>
  </si>
  <si>
    <t>Net Capital Cost per Seat Mile</t>
  </si>
  <si>
    <t>Operating Costs per Seat Mile</t>
  </si>
  <si>
    <t>Net Oper Cost per Capcity Mile</t>
  </si>
  <si>
    <t>Total Cost Per Capacity Mile</t>
  </si>
  <si>
    <t>Net Cost per Seat Mile Inside SMART Plan Corridor</t>
  </si>
  <si>
    <t>Net Cost per Seat Mile Outside SMART Plan Corridor</t>
  </si>
  <si>
    <t>Inside SMART Plan Corridor</t>
  </si>
  <si>
    <t>Facility Types</t>
  </si>
  <si>
    <t>Headway (min)</t>
  </si>
  <si>
    <t>Service Span (hours)</t>
  </si>
  <si>
    <t>Seats per Car</t>
  </si>
  <si>
    <t>Cars per Train</t>
  </si>
  <si>
    <t>Seats per Veh/ Train</t>
  </si>
  <si>
    <t>Seats per Day per Mile</t>
  </si>
  <si>
    <t>Total Miles</t>
  </si>
  <si>
    <t>Total Seat Miles</t>
  </si>
  <si>
    <t>Total Improvement Cost (millions)</t>
  </si>
  <si>
    <t xml:space="preserve"> 2045 Funded Cost</t>
  </si>
  <si>
    <t>Total Cost per Seat Mile</t>
  </si>
  <si>
    <t>2045 Funded Cost per Seat Mile</t>
  </si>
  <si>
    <t>Pct. Occupied Seats (3)</t>
  </si>
  <si>
    <t>Cost per Occupied Seat</t>
  </si>
  <si>
    <t>Proportional Improvement Length 2045</t>
  </si>
  <si>
    <t>Weighted Cost</t>
  </si>
  <si>
    <t>% Transit Needs Funded (2)</t>
  </si>
  <si>
    <t>Cost Credits</t>
  </si>
  <si>
    <t>Total Cost (000s)</t>
  </si>
  <si>
    <t>% Funded</t>
  </si>
  <si>
    <t>Credits (000s)</t>
  </si>
  <si>
    <t>Net Cost (000s)</t>
  </si>
  <si>
    <t>Usage Factor (3)</t>
  </si>
  <si>
    <t>Cost</t>
  </si>
  <si>
    <t>Usage Factor (4)</t>
  </si>
  <si>
    <t>Metrorail</t>
  </si>
  <si>
    <t>Light rail transit</t>
  </si>
  <si>
    <t>Bus rapid transit</t>
  </si>
  <si>
    <t>Express bus</t>
  </si>
  <si>
    <t>Local bus</t>
  </si>
  <si>
    <t>Improvement Types</t>
  </si>
  <si>
    <t>SMART Plan premium(A)</t>
  </si>
  <si>
    <t>Local bus (5)</t>
  </si>
  <si>
    <t>Notes</t>
  </si>
  <si>
    <t>(A) SMART Plan premium transit facility type combines Metrorail, light rail transit, and bus rapid transit technologies</t>
  </si>
  <si>
    <t>(1) Miami Dade DTPW / TPO</t>
  </si>
  <si>
    <t>(2) Miami Dade TPO 2045 Long Range Transportation Plan - reflects the proportion of the total SMART Plan improvement needs funded by 2046</t>
  </si>
  <si>
    <t>(3) 2045 SERPM v8 transit assignments</t>
  </si>
  <si>
    <t>Walkers + Cyclists per Hour (1)</t>
  </si>
  <si>
    <t>Daily Walk / Bike Capacity per Mile</t>
  </si>
  <si>
    <t>Facility Capital Cost per Mile</t>
  </si>
  <si>
    <t>Facility Operating Costs per Mile</t>
  </si>
  <si>
    <t>Total Net Cost (000s)</t>
  </si>
  <si>
    <t>SMART Plan In</t>
  </si>
  <si>
    <t>SMART Plan Out</t>
  </si>
  <si>
    <t>Walk / Bike Facility Types</t>
  </si>
  <si>
    <t>Peak Factor (2)</t>
  </si>
  <si>
    <t>Total Cost (000s) (3)</t>
  </si>
  <si>
    <t>% Funded (4)</t>
  </si>
  <si>
    <t>Net Capital Cost (000s)</t>
  </si>
  <si>
    <t>Pct Funded</t>
  </si>
  <si>
    <t>LOS Target  (A)</t>
  </si>
  <si>
    <t>Person Miles of Capacity</t>
  </si>
  <si>
    <t>Usage Factor (5)</t>
  </si>
  <si>
    <t>Cost / PMC</t>
  </si>
  <si>
    <t>On road sidewalk / bike path</t>
  </si>
  <si>
    <t>Exclusive mixed use path</t>
  </si>
  <si>
    <t>Exclusive bike lane</t>
  </si>
  <si>
    <t>Walk paths</t>
  </si>
  <si>
    <t>Calculation cells</t>
  </si>
  <si>
    <t>(A) LOS target set by policy</t>
  </si>
  <si>
    <t xml:space="preserve">(1) FHWA, New York City research (links below) </t>
  </si>
  <si>
    <t>(2) Based on SERPM peak period / daily bike and walking ratios</t>
  </si>
  <si>
    <t>(3) Miami Dade TPO 2045 Long Range Transportation Plan / Miami-Dade DTPW / FDOT</t>
  </si>
  <si>
    <t>(4) Miami Dade TPO 2045 Long Range Transportation Plan</t>
  </si>
  <si>
    <t>(5) SERPM v8 highway assignment summaries</t>
  </si>
  <si>
    <t>Bike / ped research links</t>
  </si>
  <si>
    <t>https://www1.nyc.gov/assets/planning/download/pdf/plans/transportation/td_pedloschaptertwo.pdf</t>
  </si>
  <si>
    <t>http://www.pedbikeinfo.org/cms/downloads/Eval_SharedUsePaths_Final.pdf</t>
  </si>
  <si>
    <t>https://www.fhwa.dot.gov/publications/research/safety/pedbike/98108/chapter2.cfm</t>
  </si>
  <si>
    <t>TABLE 1 Level of Service (LOS) for two-lane, two-way exclusive bicycle paths (2.1- to 2.4-m paths)</t>
  </si>
  <si>
    <t>TABLE 2 Level of Service (LOS) for three-lane, two-way exclusive bicycle paths (3–m paths)</t>
  </si>
  <si>
    <t>TABLE 12 Level of Service (LOS) thresholds for two–way, two–lane, mixed–use paths.</t>
  </si>
  <si>
    <t>Total frequency of events (events/h)</t>
  </si>
  <si>
    <t>Two-lane service volume (bikes/h) in both directions (50:50 split)</t>
  </si>
  <si>
    <t>Three-lane service volume (bikes/h) in both directions (50:50 split)</t>
  </si>
  <si>
    <t>Period Between Events</t>
  </si>
  <si>
    <t>Service Volume</t>
  </si>
  <si>
    <t>(bicycles/h)</t>
  </si>
  <si>
    <t>&lt; 40</t>
  </si>
  <si>
    <t>&lt; 90</t>
  </si>
  <si>
    <t>(s/event)</t>
  </si>
  <si>
    <t>&lt; 29</t>
  </si>
  <si>
    <t>&lt; 60</t>
  </si>
  <si>
    <t>&lt; 140</t>
  </si>
  <si>
    <t>&gt; 95</t>
  </si>
  <si>
    <t>29 – 44</t>
  </si>
  <si>
    <t>&lt; 100</t>
  </si>
  <si>
    <t>&lt; 210</t>
  </si>
  <si>
    <t>60 – 95</t>
  </si>
  <si>
    <t>45 – 75</t>
  </si>
  <si>
    <t>&lt; 150</t>
  </si>
  <si>
    <t>&lt; 300</t>
  </si>
  <si>
    <t>35 – 60</t>
  </si>
  <si>
    <t>76 – 105</t>
  </si>
  <si>
    <t>&lt; 195</t>
  </si>
  <si>
    <t>&lt; 375</t>
  </si>
  <si>
    <t>25 – 35</t>
  </si>
  <si>
    <t>106 – 131</t>
  </si>
  <si>
    <t>F</t>
  </si>
  <si>
    <t>≥ 195</t>
  </si>
  <si>
    <t>------</t>
  </si>
  <si>
    <t>≥ 375</t>
  </si>
  <si>
    <t>20 – 25</t>
  </si>
  <si>
    <t>&gt; 131</t>
  </si>
  <si>
    <t>&lt; 20</t>
  </si>
  <si>
    <t>TABLE 4 Recommended HCM walkway Level of Service (LOS) criteria.</t>
  </si>
  <si>
    <t>Flow Rate</t>
  </si>
  <si>
    <t>Average Speed</t>
  </si>
  <si>
    <t>v/c ratio</t>
  </si>
  <si>
    <r>
      <t>(ft</t>
    </r>
    <r>
      <rPr>
        <vertAlign val="superscript"/>
        <sz val="11"/>
        <color rgb="FF000000"/>
        <rFont val="Arial Narrow"/>
        <family val="2"/>
      </rPr>
      <t>2</t>
    </r>
    <r>
      <rPr>
        <sz val="11"/>
        <color rgb="FF000000"/>
        <rFont val="Arial Narrow"/>
        <family val="2"/>
      </rPr>
      <t>/ped)</t>
    </r>
  </si>
  <si>
    <t>(ped/min/m)</t>
  </si>
  <si>
    <t>(ped/min/ft)</t>
  </si>
  <si>
    <t>(m/s)</t>
  </si>
  <si>
    <t>(ft/min)</t>
  </si>
  <si>
    <t>≥ 60</t>
  </si>
  <si>
    <t>≤ 16</t>
  </si>
  <si>
    <t>≤ 5</t>
  </si>
  <si>
    <t>≥ 1.3</t>
  </si>
  <si>
    <t>≥ 255</t>
  </si>
  <si>
    <t>40–60</t>
  </si>
  <si>
    <t>16–23</t>
  </si>
  <si>
    <t>7–May</t>
  </si>
  <si>
    <t>1.27–1.30</t>
  </si>
  <si>
    <t>250–255</t>
  </si>
  <si>
    <t>0.21–0.31</t>
  </si>
  <si>
    <t>24–40</t>
  </si>
  <si>
    <t>23–33</t>
  </si>
  <si>
    <t>10–Jul</t>
  </si>
  <si>
    <t>1.22–1.27</t>
  </si>
  <si>
    <t>240–250</t>
  </si>
  <si>
    <t>0.31–0.44</t>
  </si>
  <si>
    <r>
      <t>SOURCE: Adapted from </t>
    </r>
    <r>
      <rPr>
        <i/>
        <sz val="11"/>
        <color rgb="FF000000"/>
        <rFont val="Arial Narrow"/>
        <family val="2"/>
      </rPr>
      <t>Botma</t>
    </r>
    <r>
      <rPr>
        <sz val="11"/>
        <color rgb="FF000000"/>
        <rFont val="Arial Narrow"/>
        <family val="2"/>
      </rPr>
      <t>, 1995.</t>
    </r>
  </si>
  <si>
    <t>15–24</t>
  </si>
  <si>
    <t>33–49</t>
  </si>
  <si>
    <t>15–Oct</t>
  </si>
  <si>
    <t>1.14–1.22</t>
  </si>
  <si>
    <t>225–240</t>
  </si>
  <si>
    <t>0.44–0.65</t>
  </si>
  <si>
    <t>15–Aug</t>
  </si>
  <si>
    <t>49–75</t>
  </si>
  <si>
    <t>15–23</t>
  </si>
  <si>
    <t>0.75–1.14</t>
  </si>
  <si>
    <t>150–225</t>
  </si>
  <si>
    <t>0.65–1.0</t>
  </si>
  <si>
    <t>≤ 8</t>
  </si>
  <si>
    <t>var.</t>
  </si>
  <si>
    <t>≤ 0.75</t>
  </si>
  <si>
    <t>≤ 150</t>
  </si>
  <si>
    <t>Space</t>
  </si>
  <si>
    <r>
      <t>(m</t>
    </r>
    <r>
      <rPr>
        <vertAlign val="superscript"/>
        <sz val="10"/>
        <color rgb="FF000000"/>
        <rFont val="Arial Narrow"/>
        <family val="2"/>
      </rPr>
      <t>2</t>
    </r>
    <r>
      <rPr>
        <sz val="10"/>
        <color rgb="FF000000"/>
        <rFont val="Arial Narrow"/>
        <family val="2"/>
      </rPr>
      <t>/ped)</t>
    </r>
  </si>
  <si>
    <t>≥ 5.6</t>
  </si>
  <si>
    <t>3.7–5.6</t>
  </si>
  <si>
    <t>2.2–3.7</t>
  </si>
  <si>
    <t>1.4–2.2</t>
  </si>
  <si>
    <t>0.75–1.4</t>
  </si>
  <si>
    <r>
      <t>TABLE 4 Recommended </t>
    </r>
    <r>
      <rPr>
        <b/>
        <i/>
        <sz val="10"/>
        <color rgb="FF000000"/>
        <rFont val="Arial Narrow"/>
        <family val="2"/>
      </rPr>
      <t>HCM</t>
    </r>
    <r>
      <rPr>
        <b/>
        <sz val="10"/>
        <color rgb="FF000000"/>
        <rFont val="Arial Narrow"/>
        <family val="2"/>
      </rPr>
      <t> walkway Level of Service (LOS) criteria.</t>
    </r>
  </si>
  <si>
    <t>Length</t>
  </si>
  <si>
    <t>Rate</t>
  </si>
  <si>
    <t>Assess</t>
  </si>
  <si>
    <t>Pass by</t>
  </si>
  <si>
    <t>Exp/Toll</t>
  </si>
  <si>
    <t>VMT</t>
  </si>
  <si>
    <t>PPV</t>
  </si>
  <si>
    <t>PMT</t>
  </si>
  <si>
    <t>Cost / Cap</t>
  </si>
  <si>
    <t>Total Cost</t>
  </si>
  <si>
    <t>Gas Tax</t>
  </si>
  <si>
    <t>Net Fee</t>
  </si>
  <si>
    <t>Days</t>
  </si>
  <si>
    <t>$ Gal/Cap</t>
  </si>
  <si>
    <t>Fuel</t>
  </si>
  <si>
    <t>PV</t>
  </si>
  <si>
    <t>Hillsborough</t>
  </si>
  <si>
    <t>Gas tax to capital</t>
  </si>
  <si>
    <t>PV factor</t>
  </si>
  <si>
    <t>City</t>
  </si>
  <si>
    <t>County</t>
  </si>
  <si>
    <t>State</t>
  </si>
  <si>
    <t>Gal to Cap</t>
  </si>
  <si>
    <t>Per VMT</t>
  </si>
  <si>
    <t>Credit per VMT</t>
  </si>
  <si>
    <t>Per PMT</t>
  </si>
  <si>
    <t>Cost per PMT</t>
  </si>
  <si>
    <t>Credit</t>
  </si>
  <si>
    <t>DATE LAST MODIFIED</t>
  </si>
  <si>
    <t>VEHICLE TRIPS</t>
  </si>
  <si>
    <t>PERSON TRIPS</t>
  </si>
  <si>
    <t>Daily Trip Rate (Chapter 33)</t>
  </si>
  <si>
    <t>Daily Vehicle Trip Rates (ITE  10) General Urban / Sub</t>
  </si>
  <si>
    <t>Daily Vehicle Trip Rates (ITE 10) Multi-Use Urban</t>
  </si>
  <si>
    <t>Daily Vehicle Trip Rates (ITE 10) Urban General</t>
  </si>
  <si>
    <t>Person Trips (ITE 10): Dense Multi-Use Urban</t>
  </si>
  <si>
    <t xml:space="preserve">  </t>
  </si>
  <si>
    <t>Average Trip Length (miles)</t>
  </si>
  <si>
    <t>Pct. New Trips</t>
  </si>
  <si>
    <t>Pct. Auto Trips</t>
  </si>
  <si>
    <t>Vehicle Miles Traveled</t>
  </si>
  <si>
    <t>Lane Miles of Capacity</t>
  </si>
  <si>
    <t>Lane Mile Consumption</t>
  </si>
  <si>
    <t>Cost per Lane Mile</t>
  </si>
  <si>
    <t>Net Cost Per Lane Mile</t>
  </si>
  <si>
    <t>Calculated Rate</t>
  </si>
  <si>
    <t>Printed Rate (non UIA)</t>
  </si>
  <si>
    <t>Printed Rate (UIA)</t>
  </si>
  <si>
    <t>Ratio</t>
  </si>
  <si>
    <t>Updated Net Cost</t>
  </si>
  <si>
    <t>N/A</t>
  </si>
  <si>
    <t>-</t>
  </si>
  <si>
    <t>High-Rise Apart or Condo over 3 floors</t>
  </si>
  <si>
    <t>Condominium / Townhouse / Duplex</t>
  </si>
  <si>
    <t>Resort Hotel</t>
  </si>
  <si>
    <t>Multipurpose Recreational</t>
  </si>
  <si>
    <t>Church / Synagogue</t>
  </si>
  <si>
    <t>Fire Rescue</t>
  </si>
  <si>
    <t>Construction Equipment Rental Store</t>
  </si>
  <si>
    <t>Baby Superstore</t>
  </si>
  <si>
    <t>High Turnover Rest.</t>
  </si>
  <si>
    <t>High turnover Rest/Seats</t>
  </si>
  <si>
    <t>Step 1: Calculate Travel Demand (VMT)</t>
  </si>
  <si>
    <t>Step 2: Consumption</t>
  </si>
  <si>
    <t>Step 3: Net Improvement Cost</t>
  </si>
  <si>
    <t>Step 4: Fee</t>
  </si>
  <si>
    <t>Land use</t>
  </si>
  <si>
    <t>ITE Trip Rate</t>
  </si>
  <si>
    <t>% Auto Trips</t>
  </si>
  <si>
    <t>Trip Ends / Trip</t>
  </si>
  <si>
    <t>Lane Mile Capacity</t>
  </si>
  <si>
    <t>Lane Mile Demand</t>
  </si>
  <si>
    <t>Impact Fee Calc</t>
  </si>
  <si>
    <t>Schedule</t>
  </si>
  <si>
    <t>Fee</t>
  </si>
  <si>
    <t>Single family (unit)</t>
  </si>
  <si>
    <t>Multifamily (unit)</t>
  </si>
  <si>
    <t>Office (1,000 feet)</t>
  </si>
  <si>
    <t>Retail (1,000 feet)</t>
  </si>
  <si>
    <t>Mobility Fee and RIF assessments</t>
  </si>
  <si>
    <t>Single Family Fee by Context Area (unit)</t>
  </si>
  <si>
    <t>Multifamily Low Rise Fee by Area (unit)</t>
  </si>
  <si>
    <t>Office by Context Area (1,000 sf)</t>
  </si>
  <si>
    <t>Retail by Context Area (1,000 sf)</t>
  </si>
  <si>
    <t>Current Fee</t>
  </si>
  <si>
    <t>Walk Bike</t>
  </si>
  <si>
    <t xml:space="preserve">MDMF </t>
  </si>
  <si>
    <t>IN</t>
  </si>
  <si>
    <t>OUT</t>
  </si>
  <si>
    <t>RIF</t>
  </si>
  <si>
    <t>Ring 1 In SMART Plan</t>
  </si>
  <si>
    <t>Ring 2 In SMART Plan</t>
  </si>
  <si>
    <t>Ring 3 In SMART Plan</t>
  </si>
  <si>
    <t>Ring 4 In SMART Plan</t>
  </si>
  <si>
    <t>Ring 2 Out SMART Plan</t>
  </si>
  <si>
    <t>Ring 3 Out SMART Plan</t>
  </si>
  <si>
    <t>Ring 4 Out SMART Plan</t>
  </si>
  <si>
    <t>Pct. Use</t>
  </si>
  <si>
    <t>Imrpovement Type</t>
  </si>
  <si>
    <t>Source</t>
  </si>
  <si>
    <t>Roadways</t>
  </si>
  <si>
    <t>Expressway</t>
  </si>
  <si>
    <t>2045 SERPM highway network assignments</t>
  </si>
  <si>
    <t>Premium transit</t>
  </si>
  <si>
    <t>2045 SERPM transit network assignments</t>
  </si>
  <si>
    <t>Walk / bike</t>
  </si>
  <si>
    <t>On-road bike/walk</t>
  </si>
  <si>
    <t>Improvement miles per improvement type (LRTP).  Updating for SMART Plan context</t>
  </si>
  <si>
    <t>Dedicated Bike</t>
  </si>
  <si>
    <t>Pedestrian</t>
  </si>
  <si>
    <t>Shared Pathways</t>
  </si>
  <si>
    <t>R1_Within Corridor_FEE</t>
  </si>
  <si>
    <t>R1_Outside Corridor_FEE</t>
  </si>
  <si>
    <t>R2_Within Corridor_FEE</t>
  </si>
  <si>
    <t>R2_Outside Corridor_FEE</t>
  </si>
  <si>
    <t>R3_Within Corridor_FEE</t>
  </si>
  <si>
    <t>R3_Outside Corridor_FEE</t>
  </si>
  <si>
    <t>R4_Within Corridor_FEE</t>
  </si>
  <si>
    <t>R4_Outside Corridor_FEE</t>
  </si>
  <si>
    <t>30-00</t>
  </si>
  <si>
    <t>110-00</t>
  </si>
  <si>
    <t>130-00</t>
  </si>
  <si>
    <t>140-00</t>
  </si>
  <si>
    <t>150-00</t>
  </si>
  <si>
    <t>151-00</t>
  </si>
  <si>
    <t>160-00</t>
  </si>
  <si>
    <t>170-00</t>
  </si>
  <si>
    <t>210-00</t>
  </si>
  <si>
    <t>220-00</t>
  </si>
  <si>
    <t>221-00</t>
  </si>
  <si>
    <t>222-00</t>
  </si>
  <si>
    <t>230-00</t>
  </si>
  <si>
    <t>231-00</t>
  </si>
  <si>
    <t>240-00</t>
  </si>
  <si>
    <t>251-00</t>
  </si>
  <si>
    <t>252-00</t>
  </si>
  <si>
    <t>253-00</t>
  </si>
  <si>
    <t>254-00</t>
  </si>
  <si>
    <t>255-00</t>
  </si>
  <si>
    <t>265-00</t>
  </si>
  <si>
    <t>270-00</t>
  </si>
  <si>
    <t>310-00</t>
  </si>
  <si>
    <t>311-00</t>
  </si>
  <si>
    <t>320-00</t>
  </si>
  <si>
    <t>312-00</t>
  </si>
  <si>
    <t>420-00</t>
  </si>
  <si>
    <t>430-00</t>
  </si>
  <si>
    <t>444-00</t>
  </si>
  <si>
    <t>480-00</t>
  </si>
  <si>
    <t>490-00</t>
  </si>
  <si>
    <t>491-00</t>
  </si>
  <si>
    <t>492-00</t>
  </si>
  <si>
    <t>495-00</t>
  </si>
  <si>
    <t>520-00</t>
  </si>
  <si>
    <t>530-00</t>
  </si>
  <si>
    <t>534-00</t>
  </si>
  <si>
    <t>536-00</t>
  </si>
  <si>
    <t>537-00</t>
  </si>
  <si>
    <t>540-00</t>
  </si>
  <si>
    <t>550-00</t>
  </si>
  <si>
    <t>560-00</t>
  </si>
  <si>
    <t>565-00</t>
  </si>
  <si>
    <t>610-00</t>
  </si>
  <si>
    <t>620-00</t>
  </si>
  <si>
    <t>630-00</t>
  </si>
  <si>
    <t>640-00</t>
  </si>
  <si>
    <t>650-00</t>
  </si>
  <si>
    <t>710-00</t>
  </si>
  <si>
    <t>710-01</t>
  </si>
  <si>
    <t>710-02</t>
  </si>
  <si>
    <t>710-03</t>
  </si>
  <si>
    <t>710-04</t>
  </si>
  <si>
    <t>710-05</t>
  </si>
  <si>
    <t>710-06</t>
  </si>
  <si>
    <t>710-07</t>
  </si>
  <si>
    <t>710-08</t>
  </si>
  <si>
    <t>710-09</t>
  </si>
  <si>
    <t>712-00</t>
  </si>
  <si>
    <t>714-00</t>
  </si>
  <si>
    <t>715-00</t>
  </si>
  <si>
    <t>720-00</t>
  </si>
  <si>
    <t>730-00</t>
  </si>
  <si>
    <t>731-00</t>
  </si>
  <si>
    <t>733-00</t>
  </si>
  <si>
    <t>750-00</t>
  </si>
  <si>
    <t>760-00</t>
  </si>
  <si>
    <t>770-00</t>
  </si>
  <si>
    <t>812-00</t>
  </si>
  <si>
    <t>813-00</t>
  </si>
  <si>
    <t>816-00</t>
  </si>
  <si>
    <t>817-00</t>
  </si>
  <si>
    <t>820-00</t>
  </si>
  <si>
    <t>820-01</t>
  </si>
  <si>
    <t>820-02</t>
  </si>
  <si>
    <t>820-03</t>
  </si>
  <si>
    <t>820-04</t>
  </si>
  <si>
    <t>820-05</t>
  </si>
  <si>
    <t>820-06</t>
  </si>
  <si>
    <t>820-07</t>
  </si>
  <si>
    <t>820-08</t>
  </si>
  <si>
    <t>820-09</t>
  </si>
  <si>
    <t>820-10</t>
  </si>
  <si>
    <t>820-11</t>
  </si>
  <si>
    <t>823-00</t>
  </si>
  <si>
    <t>840-00</t>
  </si>
  <si>
    <t>843-00</t>
  </si>
  <si>
    <t>848-00</t>
  </si>
  <si>
    <t>850-00</t>
  </si>
  <si>
    <t>851-00</t>
  </si>
  <si>
    <t>853-00</t>
  </si>
  <si>
    <t>857-00</t>
  </si>
  <si>
    <t>861-00</t>
  </si>
  <si>
    <t>862-00</t>
  </si>
  <si>
    <t>863-00</t>
  </si>
  <si>
    <t>868-00</t>
  </si>
  <si>
    <t>869-00</t>
  </si>
  <si>
    <t>875-00</t>
  </si>
  <si>
    <t>876-00</t>
  </si>
  <si>
    <t>879-00</t>
  </si>
  <si>
    <t>880-00</t>
  </si>
  <si>
    <t>881-00</t>
  </si>
  <si>
    <t>882-00</t>
  </si>
  <si>
    <t>890-00</t>
  </si>
  <si>
    <t>899-00</t>
  </si>
  <si>
    <t>911-00</t>
  </si>
  <si>
    <t>912-00</t>
  </si>
  <si>
    <t>931-00</t>
  </si>
  <si>
    <t>932-00</t>
  </si>
  <si>
    <t>933-00</t>
  </si>
  <si>
    <t>934-00</t>
  </si>
  <si>
    <t>937-00</t>
  </si>
  <si>
    <t>944-00</t>
  </si>
  <si>
    <t>932-01</t>
  </si>
  <si>
    <t>sf</t>
  </si>
  <si>
    <t>R1_In</t>
  </si>
  <si>
    <t>R1_Out</t>
  </si>
  <si>
    <t>R2_In</t>
  </si>
  <si>
    <t>R2_Out</t>
  </si>
  <si>
    <t>R3_In</t>
  </si>
  <si>
    <t>R3_Out</t>
  </si>
  <si>
    <t>R4_In</t>
  </si>
  <si>
    <t>R4_Out</t>
  </si>
  <si>
    <t>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</si>
</sst>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6" formatCode="&quot;$&quot;#,##0_);[Red]\(&quot;$&quot;#,##0\)"/>
    <numFmt numFmtId="8" formatCode="&quot;$&quot;#,##0.00_);[Red]\(&quot;$&quot;#,##0.00\)"/>
    <numFmt numFmtId="44" formatCode="_(&quot;$&quot;* #,##0.00_);_(&quot;$&quot;* \(#,##0.00\);_(&quot;$&quot;* &quot;-&quot;??_);_(@_)"/>
    <numFmt numFmtId="43" formatCode="_(* #,##0.00_);_(* \(#,##0.00\);_(* &quot;-&quot;??_);_(@_)"/>
    <numFmt numFmtId="164" formatCode="0.000"/>
    <numFmt numFmtId="165" formatCode="0.0"/>
    <numFmt numFmtId="166" formatCode="_(&quot;$&quot;* #,##0_);_(&quot;$&quot;* \(#,##0\);_(&quot;$&quot;* &quot;-&quot;??_);_(@_)"/>
    <numFmt numFmtId="167" formatCode="0.0%"/>
    <numFmt numFmtId="168" formatCode="&quot;$&quot;#,##0.00"/>
    <numFmt numFmtId="169" formatCode="&quot;$&quot;#,##0"/>
    <numFmt numFmtId="170" formatCode="#,##0.0000"/>
    <numFmt numFmtId="171" formatCode="#,##0.0"/>
    <numFmt numFmtId="172" formatCode="&quot;$&quot;#,##0.0"/>
  </numFmts>
  <fonts count="60" x14ac:knownFonts="1">
    <font>
      <sz val="12"/>
      <color theme="1"/>
      <name val="Arial Narrow"/>
      <family val="2"/>
    </font>
    <font>
      <sz val="11"/>
      <color theme="1"/>
      <name val="Arial Narrow"/>
      <family val="2"/>
    </font>
    <font>
      <sz val="11"/>
      <color theme="1"/>
      <name val="Calibri"/>
      <family val="2"/>
      <scheme val="minor"/>
    </font>
    <font>
      <b/>
      <sz val="11"/>
      <color theme="1"/>
      <name val="Calibri"/>
      <family val="2"/>
      <scheme val="minor"/>
    </font>
    <font>
      <u/>
      <sz val="11"/>
      <color theme="10"/>
      <name val="Calibri"/>
      <family val="2"/>
      <scheme val="minor"/>
    </font>
    <font>
      <sz val="8"/>
      <name val="Calibri"/>
      <family val="2"/>
      <scheme val="minor"/>
    </font>
    <font>
      <b/>
      <sz val="12"/>
      <color theme="1"/>
      <name val="Arial Narrow"/>
      <family val="2"/>
    </font>
    <font>
      <sz val="12"/>
      <color theme="1"/>
      <name val="Arial Narrow"/>
      <family val="2"/>
    </font>
    <font>
      <b/>
      <sz val="11"/>
      <color theme="1"/>
      <name val="Arial Narrow"/>
      <family val="2"/>
    </font>
    <font>
      <b/>
      <sz val="10"/>
      <color theme="1"/>
      <name val="Arial Narrow"/>
      <family val="2"/>
    </font>
    <font>
      <b/>
      <sz val="9"/>
      <color theme="1"/>
      <name val="Arial Narrow"/>
      <family val="2"/>
    </font>
    <font>
      <sz val="9"/>
      <color theme="1"/>
      <name val="Arial Narrow"/>
      <family val="2"/>
    </font>
    <font>
      <sz val="10"/>
      <color theme="1"/>
      <name val="Arial Narrow"/>
      <family val="2"/>
    </font>
    <font>
      <sz val="11"/>
      <color theme="1"/>
      <name val="Arial Narrow"/>
      <family val="2"/>
    </font>
    <font>
      <sz val="9"/>
      <color rgb="FFFF0000"/>
      <name val="Arial Narrow"/>
      <family val="2"/>
    </font>
    <font>
      <u/>
      <sz val="10"/>
      <color theme="10"/>
      <name val="Arial Narrow"/>
      <family val="2"/>
    </font>
    <font>
      <sz val="10"/>
      <color rgb="FFFF0000"/>
      <name val="Arial Narrow"/>
      <family val="2"/>
    </font>
    <font>
      <sz val="11"/>
      <color theme="0" tint="-0.14999847407452621"/>
      <name val="Arial Narrow"/>
      <family val="2"/>
    </font>
    <font>
      <sz val="11"/>
      <color theme="1" tint="0.14999847407452621"/>
      <name val="Arial Narrow"/>
      <family val="2"/>
    </font>
    <font>
      <sz val="11"/>
      <color rgb="FF000000"/>
      <name val="Calibri"/>
      <family val="2"/>
      <scheme val="minor"/>
    </font>
    <font>
      <b/>
      <sz val="12"/>
      <color theme="1"/>
      <name val="Calibri"/>
      <family val="2"/>
      <scheme val="minor"/>
    </font>
    <font>
      <sz val="11"/>
      <name val="Arial Narrow"/>
      <family val="2"/>
    </font>
    <font>
      <sz val="9"/>
      <color indexed="81"/>
      <name val="Tahoma"/>
      <family val="2"/>
    </font>
    <font>
      <b/>
      <sz val="9"/>
      <color indexed="81"/>
      <name val="Tahoma"/>
      <family val="2"/>
    </font>
    <font>
      <b/>
      <sz val="14"/>
      <color theme="1"/>
      <name val="Calibri"/>
      <family val="2"/>
      <scheme val="minor"/>
    </font>
    <font>
      <b/>
      <sz val="12"/>
      <color rgb="FF000000"/>
      <name val="Calibri"/>
      <family val="2"/>
    </font>
    <font>
      <sz val="12"/>
      <color rgb="FF000000"/>
      <name val="Calibri"/>
      <family val="2"/>
    </font>
    <font>
      <b/>
      <i/>
      <sz val="12"/>
      <color theme="1"/>
      <name val="Arial Narrow"/>
      <family val="2"/>
    </font>
    <font>
      <u/>
      <sz val="12"/>
      <color theme="1"/>
      <name val="Arial Narrow"/>
      <family val="2"/>
    </font>
    <font>
      <sz val="9"/>
      <color rgb="FF000000"/>
      <name val="Tahoma"/>
      <family val="2"/>
    </font>
    <font>
      <sz val="14"/>
      <color theme="1"/>
      <name val="Calibri"/>
      <family val="2"/>
      <scheme val="minor"/>
    </font>
    <font>
      <u/>
      <sz val="14"/>
      <color theme="10"/>
      <name val="Calibri"/>
      <family val="2"/>
      <scheme val="minor"/>
    </font>
    <font>
      <b/>
      <sz val="14"/>
      <color theme="1"/>
      <name val="Arial Narrow"/>
      <family val="2"/>
    </font>
    <font>
      <b/>
      <sz val="14"/>
      <color theme="0"/>
      <name val="Calibri"/>
      <family val="2"/>
      <scheme val="minor"/>
    </font>
    <font>
      <sz val="14"/>
      <color theme="0"/>
      <name val="Calibri"/>
      <family val="2"/>
      <scheme val="minor"/>
    </font>
    <font>
      <u/>
      <sz val="11"/>
      <color theme="10"/>
      <name val="Arial Narrow"/>
      <family val="2"/>
    </font>
    <font>
      <b/>
      <sz val="16"/>
      <color theme="1"/>
      <name val="Arial Narrow"/>
      <family val="2"/>
    </font>
    <font>
      <b/>
      <sz val="12"/>
      <color indexed="8"/>
      <name val="Arial Narrow"/>
      <family val="2"/>
    </font>
    <font>
      <sz val="12"/>
      <color indexed="8"/>
      <name val="Arial Narrow"/>
      <family val="2"/>
    </font>
    <font>
      <sz val="16"/>
      <color theme="1"/>
      <name val="Arial Narrow"/>
      <family val="2"/>
    </font>
    <font>
      <b/>
      <sz val="11"/>
      <color indexed="8"/>
      <name val="Arial Narrow"/>
      <family val="2"/>
    </font>
    <font>
      <b/>
      <sz val="10"/>
      <color rgb="FF000000"/>
      <name val="Arial Narrow"/>
      <family val="2"/>
    </font>
    <font>
      <sz val="10"/>
      <color rgb="FF000000"/>
      <name val="Arial Narrow"/>
      <family val="2"/>
    </font>
    <font>
      <sz val="12"/>
      <color rgb="FF000000"/>
      <name val="Arial Narrow"/>
      <family val="2"/>
    </font>
    <font>
      <b/>
      <i/>
      <sz val="10"/>
      <color rgb="FF000000"/>
      <name val="Arial Narrow"/>
      <family val="2"/>
    </font>
    <font>
      <vertAlign val="superscript"/>
      <sz val="10"/>
      <color rgb="FF000000"/>
      <name val="Arial Narrow"/>
      <family val="2"/>
    </font>
    <font>
      <sz val="11"/>
      <color rgb="FF000000"/>
      <name val="Arial Narrow"/>
      <family val="2"/>
    </font>
    <font>
      <i/>
      <sz val="11"/>
      <color rgb="FF000000"/>
      <name val="Arial Narrow"/>
      <family val="2"/>
    </font>
    <font>
      <vertAlign val="superscript"/>
      <sz val="11"/>
      <color rgb="FF000000"/>
      <name val="Arial Narrow"/>
      <family val="2"/>
    </font>
    <font>
      <i/>
      <sz val="12"/>
      <color theme="1"/>
      <name val="Arial Narrow"/>
      <family val="2"/>
    </font>
    <font>
      <sz val="20"/>
      <color theme="1"/>
      <name val="Arial Bold"/>
    </font>
    <font>
      <sz val="20"/>
      <color rgb="FF000000"/>
      <name val="Arial Narrow"/>
      <family val="2"/>
    </font>
    <font>
      <b/>
      <sz val="20"/>
      <color theme="1"/>
      <name val="Calibri"/>
      <family val="2"/>
      <scheme val="minor"/>
    </font>
    <font>
      <sz val="18"/>
      <color theme="1"/>
      <name val="Arial Narrow"/>
      <family val="2"/>
    </font>
    <font>
      <sz val="8"/>
      <color theme="1"/>
      <name val="Arial Narrow"/>
      <family val="2"/>
    </font>
    <font>
      <i/>
      <sz val="8"/>
      <color theme="1"/>
      <name val="Arial Narrow"/>
      <family val="2"/>
    </font>
    <font>
      <sz val="10"/>
      <name val="Arial Narrow"/>
      <family val="2"/>
    </font>
    <font>
      <sz val="11"/>
      <color theme="4" tint="-0.499984740745262"/>
      <name val="Arial Narrow"/>
      <family val="2"/>
    </font>
    <font>
      <b/>
      <sz val="8"/>
      <color theme="1"/>
      <name val="Arial Narrow"/>
      <family val="2"/>
    </font>
    <font>
      <sz val="11"/>
      <color rgb="FF3F3F76"/>
      <name val="Calibri"/>
      <family val="2"/>
      <scheme val="minor"/>
    </font>
  </fonts>
  <fills count="26">
    <fill>
      <patternFill patternType="none"/>
    </fill>
    <fill>
      <patternFill patternType="gray125"/>
    </fill>
    <fill>
      <patternFill patternType="solid">
        <fgColor theme="3" tint="0.79998168889431442"/>
        <bgColor indexed="64"/>
      </patternFill>
    </fill>
    <fill>
      <patternFill patternType="solid">
        <fgColor them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5"/>
        <bgColor indexed="64"/>
      </patternFill>
    </fill>
    <fill>
      <patternFill patternType="solid">
        <fgColor rgb="FFFFFF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7"/>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rgb="FFFFFFFF"/>
        <bgColor indexed="64"/>
      </patternFill>
    </fill>
    <fill>
      <patternFill patternType="solid">
        <fgColor theme="0"/>
        <bgColor indexed="64"/>
      </patternFill>
    </fill>
    <fill>
      <patternFill patternType="solid">
        <fgColor rgb="FFCFAFE7"/>
        <bgColor indexed="64"/>
      </patternFill>
    </fill>
    <fill>
      <patternFill patternType="solid">
        <fgColor theme="3" tint="0.59999389629810485"/>
        <bgColor indexed="64"/>
      </patternFill>
    </fill>
    <fill>
      <patternFill patternType="solid">
        <fgColor theme="3"/>
        <bgColor indexed="64"/>
      </patternFill>
    </fill>
    <fill>
      <patternFill patternType="solid">
        <fgColor theme="9" tint="-0.249977111117893"/>
        <bgColor indexed="64"/>
      </patternFill>
    </fill>
    <fill>
      <patternFill patternType="solid">
        <fgColor theme="4" tint="0.79998168889431442"/>
        <bgColor indexed="64"/>
      </patternFill>
    </fill>
    <fill>
      <patternFill patternType="solid">
        <fgColor rgb="FFF0BBBE"/>
        <bgColor indexed="64"/>
      </patternFill>
    </fill>
    <fill>
      <patternFill patternType="solid">
        <fgColor rgb="FFFFCC99"/>
      </patternFill>
    </fill>
  </fills>
  <borders count="102">
    <border>
      <left/>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theme="2" tint="-0.249977111117893"/>
      </right>
      <top/>
      <bottom/>
      <diagonal/>
    </border>
    <border>
      <left/>
      <right/>
      <top/>
      <bottom style="medium">
        <color indexed="64"/>
      </bottom>
      <diagonal/>
    </border>
    <border>
      <left/>
      <right/>
      <top style="thin">
        <color rgb="FF000000"/>
      </top>
      <bottom/>
      <diagonal/>
    </border>
    <border>
      <left style="thin">
        <color theme="0"/>
      </left>
      <right style="thin">
        <color theme="0"/>
      </right>
      <top style="thin">
        <color theme="0"/>
      </top>
      <bottom style="thin">
        <color theme="0"/>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indexed="64"/>
      </top>
      <bottom/>
      <diagonal/>
    </border>
    <border>
      <left style="thin">
        <color indexed="64"/>
      </left>
      <right style="thin">
        <color indexed="64"/>
      </right>
      <top/>
      <bottom style="medium">
        <color theme="1"/>
      </bottom>
      <diagonal/>
    </border>
    <border>
      <left style="thin">
        <color indexed="64"/>
      </left>
      <right/>
      <top/>
      <bottom style="medium">
        <color theme="1"/>
      </bottom>
      <diagonal/>
    </border>
    <border>
      <left/>
      <right/>
      <top/>
      <bottom style="medium">
        <color theme="1"/>
      </bottom>
      <diagonal/>
    </border>
    <border>
      <left/>
      <right style="thin">
        <color indexed="64"/>
      </right>
      <top/>
      <bottom style="medium">
        <color theme="1"/>
      </bottom>
      <diagonal/>
    </border>
    <border>
      <left style="medium">
        <color theme="1"/>
      </left>
      <right/>
      <top style="medium">
        <color theme="1"/>
      </top>
      <bottom/>
      <diagonal/>
    </border>
    <border>
      <left/>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style="medium">
        <color theme="1"/>
      </right>
      <top/>
      <bottom style="medium">
        <color theme="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1"/>
      </left>
      <right style="thin">
        <color theme="1"/>
      </right>
      <top style="thin">
        <color theme="0" tint="-0.14999847407452621"/>
      </top>
      <bottom style="thin">
        <color theme="0" tint="-0.14999847407452621"/>
      </bottom>
      <diagonal/>
    </border>
    <border>
      <left style="thin">
        <color theme="1"/>
      </left>
      <right/>
      <top style="thin">
        <color theme="0" tint="-0.14999847407452621"/>
      </top>
      <bottom style="thin">
        <color theme="0" tint="-0.14999847407452621"/>
      </bottom>
      <diagonal/>
    </border>
    <border>
      <left style="thin">
        <color theme="1"/>
      </left>
      <right style="thin">
        <color theme="1"/>
      </right>
      <top/>
      <bottom style="thin">
        <color theme="0" tint="-0.14999847407452621"/>
      </bottom>
      <diagonal/>
    </border>
    <border>
      <left style="thin">
        <color theme="1"/>
      </left>
      <right style="thin">
        <color theme="1"/>
      </right>
      <top/>
      <bottom/>
      <diagonal/>
    </border>
    <border>
      <left/>
      <right style="medium">
        <color theme="1"/>
      </right>
      <top style="medium">
        <color theme="1"/>
      </top>
      <bottom/>
      <diagonal/>
    </border>
    <border>
      <left style="thin">
        <color indexed="64"/>
      </left>
      <right style="medium">
        <color theme="1"/>
      </right>
      <top/>
      <bottom style="medium">
        <color theme="1"/>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right style="medium">
        <color indexed="64"/>
      </right>
      <top style="medium">
        <color indexed="64"/>
      </top>
      <bottom style="thin">
        <color indexed="64"/>
      </bottom>
      <diagonal/>
    </border>
    <border>
      <left style="medium">
        <color indexed="64"/>
      </left>
      <right/>
      <top/>
      <bottom/>
      <diagonal/>
    </border>
    <border>
      <left style="thin">
        <color indexed="64"/>
      </left>
      <right style="medium">
        <color indexed="64"/>
      </right>
      <top/>
      <bottom style="thin">
        <color indexed="64"/>
      </bottom>
      <diagonal/>
    </border>
    <border>
      <left style="medium">
        <color indexed="64"/>
      </left>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theme="1"/>
      </left>
      <right/>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medium">
        <color theme="2" tint="-0.499984740745262"/>
      </left>
      <right/>
      <top style="medium">
        <color theme="2" tint="-0.499984740745262"/>
      </top>
      <bottom/>
      <diagonal/>
    </border>
    <border>
      <left/>
      <right/>
      <top style="medium">
        <color theme="2" tint="-0.499984740745262"/>
      </top>
      <bottom/>
      <diagonal/>
    </border>
    <border>
      <left style="thin">
        <color theme="1"/>
      </left>
      <right style="thin">
        <color theme="1"/>
      </right>
      <top style="medium">
        <color theme="2" tint="-0.499984740745262"/>
      </top>
      <bottom/>
      <diagonal/>
    </border>
    <border>
      <left style="thin">
        <color theme="1"/>
      </left>
      <right style="medium">
        <color theme="2" tint="-0.499984740745262"/>
      </right>
      <top style="medium">
        <color theme="2" tint="-0.499984740745262"/>
      </top>
      <bottom/>
      <diagonal/>
    </border>
    <border>
      <left style="medium">
        <color theme="2" tint="-0.499984740745262"/>
      </left>
      <right style="thin">
        <color theme="1"/>
      </right>
      <top/>
      <bottom style="thin">
        <color theme="0" tint="-0.14999847407452621"/>
      </bottom>
      <diagonal/>
    </border>
    <border>
      <left style="thin">
        <color theme="1"/>
      </left>
      <right style="medium">
        <color theme="2" tint="-0.499984740745262"/>
      </right>
      <top/>
      <bottom style="thin">
        <color theme="0" tint="-0.14999847407452621"/>
      </bottom>
      <diagonal/>
    </border>
    <border>
      <left style="medium">
        <color theme="2" tint="-0.499984740745262"/>
      </left>
      <right style="thin">
        <color theme="0" tint="-0.14999847407452621"/>
      </right>
      <top style="thin">
        <color theme="0" tint="-0.14999847407452621"/>
      </top>
      <bottom style="thin">
        <color theme="0" tint="-0.14999847407452621"/>
      </bottom>
      <diagonal/>
    </border>
    <border>
      <left style="thin">
        <color theme="0" tint="-0.14999847407452621"/>
      </left>
      <right style="medium">
        <color theme="2" tint="-0.499984740745262"/>
      </right>
      <top style="thin">
        <color theme="0" tint="-0.14999847407452621"/>
      </top>
      <bottom style="thin">
        <color theme="0" tint="-0.14999847407452621"/>
      </bottom>
      <diagonal/>
    </border>
    <border>
      <left style="medium">
        <color theme="2" tint="-0.499984740745262"/>
      </left>
      <right style="thin">
        <color theme="1"/>
      </right>
      <top style="thin">
        <color theme="0" tint="-0.14999847407452621"/>
      </top>
      <bottom style="thin">
        <color theme="0" tint="-0.14999847407452621"/>
      </bottom>
      <diagonal/>
    </border>
    <border>
      <left style="thin">
        <color theme="1"/>
      </left>
      <right style="medium">
        <color theme="2" tint="-0.499984740745262"/>
      </right>
      <top style="thin">
        <color theme="0" tint="-0.14999847407452621"/>
      </top>
      <bottom style="thin">
        <color theme="0" tint="-0.14999847407452621"/>
      </bottom>
      <diagonal/>
    </border>
    <border>
      <left style="medium">
        <color theme="2" tint="-0.499984740745262"/>
      </left>
      <right style="thin">
        <color theme="1"/>
      </right>
      <top style="thin">
        <color theme="0" tint="-0.14999847407452621"/>
      </top>
      <bottom style="medium">
        <color theme="2" tint="-0.499984740745262"/>
      </bottom>
      <diagonal/>
    </border>
    <border>
      <left style="thin">
        <color theme="1"/>
      </left>
      <right style="thin">
        <color theme="1"/>
      </right>
      <top style="thin">
        <color theme="0" tint="-0.14999847407452621"/>
      </top>
      <bottom style="medium">
        <color theme="2" tint="-0.499984740745262"/>
      </bottom>
      <diagonal/>
    </border>
    <border>
      <left style="thin">
        <color theme="1"/>
      </left>
      <right/>
      <top style="thin">
        <color theme="0" tint="-0.14999847407452621"/>
      </top>
      <bottom style="medium">
        <color theme="2" tint="-0.499984740745262"/>
      </bottom>
      <diagonal/>
    </border>
    <border>
      <left style="thin">
        <color theme="1"/>
      </left>
      <right style="medium">
        <color theme="2" tint="-0.499984740745262"/>
      </right>
      <top style="thin">
        <color theme="0" tint="-0.14999847407452621"/>
      </top>
      <bottom style="medium">
        <color theme="2" tint="-0.499984740745262"/>
      </bottom>
      <diagonal/>
    </border>
    <border>
      <left/>
      <right style="medium">
        <color theme="2" tint="-0.499984740745262"/>
      </right>
      <top style="medium">
        <color theme="2" tint="-0.499984740745262"/>
      </top>
      <bottom/>
      <diagonal/>
    </border>
    <border>
      <left style="medium">
        <color theme="2" tint="-0.499984740745262"/>
      </left>
      <right/>
      <top/>
      <bottom/>
      <diagonal/>
    </border>
    <border>
      <left/>
      <right style="medium">
        <color theme="2" tint="-0.499984740745262"/>
      </right>
      <top/>
      <bottom/>
      <diagonal/>
    </border>
    <border>
      <left style="medium">
        <color theme="2" tint="-0.499984740745262"/>
      </left>
      <right/>
      <top/>
      <bottom style="medium">
        <color theme="2" tint="-0.499984740745262"/>
      </bottom>
      <diagonal/>
    </border>
    <border>
      <left/>
      <right/>
      <top/>
      <bottom style="medium">
        <color theme="2" tint="-0.499984740745262"/>
      </bottom>
      <diagonal/>
    </border>
    <border>
      <left/>
      <right style="medium">
        <color theme="2" tint="-0.499984740745262"/>
      </right>
      <top/>
      <bottom style="medium">
        <color theme="2" tint="-0.499984740745262"/>
      </bottom>
      <diagonal/>
    </border>
    <border>
      <left style="medium">
        <color theme="2" tint="-0.499984740745262"/>
      </left>
      <right style="thin">
        <color theme="1"/>
      </right>
      <top style="medium">
        <color theme="2" tint="-0.499984740745262"/>
      </top>
      <bottom/>
      <diagonal/>
    </border>
    <border>
      <left style="medium">
        <color theme="2" tint="-0.499984740745262"/>
      </left>
      <right style="thin">
        <color theme="1"/>
      </right>
      <top/>
      <bottom/>
      <diagonal/>
    </border>
    <border>
      <left style="medium">
        <color theme="2" tint="-0.499984740745262"/>
      </left>
      <right/>
      <top/>
      <bottom style="thin">
        <color theme="0" tint="-0.14999847407452621"/>
      </bottom>
      <diagonal/>
    </border>
    <border>
      <left style="medium">
        <color theme="2" tint="-0.499984740745262"/>
      </left>
      <right/>
      <top style="thin">
        <color theme="0" tint="-0.14999847407452621"/>
      </top>
      <bottom style="thin">
        <color theme="0" tint="-0.14999847407452621"/>
      </bottom>
      <diagonal/>
    </border>
    <border>
      <left style="medium">
        <color theme="2" tint="-0.499984740745262"/>
      </left>
      <right/>
      <top style="thin">
        <color theme="0" tint="-0.14999847407452621"/>
      </top>
      <bottom style="medium">
        <color theme="2" tint="-0.499984740745262"/>
      </bottom>
      <diagonal/>
    </border>
    <border>
      <left style="medium">
        <color theme="2" tint="-0.499984740745262"/>
      </left>
      <right/>
      <top style="medium">
        <color theme="2" tint="-0.499984740745262"/>
      </top>
      <bottom style="medium">
        <color indexed="64"/>
      </bottom>
      <diagonal/>
    </border>
    <border>
      <left/>
      <right/>
      <top style="medium">
        <color theme="2" tint="-0.499984740745262"/>
      </top>
      <bottom style="medium">
        <color indexed="64"/>
      </bottom>
      <diagonal/>
    </border>
    <border>
      <left/>
      <right style="medium">
        <color theme="2" tint="-0.499984740745262"/>
      </right>
      <top style="medium">
        <color theme="2" tint="-0.499984740745262"/>
      </top>
      <bottom style="medium">
        <color indexed="64"/>
      </bottom>
      <diagonal/>
    </border>
    <border diagonalDown="1">
      <left/>
      <right/>
      <top/>
      <bottom/>
      <diagonal style="thin">
        <color auto="1"/>
      </diagonal>
    </border>
    <border diagonalDown="1">
      <left style="thin">
        <color indexed="64"/>
      </left>
      <right/>
      <top style="thin">
        <color indexed="64"/>
      </top>
      <bottom/>
      <diagonal style="thin">
        <color auto="1"/>
      </diagonal>
    </border>
    <border diagonalDown="1">
      <left/>
      <right/>
      <top style="thin">
        <color indexed="64"/>
      </top>
      <bottom/>
      <diagonal style="thin">
        <color auto="1"/>
      </diagonal>
    </border>
    <border diagonalDown="1">
      <left style="thin">
        <color indexed="64"/>
      </left>
      <right/>
      <top/>
      <bottom/>
      <diagonal style="thin">
        <color auto="1"/>
      </diagonal>
    </border>
    <border diagonalDown="1">
      <left style="thin">
        <color indexed="64"/>
      </left>
      <right/>
      <top/>
      <bottom style="medium">
        <color indexed="64"/>
      </bottom>
      <diagonal style="thin">
        <color auto="1"/>
      </diagonal>
    </border>
    <border diagonalDown="1">
      <left/>
      <right/>
      <top/>
      <bottom style="medium">
        <color indexed="64"/>
      </bottom>
      <diagonal style="thin">
        <color auto="1"/>
      </diagonal>
    </border>
    <border diagonalDown="1">
      <left/>
      <right/>
      <top style="medium">
        <color indexed="64"/>
      </top>
      <bottom/>
      <diagonal style="thin">
        <color auto="1"/>
      </diagonal>
    </border>
    <border diagonalDown="1">
      <left/>
      <right/>
      <top/>
      <bottom style="thin">
        <color indexed="64"/>
      </bottom>
      <diagonal style="thin">
        <color auto="1"/>
      </diagonal>
    </border>
    <border>
      <left style="thin">
        <color rgb="FF7F7F7F"/>
      </left>
      <right style="thin">
        <color rgb="FF7F7F7F"/>
      </right>
      <top style="thin">
        <color rgb="FF7F7F7F"/>
      </top>
      <bottom style="thin">
        <color rgb="FF7F7F7F"/>
      </bottom>
      <diagonal/>
    </border>
  </borders>
  <cellStyleXfs count="8">
    <xf numFmtId="0" fontId="0" fillId="0" borderId="0"/>
    <xf numFmtId="9" fontId="2" fillId="0" borderId="0" applyFont="0" applyFill="0" applyBorder="0" applyAlignment="0" applyProtection="0"/>
    <xf numFmtId="44" fontId="2" fillId="0" borderId="0" applyFont="0" applyFill="0" applyBorder="0" applyAlignment="0" applyProtection="0"/>
    <xf numFmtId="0" fontId="4" fillId="0" borderId="0" applyNumberFormat="0" applyFill="0" applyBorder="0" applyAlignment="0" applyProtection="0"/>
    <xf numFmtId="43" fontId="2" fillId="0" borderId="0" applyFont="0" applyFill="0" applyBorder="0" applyAlignment="0" applyProtection="0"/>
    <xf numFmtId="0" fontId="19" fillId="0" borderId="0"/>
    <xf numFmtId="9" fontId="19" fillId="0" borderId="0" applyFont="0" applyFill="0" applyBorder="0" applyAlignment="0" applyProtection="0"/>
    <xf numFmtId="0" fontId="59" fillId="25" borderId="101" applyNumberFormat="0" applyAlignment="0" applyProtection="0"/>
  </cellStyleXfs>
  <cellXfs count="895">
    <xf numFmtId="0" fontId="0" fillId="0" borderId="0" xfId="0"/>
    <xf numFmtId="9" fontId="0" fillId="0" borderId="0" xfId="1" applyFont="1" applyBorder="1"/>
    <xf numFmtId="9" fontId="0" fillId="0" borderId="0" xfId="1" applyFont="1"/>
    <xf numFmtId="0" fontId="3" fillId="0" borderId="0" xfId="0" applyFont="1"/>
    <xf numFmtId="9" fontId="0" fillId="0" borderId="8" xfId="1" applyFont="1" applyBorder="1"/>
    <xf numFmtId="9" fontId="0" fillId="0" borderId="15" xfId="1" applyFont="1" applyBorder="1"/>
    <xf numFmtId="9" fontId="0" fillId="0" borderId="13" xfId="1" applyFont="1" applyBorder="1"/>
    <xf numFmtId="0" fontId="6" fillId="2" borderId="6" xfId="0" applyFont="1" applyFill="1" applyBorder="1" applyAlignment="1">
      <alignment horizontal="center" vertical="center" wrapText="1"/>
    </xf>
    <xf numFmtId="169" fontId="6" fillId="2" borderId="14" xfId="0" applyNumberFormat="1" applyFont="1" applyFill="1" applyBorder="1" applyAlignment="1">
      <alignment horizontal="center" vertical="center" wrapText="1"/>
    </xf>
    <xf numFmtId="0" fontId="7" fillId="0" borderId="0" xfId="0" applyFont="1" applyAlignment="1">
      <alignment horizontal="center" vertical="center" wrapText="1"/>
    </xf>
    <xf numFmtId="0" fontId="6" fillId="0" borderId="0" xfId="0" applyFont="1" applyAlignment="1">
      <alignment vertical="center"/>
    </xf>
    <xf numFmtId="0" fontId="7" fillId="0" borderId="0" xfId="0" applyFont="1" applyAlignment="1">
      <alignment vertical="center"/>
    </xf>
    <xf numFmtId="167" fontId="7" fillId="0" borderId="0" xfId="1" applyNumberFormat="1" applyFont="1" applyAlignment="1">
      <alignment vertical="center"/>
    </xf>
    <xf numFmtId="169" fontId="7" fillId="0" borderId="0" xfId="0" applyNumberFormat="1" applyFont="1" applyAlignment="1">
      <alignment vertical="center"/>
    </xf>
    <xf numFmtId="168" fontId="7" fillId="0" borderId="0" xfId="0" applyNumberFormat="1" applyFont="1" applyAlignment="1">
      <alignment vertical="center"/>
    </xf>
    <xf numFmtId="0" fontId="6" fillId="2" borderId="12" xfId="0" applyFont="1" applyFill="1" applyBorder="1" applyAlignment="1">
      <alignment horizontal="center" vertical="center"/>
    </xf>
    <xf numFmtId="169" fontId="6" fillId="2" borderId="12" xfId="0" applyNumberFormat="1" applyFont="1" applyFill="1" applyBorder="1" applyAlignment="1">
      <alignment horizontal="center" vertical="center"/>
    </xf>
    <xf numFmtId="3" fontId="6" fillId="2" borderId="12" xfId="0" applyNumberFormat="1" applyFont="1" applyFill="1" applyBorder="1" applyAlignment="1">
      <alignment horizontal="center" vertical="center"/>
    </xf>
    <xf numFmtId="170" fontId="6" fillId="2" borderId="12" xfId="0" applyNumberFormat="1" applyFont="1" applyFill="1" applyBorder="1" applyAlignment="1">
      <alignment horizontal="center" vertical="center"/>
    </xf>
    <xf numFmtId="0" fontId="7" fillId="0" borderId="12" xfId="0" applyFont="1" applyBorder="1" applyAlignment="1">
      <alignment horizontal="center" vertical="center"/>
    </xf>
    <xf numFmtId="0" fontId="7" fillId="0" borderId="0" xfId="0" applyFont="1" applyFill="1" applyAlignment="1">
      <alignment vertical="center"/>
    </xf>
    <xf numFmtId="167" fontId="7" fillId="0" borderId="12" xfId="1" applyNumberFormat="1" applyFont="1" applyFill="1" applyBorder="1" applyAlignment="1">
      <alignment vertical="center"/>
    </xf>
    <xf numFmtId="0" fontId="7" fillId="0" borderId="12" xfId="0" applyFont="1" applyFill="1" applyBorder="1" applyAlignment="1">
      <alignment vertical="center"/>
    </xf>
    <xf numFmtId="168" fontId="7" fillId="0" borderId="0" xfId="0" applyNumberFormat="1" applyFont="1" applyFill="1" applyAlignment="1">
      <alignment vertical="center"/>
    </xf>
    <xf numFmtId="2" fontId="7" fillId="0" borderId="0" xfId="0" applyNumberFormat="1" applyFont="1" applyFill="1" applyBorder="1" applyAlignment="1">
      <alignment horizontal="center" vertical="center"/>
    </xf>
    <xf numFmtId="167" fontId="7" fillId="0" borderId="0" xfId="1" applyNumberFormat="1" applyFont="1" applyFill="1" applyAlignment="1">
      <alignment vertical="center"/>
    </xf>
    <xf numFmtId="169" fontId="7" fillId="0" borderId="0" xfId="0" applyNumberFormat="1" applyFont="1" applyFill="1" applyAlignment="1">
      <alignment vertical="center"/>
    </xf>
    <xf numFmtId="9" fontId="7" fillId="0" borderId="0" xfId="1" applyFont="1" applyFill="1" applyAlignment="1">
      <alignment vertical="center"/>
    </xf>
    <xf numFmtId="0" fontId="6" fillId="2" borderId="2" xfId="0" applyFont="1" applyFill="1" applyBorder="1" applyAlignment="1">
      <alignment vertical="center"/>
    </xf>
    <xf numFmtId="0" fontId="7" fillId="2" borderId="3" xfId="0" applyFont="1" applyFill="1" applyBorder="1" applyAlignment="1">
      <alignment vertical="center"/>
    </xf>
    <xf numFmtId="0" fontId="7" fillId="2" borderId="4" xfId="0" applyFont="1" applyFill="1" applyBorder="1" applyAlignment="1">
      <alignment horizontal="center" vertical="center"/>
    </xf>
    <xf numFmtId="169" fontId="7" fillId="2" borderId="13" xfId="0" applyNumberFormat="1" applyFont="1" applyFill="1" applyBorder="1" applyAlignment="1">
      <alignment vertical="center"/>
    </xf>
    <xf numFmtId="0" fontId="7" fillId="2" borderId="4" xfId="0" applyFont="1" applyFill="1" applyBorder="1" applyAlignment="1">
      <alignment vertical="center"/>
    </xf>
    <xf numFmtId="0" fontId="7" fillId="0" borderId="0" xfId="0" applyFont="1" applyBorder="1" applyAlignment="1">
      <alignment vertical="center"/>
    </xf>
    <xf numFmtId="0" fontId="7" fillId="0" borderId="0" xfId="0" applyFont="1" applyAlignment="1">
      <alignment horizontal="left" vertical="center"/>
    </xf>
    <xf numFmtId="4" fontId="13" fillId="0" borderId="16" xfId="0" applyNumberFormat="1" applyFont="1" applyBorder="1" applyAlignment="1">
      <alignment vertical="center"/>
    </xf>
    <xf numFmtId="0" fontId="13" fillId="0" borderId="16" xfId="0" applyFont="1" applyBorder="1" applyAlignment="1">
      <alignment vertical="center"/>
    </xf>
    <xf numFmtId="0" fontId="8" fillId="0" borderId="16" xfId="0" applyFont="1" applyBorder="1" applyAlignment="1">
      <alignment horizontal="center" vertical="center"/>
    </xf>
    <xf numFmtId="0" fontId="13" fillId="0" borderId="16" xfId="0" applyFont="1" applyBorder="1" applyAlignment="1">
      <alignment horizontal="left" vertical="center"/>
    </xf>
    <xf numFmtId="9" fontId="13" fillId="0" borderId="16" xfId="1" applyFont="1" applyBorder="1" applyAlignment="1">
      <alignment vertical="center"/>
    </xf>
    <xf numFmtId="3" fontId="13" fillId="0" borderId="16" xfId="0" applyNumberFormat="1" applyFont="1" applyBorder="1" applyAlignment="1">
      <alignment vertical="center"/>
    </xf>
    <xf numFmtId="170" fontId="13" fillId="0" borderId="16" xfId="0" applyNumberFormat="1" applyFont="1" applyBorder="1" applyAlignment="1">
      <alignment vertical="center"/>
    </xf>
    <xf numFmtId="169" fontId="13" fillId="0" borderId="16" xfId="0" applyNumberFormat="1" applyFont="1" applyBorder="1" applyAlignment="1">
      <alignment vertical="center"/>
    </xf>
    <xf numFmtId="168" fontId="13" fillId="0" borderId="16" xfId="0" applyNumberFormat="1" applyFont="1" applyBorder="1" applyAlignment="1">
      <alignment vertical="center"/>
    </xf>
    <xf numFmtId="0" fontId="11" fillId="5" borderId="16" xfId="0" applyFont="1" applyFill="1" applyBorder="1" applyAlignment="1">
      <alignment horizontal="center" vertical="center" wrapText="1"/>
    </xf>
    <xf numFmtId="0" fontId="10" fillId="5" borderId="16" xfId="0" applyFont="1" applyFill="1" applyBorder="1" applyAlignment="1">
      <alignment vertical="center" wrapText="1"/>
    </xf>
    <xf numFmtId="0" fontId="10" fillId="5" borderId="16" xfId="0" applyFont="1" applyFill="1" applyBorder="1" applyAlignment="1">
      <alignment horizontal="center" vertical="center" wrapText="1"/>
    </xf>
    <xf numFmtId="4" fontId="10" fillId="5" borderId="16" xfId="0" applyNumberFormat="1" applyFont="1" applyFill="1" applyBorder="1" applyAlignment="1">
      <alignment horizontal="center" vertical="center" wrapText="1"/>
    </xf>
    <xf numFmtId="9" fontId="10" fillId="5" borderId="16" xfId="1" applyFont="1" applyFill="1" applyBorder="1" applyAlignment="1">
      <alignment horizontal="center" vertical="center" wrapText="1"/>
    </xf>
    <xf numFmtId="3" fontId="10" fillId="5" borderId="16" xfId="0" applyNumberFormat="1" applyFont="1" applyFill="1" applyBorder="1" applyAlignment="1">
      <alignment horizontal="center" vertical="center" wrapText="1"/>
    </xf>
    <xf numFmtId="170" fontId="10" fillId="5" borderId="16" xfId="0" applyNumberFormat="1" applyFont="1" applyFill="1" applyBorder="1" applyAlignment="1">
      <alignment horizontal="center" vertical="center" wrapText="1"/>
    </xf>
    <xf numFmtId="169" fontId="10" fillId="5" borderId="16" xfId="0" applyNumberFormat="1" applyFont="1" applyFill="1" applyBorder="1" applyAlignment="1">
      <alignment horizontal="center" vertical="center" wrapText="1"/>
    </xf>
    <xf numFmtId="168" fontId="10" fillId="5" borderId="16" xfId="0" applyNumberFormat="1" applyFont="1" applyFill="1" applyBorder="1" applyAlignment="1">
      <alignment horizontal="center" vertical="center" wrapText="1"/>
    </xf>
    <xf numFmtId="0" fontId="8" fillId="3" borderId="16" xfId="0" applyFont="1" applyFill="1" applyBorder="1" applyAlignment="1">
      <alignment horizontal="center" vertical="center"/>
    </xf>
    <xf numFmtId="4" fontId="14" fillId="0" borderId="16" xfId="0" applyNumberFormat="1" applyFont="1" applyBorder="1" applyAlignment="1">
      <alignment horizontal="center" vertical="center"/>
    </xf>
    <xf numFmtId="0" fontId="6" fillId="0" borderId="7" xfId="0" applyFont="1" applyFill="1" applyBorder="1" applyAlignment="1">
      <alignment vertical="center"/>
    </xf>
    <xf numFmtId="0" fontId="7" fillId="0" borderId="0" xfId="0" applyFont="1" applyFill="1" applyBorder="1" applyAlignment="1">
      <alignment vertical="center"/>
    </xf>
    <xf numFmtId="0" fontId="7" fillId="0" borderId="8" xfId="0" applyFont="1" applyFill="1" applyBorder="1" applyAlignment="1">
      <alignment horizontal="left" vertical="center"/>
    </xf>
    <xf numFmtId="0" fontId="7" fillId="0" borderId="8" xfId="0" applyFont="1" applyFill="1" applyBorder="1" applyAlignment="1">
      <alignment horizontal="center" vertical="center"/>
    </xf>
    <xf numFmtId="167" fontId="7" fillId="0" borderId="0" xfId="1" applyNumberFormat="1" applyFont="1" applyFill="1" applyBorder="1" applyAlignment="1">
      <alignment vertical="center"/>
    </xf>
    <xf numFmtId="169" fontId="7" fillId="0" borderId="0" xfId="0" applyNumberFormat="1" applyFont="1" applyFill="1" applyBorder="1" applyAlignment="1">
      <alignment vertical="center"/>
    </xf>
    <xf numFmtId="169" fontId="7" fillId="0" borderId="8" xfId="0" applyNumberFormat="1" applyFont="1" applyFill="1" applyBorder="1" applyAlignment="1">
      <alignment vertical="center"/>
    </xf>
    <xf numFmtId="2" fontId="7" fillId="0" borderId="0" xfId="1" applyNumberFormat="1" applyFont="1" applyFill="1" applyBorder="1" applyAlignment="1">
      <alignment vertical="center"/>
    </xf>
    <xf numFmtId="4" fontId="7" fillId="0" borderId="7" xfId="0" applyNumberFormat="1" applyFont="1" applyFill="1" applyBorder="1" applyAlignment="1">
      <alignment vertical="center"/>
    </xf>
    <xf numFmtId="4" fontId="7" fillId="0" borderId="0" xfId="0" applyNumberFormat="1" applyFont="1" applyFill="1" applyBorder="1" applyAlignment="1">
      <alignment vertical="center"/>
    </xf>
    <xf numFmtId="4" fontId="7" fillId="0" borderId="0" xfId="0" applyNumberFormat="1" applyFont="1" applyFill="1" applyAlignment="1">
      <alignment vertical="center"/>
    </xf>
    <xf numFmtId="2" fontId="7" fillId="0" borderId="0" xfId="0" applyNumberFormat="1" applyFont="1" applyFill="1" applyAlignment="1">
      <alignment vertical="center"/>
    </xf>
    <xf numFmtId="0" fontId="7" fillId="0" borderId="0" xfId="0" applyFont="1" applyFill="1" applyAlignment="1">
      <alignment horizontal="center" vertical="center"/>
    </xf>
    <xf numFmtId="0" fontId="6" fillId="0" borderId="0" xfId="0" applyFont="1" applyFill="1" applyAlignment="1">
      <alignment vertical="center"/>
    </xf>
    <xf numFmtId="0" fontId="7" fillId="0" borderId="0" xfId="0" applyFont="1" applyAlignment="1">
      <alignment horizontal="center" vertical="center"/>
    </xf>
    <xf numFmtId="0" fontId="9" fillId="0" borderId="11" xfId="0" applyFont="1" applyBorder="1" applyAlignment="1">
      <alignment horizontal="center" vertical="center"/>
    </xf>
    <xf numFmtId="0" fontId="9" fillId="0" borderId="12" xfId="0" applyFont="1" applyBorder="1" applyAlignment="1">
      <alignment horizontal="center" vertical="center"/>
    </xf>
    <xf numFmtId="0" fontId="12" fillId="0" borderId="0" xfId="0" applyFont="1" applyAlignment="1">
      <alignment vertical="center"/>
    </xf>
    <xf numFmtId="0" fontId="15" fillId="0" borderId="0" xfId="3" applyFont="1" applyAlignment="1">
      <alignment vertical="center"/>
    </xf>
    <xf numFmtId="0" fontId="12" fillId="0" borderId="2" xfId="0" applyFont="1" applyBorder="1" applyAlignment="1">
      <alignment vertical="center"/>
    </xf>
    <xf numFmtId="0" fontId="12" fillId="0" borderId="3" xfId="0" applyFont="1" applyBorder="1" applyAlignment="1">
      <alignment vertical="center"/>
    </xf>
    <xf numFmtId="167" fontId="12" fillId="0" borderId="4" xfId="1" applyNumberFormat="1" applyFont="1" applyBorder="1" applyAlignment="1">
      <alignment vertical="center"/>
    </xf>
    <xf numFmtId="0" fontId="12" fillId="0" borderId="7" xfId="0" applyFont="1" applyBorder="1" applyAlignment="1">
      <alignment vertical="center"/>
    </xf>
    <xf numFmtId="0" fontId="12" fillId="0" borderId="0" xfId="0" applyFont="1" applyBorder="1" applyAlignment="1">
      <alignment vertical="center"/>
    </xf>
    <xf numFmtId="167" fontId="12" fillId="0" borderId="8" xfId="1" applyNumberFormat="1" applyFont="1" applyBorder="1" applyAlignment="1">
      <alignment vertical="center"/>
    </xf>
    <xf numFmtId="0" fontId="12" fillId="0" borderId="5" xfId="0" applyFont="1" applyBorder="1" applyAlignment="1">
      <alignment vertical="center"/>
    </xf>
    <xf numFmtId="0" fontId="12" fillId="0" borderId="1" xfId="0" applyFont="1" applyBorder="1" applyAlignment="1">
      <alignment vertical="center"/>
    </xf>
    <xf numFmtId="167" fontId="12" fillId="0" borderId="6" xfId="1" applyNumberFormat="1" applyFont="1" applyBorder="1" applyAlignment="1">
      <alignment vertical="center"/>
    </xf>
    <xf numFmtId="0" fontId="9" fillId="0" borderId="0" xfId="0" applyFont="1" applyAlignment="1">
      <alignment vertical="center"/>
    </xf>
    <xf numFmtId="167" fontId="9" fillId="0" borderId="0" xfId="0" applyNumberFormat="1" applyFont="1" applyAlignment="1">
      <alignment vertical="center"/>
    </xf>
    <xf numFmtId="0" fontId="12" fillId="0" borderId="12" xfId="0" applyFont="1" applyBorder="1" applyAlignment="1">
      <alignment vertical="center"/>
    </xf>
    <xf numFmtId="0" fontId="12" fillId="0" borderId="4" xfId="0" applyFont="1" applyBorder="1" applyAlignment="1">
      <alignment vertical="center"/>
    </xf>
    <xf numFmtId="43" fontId="12" fillId="0" borderId="12" xfId="4" applyNumberFormat="1" applyFont="1" applyBorder="1" applyAlignment="1">
      <alignment vertical="center"/>
    </xf>
    <xf numFmtId="0" fontId="12" fillId="0" borderId="8" xfId="0" applyFont="1" applyBorder="1" applyAlignment="1">
      <alignment vertical="center"/>
    </xf>
    <xf numFmtId="0" fontId="12" fillId="0" borderId="6" xfId="0" applyFont="1" applyBorder="1" applyAlignment="1">
      <alignment vertical="center"/>
    </xf>
    <xf numFmtId="43" fontId="12" fillId="0" borderId="14" xfId="4" applyNumberFormat="1" applyFont="1" applyBorder="1" applyAlignment="1">
      <alignment vertical="center"/>
    </xf>
    <xf numFmtId="0" fontId="12" fillId="0" borderId="0" xfId="0" applyFont="1" applyAlignment="1">
      <alignment horizontal="center" vertical="center"/>
    </xf>
    <xf numFmtId="0" fontId="12" fillId="6" borderId="0" xfId="0" applyFont="1" applyFill="1" applyAlignment="1">
      <alignment vertical="center"/>
    </xf>
    <xf numFmtId="0" fontId="12" fillId="6" borderId="0" xfId="0" applyFont="1" applyFill="1" applyAlignment="1">
      <alignment horizontal="center" vertical="center"/>
    </xf>
    <xf numFmtId="0" fontId="9" fillId="6" borderId="0" xfId="0" applyFont="1" applyFill="1" applyAlignment="1">
      <alignment horizontal="center" vertical="center"/>
    </xf>
    <xf numFmtId="2" fontId="12" fillId="6" borderId="12" xfId="0" applyNumberFormat="1" applyFont="1" applyFill="1" applyBorder="1" applyAlignment="1">
      <alignment horizontal="center" vertical="center"/>
    </xf>
    <xf numFmtId="0" fontId="12" fillId="6" borderId="12" xfId="0" applyFont="1" applyFill="1" applyBorder="1" applyAlignment="1">
      <alignment horizontal="center" vertical="center"/>
    </xf>
    <xf numFmtId="164" fontId="12" fillId="6" borderId="12" xfId="0" applyNumberFormat="1" applyFont="1" applyFill="1" applyBorder="1" applyAlignment="1">
      <alignment horizontal="center" vertical="center"/>
    </xf>
    <xf numFmtId="2" fontId="12" fillId="6" borderId="12" xfId="0" applyNumberFormat="1" applyFont="1" applyFill="1" applyBorder="1" applyAlignment="1">
      <alignment vertical="center"/>
    </xf>
    <xf numFmtId="165" fontId="7" fillId="0" borderId="0" xfId="0" applyNumberFormat="1" applyFont="1" applyFill="1" applyBorder="1" applyAlignment="1">
      <alignment horizontal="center" vertical="center"/>
    </xf>
    <xf numFmtId="0" fontId="7" fillId="0" borderId="0" xfId="0" applyFont="1" applyFill="1" applyBorder="1" applyAlignment="1">
      <alignment horizontal="center" vertical="center"/>
    </xf>
    <xf numFmtId="0" fontId="6" fillId="0" borderId="0" xfId="0" applyFont="1" applyFill="1" applyBorder="1" applyAlignment="1">
      <alignment vertical="center"/>
    </xf>
    <xf numFmtId="0" fontId="7" fillId="0" borderId="17" xfId="0" applyFont="1" applyFill="1" applyBorder="1" applyAlignment="1">
      <alignment vertical="center"/>
    </xf>
    <xf numFmtId="0" fontId="7" fillId="0" borderId="17" xfId="0" applyFont="1" applyBorder="1" applyAlignment="1">
      <alignment vertical="center"/>
    </xf>
    <xf numFmtId="169" fontId="7" fillId="0" borderId="15" xfId="0" applyNumberFormat="1" applyFont="1" applyFill="1" applyBorder="1" applyAlignment="1">
      <alignment vertical="center"/>
    </xf>
    <xf numFmtId="0" fontId="6" fillId="7" borderId="7" xfId="0" applyFont="1" applyFill="1" applyBorder="1" applyAlignment="1">
      <alignment vertical="center"/>
    </xf>
    <xf numFmtId="0" fontId="7" fillId="7" borderId="0" xfId="0" applyFont="1" applyFill="1" applyBorder="1" applyAlignment="1">
      <alignment vertical="center"/>
    </xf>
    <xf numFmtId="0" fontId="7" fillId="7" borderId="8" xfId="0" applyFont="1" applyFill="1" applyBorder="1" applyAlignment="1">
      <alignment horizontal="left" vertical="center"/>
    </xf>
    <xf numFmtId="0" fontId="7" fillId="7" borderId="0" xfId="0" applyFont="1" applyFill="1" applyAlignment="1">
      <alignment vertical="center"/>
    </xf>
    <xf numFmtId="0" fontId="7" fillId="7" borderId="8" xfId="0" applyFont="1" applyFill="1" applyBorder="1" applyAlignment="1">
      <alignment horizontal="center" vertical="center"/>
    </xf>
    <xf numFmtId="169" fontId="7" fillId="7" borderId="15" xfId="0" applyNumberFormat="1" applyFont="1" applyFill="1" applyBorder="1" applyAlignment="1">
      <alignment vertical="center"/>
    </xf>
    <xf numFmtId="0" fontId="7" fillId="7" borderId="8" xfId="0" applyFont="1" applyFill="1" applyBorder="1" applyAlignment="1">
      <alignment vertical="center"/>
    </xf>
    <xf numFmtId="169" fontId="7" fillId="7" borderId="0" xfId="0" applyNumberFormat="1" applyFont="1" applyFill="1" applyBorder="1" applyAlignment="1">
      <alignment vertical="center"/>
    </xf>
    <xf numFmtId="169" fontId="7" fillId="7" borderId="8" xfId="0" applyNumberFormat="1" applyFont="1" applyFill="1" applyBorder="1" applyAlignment="1">
      <alignment vertical="center"/>
    </xf>
    <xf numFmtId="0" fontId="7" fillId="7" borderId="0" xfId="0" applyFont="1" applyFill="1" applyAlignment="1">
      <alignment horizontal="center" vertical="center"/>
    </xf>
    <xf numFmtId="166" fontId="7" fillId="0" borderId="8" xfId="2" applyNumberFormat="1" applyFont="1" applyFill="1" applyBorder="1" applyAlignment="1">
      <alignment vertical="center"/>
    </xf>
    <xf numFmtId="2" fontId="7" fillId="0" borderId="12" xfId="1" applyNumberFormat="1" applyFont="1" applyBorder="1" applyAlignment="1">
      <alignment horizontal="center" vertical="center"/>
    </xf>
    <xf numFmtId="0" fontId="12" fillId="0" borderId="0" xfId="0" applyFont="1"/>
    <xf numFmtId="4" fontId="7" fillId="0" borderId="0" xfId="0" applyNumberFormat="1" applyFont="1" applyFill="1" applyBorder="1" applyAlignment="1">
      <alignment horizontal="left" vertical="center"/>
    </xf>
    <xf numFmtId="0" fontId="7" fillId="0" borderId="0" xfId="0" applyFont="1" applyFill="1" applyBorder="1" applyAlignment="1">
      <alignment horizontal="left" vertical="center"/>
    </xf>
    <xf numFmtId="166" fontId="7" fillId="0" borderId="0" xfId="2" applyNumberFormat="1" applyFont="1" applyFill="1" applyBorder="1" applyAlignment="1">
      <alignment vertical="center"/>
    </xf>
    <xf numFmtId="0" fontId="7" fillId="0" borderId="0" xfId="0" applyFont="1" applyBorder="1" applyAlignment="1">
      <alignment horizontal="center" vertical="center"/>
    </xf>
    <xf numFmtId="169" fontId="7" fillId="0" borderId="0" xfId="0" applyNumberFormat="1" applyFont="1" applyBorder="1" applyAlignment="1">
      <alignment vertical="center"/>
    </xf>
    <xf numFmtId="0" fontId="13" fillId="6" borderId="0" xfId="0" applyFont="1" applyFill="1"/>
    <xf numFmtId="0" fontId="13" fillId="0" borderId="0" xfId="0" applyFont="1"/>
    <xf numFmtId="0" fontId="17" fillId="0" borderId="0" xfId="0" applyFont="1" applyAlignment="1">
      <alignment horizontal="right"/>
    </xf>
    <xf numFmtId="0" fontId="17" fillId="0" borderId="0" xfId="0" applyFont="1"/>
    <xf numFmtId="0" fontId="18" fillId="0" borderId="0" xfId="0" applyFont="1" applyAlignment="1">
      <alignment horizontal="right"/>
    </xf>
    <xf numFmtId="0" fontId="18" fillId="0" borderId="0" xfId="0" applyFont="1"/>
    <xf numFmtId="4" fontId="7" fillId="0" borderId="8" xfId="0" applyNumberFormat="1" applyFont="1" applyFill="1" applyBorder="1" applyAlignment="1">
      <alignment horizontal="right" vertical="center"/>
    </xf>
    <xf numFmtId="4" fontId="7" fillId="7" borderId="8" xfId="0" applyNumberFormat="1" applyFont="1" applyFill="1" applyBorder="1" applyAlignment="1">
      <alignment horizontal="right" vertical="center"/>
    </xf>
    <xf numFmtId="0" fontId="6" fillId="2" borderId="5" xfId="0" applyFont="1" applyFill="1" applyBorder="1" applyAlignment="1">
      <alignment vertical="center" wrapText="1"/>
    </xf>
    <xf numFmtId="0" fontId="6" fillId="2" borderId="1" xfId="0" applyFont="1" applyFill="1" applyBorder="1" applyAlignment="1">
      <alignment vertical="center" wrapText="1"/>
    </xf>
    <xf numFmtId="0" fontId="0" fillId="0" borderId="0" xfId="0" applyAlignment="1">
      <alignment wrapText="1"/>
    </xf>
    <xf numFmtId="0" fontId="6" fillId="2" borderId="7" xfId="0" applyFont="1" applyFill="1" applyBorder="1" applyAlignment="1">
      <alignment vertical="center"/>
    </xf>
    <xf numFmtId="0" fontId="7" fillId="2" borderId="0" xfId="0" applyFont="1" applyFill="1" applyBorder="1" applyAlignment="1">
      <alignment vertical="center"/>
    </xf>
    <xf numFmtId="0" fontId="7" fillId="2" borderId="8" xfId="0" applyFont="1" applyFill="1" applyBorder="1" applyAlignment="1">
      <alignment horizontal="center" vertical="center"/>
    </xf>
    <xf numFmtId="169" fontId="7" fillId="2" borderId="15" xfId="0" applyNumberFormat="1" applyFont="1" applyFill="1" applyBorder="1" applyAlignment="1">
      <alignment vertical="center"/>
    </xf>
    <xf numFmtId="0" fontId="6" fillId="2" borderId="6" xfId="0" applyNumberFormat="1" applyFont="1" applyFill="1" applyBorder="1" applyAlignment="1">
      <alignment horizontal="center" vertical="center" wrapText="1"/>
    </xf>
    <xf numFmtId="9" fontId="7" fillId="0" borderId="8" xfId="1" applyFont="1" applyFill="1" applyBorder="1" applyAlignment="1">
      <alignment vertical="center"/>
    </xf>
    <xf numFmtId="9" fontId="7" fillId="9" borderId="8" xfId="1" applyFont="1" applyFill="1" applyBorder="1" applyAlignment="1">
      <alignment vertical="center"/>
    </xf>
    <xf numFmtId="9" fontId="7" fillId="0" borderId="15" xfId="1" applyFont="1" applyFill="1" applyBorder="1" applyAlignment="1">
      <alignment vertical="center"/>
    </xf>
    <xf numFmtId="4" fontId="7" fillId="0" borderId="15" xfId="0" applyNumberFormat="1" applyFont="1" applyFill="1" applyBorder="1" applyAlignment="1">
      <alignment horizontal="right" vertical="center"/>
    </xf>
    <xf numFmtId="0" fontId="13" fillId="0" borderId="0" xfId="0" applyFont="1" applyFill="1"/>
    <xf numFmtId="0" fontId="7" fillId="0" borderId="3" xfId="0" applyFont="1" applyFill="1" applyBorder="1" applyAlignment="1">
      <alignment vertical="center"/>
    </xf>
    <xf numFmtId="3" fontId="7" fillId="0" borderId="3" xfId="0" applyNumberFormat="1" applyFont="1" applyFill="1" applyBorder="1" applyAlignment="1">
      <alignment vertical="center"/>
    </xf>
    <xf numFmtId="169" fontId="7" fillId="0" borderId="3" xfId="0" applyNumberFormat="1" applyFont="1" applyFill="1" applyBorder="1" applyAlignment="1">
      <alignment vertical="center"/>
    </xf>
    <xf numFmtId="9" fontId="0" fillId="11" borderId="13" xfId="1" applyFont="1" applyFill="1" applyBorder="1"/>
    <xf numFmtId="9" fontId="0" fillId="11" borderId="15" xfId="1" applyFont="1" applyFill="1" applyBorder="1"/>
    <xf numFmtId="0" fontId="8" fillId="2" borderId="2" xfId="0" applyFont="1" applyFill="1" applyBorder="1" applyAlignment="1">
      <alignment vertical="center"/>
    </xf>
    <xf numFmtId="167" fontId="20" fillId="2" borderId="1" xfId="1" applyNumberFormat="1" applyFont="1" applyFill="1" applyBorder="1" applyAlignment="1">
      <alignment horizontal="center" wrapText="1"/>
    </xf>
    <xf numFmtId="0" fontId="21" fillId="0" borderId="0" xfId="0" applyFont="1"/>
    <xf numFmtId="9" fontId="18" fillId="0" borderId="0" xfId="1" applyFont="1"/>
    <xf numFmtId="9" fontId="17" fillId="0" borderId="0" xfId="1" applyFont="1"/>
    <xf numFmtId="167" fontId="7" fillId="0" borderId="12" xfId="0" applyNumberFormat="1" applyFont="1" applyBorder="1" applyAlignment="1">
      <alignment horizontal="center" vertical="center"/>
    </xf>
    <xf numFmtId="43" fontId="0" fillId="0" borderId="0" xfId="4" applyFont="1"/>
    <xf numFmtId="0" fontId="13" fillId="14" borderId="0" xfId="0" applyFont="1" applyFill="1"/>
    <xf numFmtId="0" fontId="17" fillId="0" borderId="0" xfId="0" applyFont="1" applyFill="1"/>
    <xf numFmtId="0" fontId="18" fillId="0" borderId="0" xfId="0" applyFont="1" applyFill="1"/>
    <xf numFmtId="0" fontId="18" fillId="15" borderId="12" xfId="0" applyFont="1" applyFill="1" applyBorder="1"/>
    <xf numFmtId="3" fontId="18" fillId="15" borderId="12" xfId="0" applyNumberFormat="1" applyFont="1" applyFill="1" applyBorder="1"/>
    <xf numFmtId="9" fontId="18" fillId="15" borderId="12" xfId="0" applyNumberFormat="1" applyFont="1" applyFill="1" applyBorder="1"/>
    <xf numFmtId="166" fontId="13" fillId="0" borderId="0" xfId="2" applyNumberFormat="1" applyFont="1"/>
    <xf numFmtId="169" fontId="7" fillId="0" borderId="8" xfId="0" applyNumberFormat="1" applyFont="1" applyBorder="1" applyAlignment="1">
      <alignment vertical="center"/>
    </xf>
    <xf numFmtId="0" fontId="0" fillId="0" borderId="0" xfId="1" applyNumberFormat="1" applyFont="1"/>
    <xf numFmtId="0" fontId="0" fillId="0" borderId="0" xfId="0" applyNumberFormat="1"/>
    <xf numFmtId="166" fontId="7" fillId="0" borderId="0" xfId="0" applyNumberFormat="1" applyFont="1" applyFill="1" applyAlignment="1">
      <alignment vertical="center"/>
    </xf>
    <xf numFmtId="1" fontId="0" fillId="0" borderId="0" xfId="1" applyNumberFormat="1" applyFont="1"/>
    <xf numFmtId="6" fontId="26" fillId="0" borderId="19" xfId="0" applyNumberFormat="1" applyFont="1" applyBorder="1" applyAlignment="1">
      <alignment horizontal="right" wrapText="1" readingOrder="1"/>
    </xf>
    <xf numFmtId="6" fontId="26" fillId="0" borderId="0" xfId="0" applyNumberFormat="1" applyFont="1" applyAlignment="1">
      <alignment horizontal="right" wrapText="1" readingOrder="1"/>
    </xf>
    <xf numFmtId="0" fontId="25" fillId="0" borderId="0" xfId="0" applyFont="1" applyFill="1" applyBorder="1" applyAlignment="1">
      <alignment horizontal="center" wrapText="1" readingOrder="1"/>
    </xf>
    <xf numFmtId="10" fontId="0" fillId="0" borderId="0" xfId="1" applyNumberFormat="1" applyFont="1"/>
    <xf numFmtId="6" fontId="26" fillId="0" borderId="0" xfId="0" applyNumberFormat="1" applyFont="1" applyBorder="1" applyAlignment="1">
      <alignment horizontal="right" wrapText="1" readingOrder="1"/>
    </xf>
    <xf numFmtId="0" fontId="25" fillId="7" borderId="9" xfId="0" applyFont="1" applyFill="1" applyBorder="1" applyAlignment="1">
      <alignment horizontal="left" wrapText="1" readingOrder="1"/>
    </xf>
    <xf numFmtId="0" fontId="25" fillId="7" borderId="10" xfId="0" applyFont="1" applyFill="1" applyBorder="1" applyAlignment="1">
      <alignment horizontal="center" wrapText="1" readingOrder="1"/>
    </xf>
    <xf numFmtId="0" fontId="25" fillId="7" borderId="11" xfId="0" applyFont="1" applyFill="1" applyBorder="1" applyAlignment="1">
      <alignment horizontal="center" wrapText="1" readingOrder="1"/>
    </xf>
    <xf numFmtId="0" fontId="25" fillId="7" borderId="9" xfId="0" applyFont="1" applyFill="1" applyBorder="1" applyAlignment="1">
      <alignment horizontal="center" wrapText="1" readingOrder="1"/>
    </xf>
    <xf numFmtId="0" fontId="25" fillId="7" borderId="12" xfId="0" applyFont="1" applyFill="1" applyBorder="1" applyAlignment="1">
      <alignment horizontal="center" wrapText="1" readingOrder="1"/>
    </xf>
    <xf numFmtId="0" fontId="26" fillId="7" borderId="9" xfId="0" applyFont="1" applyFill="1" applyBorder="1" applyAlignment="1">
      <alignment horizontal="left" wrapText="1" readingOrder="1"/>
    </xf>
    <xf numFmtId="0" fontId="26" fillId="0" borderId="9" xfId="0" applyFont="1" applyBorder="1" applyAlignment="1">
      <alignment horizontal="right" wrapText="1" readingOrder="1"/>
    </xf>
    <xf numFmtId="0" fontId="26" fillId="0" borderId="10" xfId="0" applyFont="1" applyBorder="1" applyAlignment="1">
      <alignment horizontal="right" wrapText="1" readingOrder="1"/>
    </xf>
    <xf numFmtId="9" fontId="26" fillId="0" borderId="10" xfId="0" applyNumberFormat="1" applyFont="1" applyBorder="1" applyAlignment="1">
      <alignment horizontal="right" wrapText="1" readingOrder="1"/>
    </xf>
    <xf numFmtId="1" fontId="26" fillId="0" borderId="10" xfId="0" applyNumberFormat="1" applyFont="1" applyBorder="1" applyAlignment="1">
      <alignment horizontal="right" wrapText="1" readingOrder="1"/>
    </xf>
    <xf numFmtId="165" fontId="26" fillId="0" borderId="11" xfId="0" applyNumberFormat="1" applyFont="1" applyBorder="1" applyAlignment="1">
      <alignment horizontal="right" wrapText="1" readingOrder="1"/>
    </xf>
    <xf numFmtId="3" fontId="26" fillId="0" borderId="9" xfId="0" applyNumberFormat="1" applyFont="1" applyBorder="1" applyAlignment="1">
      <alignment horizontal="right" wrapText="1" readingOrder="1"/>
    </xf>
    <xf numFmtId="10" fontId="26" fillId="0" borderId="11" xfId="0" applyNumberFormat="1" applyFont="1" applyBorder="1" applyAlignment="1">
      <alignment horizontal="right" wrapText="1" readingOrder="1"/>
    </xf>
    <xf numFmtId="0" fontId="3" fillId="7" borderId="13" xfId="0" applyFont="1" applyFill="1" applyBorder="1"/>
    <xf numFmtId="6" fontId="26" fillId="18" borderId="9" xfId="0" applyNumberFormat="1" applyFont="1" applyFill="1" applyBorder="1" applyAlignment="1">
      <alignment horizontal="right" wrapText="1" readingOrder="1"/>
    </xf>
    <xf numFmtId="6" fontId="26" fillId="18" borderId="10" xfId="0" applyNumberFormat="1" applyFont="1" applyFill="1" applyBorder="1" applyAlignment="1">
      <alignment horizontal="right" wrapText="1" readingOrder="1"/>
    </xf>
    <xf numFmtId="6" fontId="26" fillId="18" borderId="11" xfId="0" applyNumberFormat="1" applyFont="1" applyFill="1" applyBorder="1" applyAlignment="1">
      <alignment horizontal="right" wrapText="1" readingOrder="1"/>
    </xf>
    <xf numFmtId="6" fontId="26" fillId="18" borderId="12" xfId="0" applyNumberFormat="1" applyFont="1" applyFill="1" applyBorder="1" applyAlignment="1">
      <alignment horizontal="right" wrapText="1" readingOrder="1"/>
    </xf>
    <xf numFmtId="0" fontId="3" fillId="7" borderId="2" xfId="0" applyFont="1" applyFill="1" applyBorder="1"/>
    <xf numFmtId="0" fontId="3" fillId="8" borderId="7" xfId="0" applyFont="1" applyFill="1" applyBorder="1"/>
    <xf numFmtId="0" fontId="3" fillId="0" borderId="7" xfId="0" applyFont="1" applyBorder="1"/>
    <xf numFmtId="0" fontId="3" fillId="19" borderId="7" xfId="0" applyFont="1" applyFill="1" applyBorder="1"/>
    <xf numFmtId="0" fontId="3" fillId="15" borderId="7" xfId="0" applyFont="1" applyFill="1" applyBorder="1"/>
    <xf numFmtId="0" fontId="3" fillId="7" borderId="3" xfId="0" applyFont="1" applyFill="1" applyBorder="1"/>
    <xf numFmtId="0" fontId="3" fillId="8" borderId="0" xfId="0" applyFont="1" applyFill="1" applyBorder="1"/>
    <xf numFmtId="0" fontId="3" fillId="0" borderId="0" xfId="0" applyFont="1" applyBorder="1"/>
    <xf numFmtId="0" fontId="3" fillId="19" borderId="0" xfId="0" applyFont="1" applyFill="1" applyBorder="1"/>
    <xf numFmtId="0" fontId="3" fillId="15" borderId="0" xfId="0" applyFont="1" applyFill="1" applyBorder="1"/>
    <xf numFmtId="0" fontId="3" fillId="7" borderId="2" xfId="0" applyFont="1" applyFill="1" applyBorder="1" applyAlignment="1">
      <alignment horizontal="center" wrapText="1"/>
    </xf>
    <xf numFmtId="0" fontId="3" fillId="7" borderId="3" xfId="0" applyFont="1" applyFill="1" applyBorder="1" applyAlignment="1">
      <alignment horizontal="center" wrapText="1"/>
    </xf>
    <xf numFmtId="0" fontId="3" fillId="7" borderId="4" xfId="0" applyFont="1" applyFill="1" applyBorder="1" applyAlignment="1">
      <alignment horizontal="center" wrapText="1"/>
    </xf>
    <xf numFmtId="0" fontId="0" fillId="8" borderId="7" xfId="0" applyFill="1" applyBorder="1"/>
    <xf numFmtId="0" fontId="0" fillId="8" borderId="0" xfId="0" applyFill="1" applyBorder="1"/>
    <xf numFmtId="0" fontId="0" fillId="8" borderId="8" xfId="0" applyFill="1" applyBorder="1"/>
    <xf numFmtId="9" fontId="0" fillId="0" borderId="7" xfId="1" applyFont="1" applyBorder="1"/>
    <xf numFmtId="9" fontId="0" fillId="19" borderId="7" xfId="1" applyFont="1" applyFill="1" applyBorder="1"/>
    <xf numFmtId="9" fontId="0" fillId="19" borderId="0" xfId="1" applyFont="1" applyFill="1" applyBorder="1"/>
    <xf numFmtId="9" fontId="0" fillId="19" borderId="8" xfId="1" applyFont="1" applyFill="1" applyBorder="1"/>
    <xf numFmtId="9" fontId="0" fillId="15" borderId="7" xfId="1" applyFont="1" applyFill="1" applyBorder="1"/>
    <xf numFmtId="9" fontId="0" fillId="15" borderId="0" xfId="1" applyFont="1" applyFill="1" applyBorder="1"/>
    <xf numFmtId="9" fontId="0" fillId="15" borderId="8" xfId="1" applyFont="1" applyFill="1" applyBorder="1"/>
    <xf numFmtId="0" fontId="3" fillId="7" borderId="13" xfId="0" applyFont="1" applyFill="1" applyBorder="1" applyAlignment="1">
      <alignment horizontal="center" wrapText="1"/>
    </xf>
    <xf numFmtId="0" fontId="0" fillId="8" borderId="15" xfId="0" applyFill="1" applyBorder="1"/>
    <xf numFmtId="0" fontId="0" fillId="19" borderId="15" xfId="0" applyFill="1" applyBorder="1"/>
    <xf numFmtId="0" fontId="0" fillId="15" borderId="15" xfId="0" applyFill="1" applyBorder="1"/>
    <xf numFmtId="0" fontId="3" fillId="0" borderId="9" xfId="0" applyFont="1" applyBorder="1"/>
    <xf numFmtId="0" fontId="3" fillId="0" borderId="10" xfId="0" applyFont="1" applyBorder="1"/>
    <xf numFmtId="9" fontId="0" fillId="0" borderId="9" xfId="1" applyFont="1" applyBorder="1"/>
    <xf numFmtId="9" fontId="0" fillId="0" borderId="10" xfId="1" applyFont="1" applyBorder="1"/>
    <xf numFmtId="9" fontId="0" fillId="0" borderId="11" xfId="1" applyFont="1" applyBorder="1"/>
    <xf numFmtId="166" fontId="0" fillId="0" borderId="0" xfId="2" applyNumberFormat="1" applyFont="1"/>
    <xf numFmtId="166" fontId="0" fillId="7" borderId="0" xfId="2" applyNumberFormat="1" applyFont="1" applyFill="1"/>
    <xf numFmtId="167" fontId="0" fillId="0" borderId="0" xfId="1" applyNumberFormat="1" applyFont="1"/>
    <xf numFmtId="4" fontId="0" fillId="0" borderId="0" xfId="0" applyNumberFormat="1"/>
    <xf numFmtId="8" fontId="0" fillId="0" borderId="0" xfId="0" applyNumberFormat="1"/>
    <xf numFmtId="0" fontId="8" fillId="0" borderId="0" xfId="0" applyFont="1"/>
    <xf numFmtId="0" fontId="28" fillId="0" borderId="0" xfId="0" applyFont="1" applyFill="1" applyAlignment="1">
      <alignment vertical="center"/>
    </xf>
    <xf numFmtId="0" fontId="27" fillId="0" borderId="0" xfId="0" applyFont="1" applyFill="1" applyAlignment="1">
      <alignment vertical="center"/>
    </xf>
    <xf numFmtId="169" fontId="7" fillId="0" borderId="7" xfId="0" applyNumberFormat="1" applyFont="1" applyFill="1" applyBorder="1" applyAlignment="1">
      <alignment vertical="center"/>
    </xf>
    <xf numFmtId="0" fontId="7" fillId="2" borderId="8" xfId="0" applyFont="1" applyFill="1" applyBorder="1" applyAlignment="1">
      <alignment horizontal="left" vertical="center"/>
    </xf>
    <xf numFmtId="4" fontId="7" fillId="2" borderId="8" xfId="0" applyNumberFormat="1" applyFont="1" applyFill="1" applyBorder="1" applyAlignment="1">
      <alignment horizontal="right" vertical="center"/>
    </xf>
    <xf numFmtId="0" fontId="6" fillId="2" borderId="6" xfId="0" applyFont="1" applyFill="1" applyBorder="1" applyAlignment="1">
      <alignment horizontal="center" wrapText="1"/>
    </xf>
    <xf numFmtId="167" fontId="6" fillId="2" borderId="12" xfId="1" applyNumberFormat="1" applyFont="1" applyFill="1" applyBorder="1" applyAlignment="1">
      <alignment vertical="center"/>
    </xf>
    <xf numFmtId="0" fontId="7" fillId="0" borderId="9" xfId="0" applyFont="1" applyBorder="1" applyAlignment="1">
      <alignment vertical="center"/>
    </xf>
    <xf numFmtId="0" fontId="30" fillId="0" borderId="0" xfId="0" applyFont="1"/>
    <xf numFmtId="0" fontId="31" fillId="0" borderId="0" xfId="3" applyFont="1"/>
    <xf numFmtId="0" fontId="32" fillId="2" borderId="12" xfId="0" applyFont="1" applyFill="1" applyBorder="1" applyAlignment="1">
      <alignment horizontal="center" vertical="center"/>
    </xf>
    <xf numFmtId="169" fontId="32" fillId="2" borderId="12" xfId="0" applyNumberFormat="1" applyFont="1" applyFill="1" applyBorder="1" applyAlignment="1">
      <alignment horizontal="center" vertical="center"/>
    </xf>
    <xf numFmtId="0" fontId="6" fillId="2" borderId="14" xfId="0" applyNumberFormat="1" applyFont="1" applyFill="1" applyBorder="1" applyAlignment="1">
      <alignment horizontal="center" vertical="center" wrapText="1"/>
    </xf>
    <xf numFmtId="169" fontId="7" fillId="7" borderId="7" xfId="0" applyNumberFormat="1" applyFont="1" applyFill="1" applyBorder="1" applyAlignment="1">
      <alignment vertical="center"/>
    </xf>
    <xf numFmtId="169" fontId="7" fillId="0" borderId="14" xfId="0" applyNumberFormat="1" applyFont="1" applyFill="1" applyBorder="1" applyAlignment="1">
      <alignment vertical="center"/>
    </xf>
    <xf numFmtId="0" fontId="6" fillId="2" borderId="14" xfId="0" applyFont="1" applyFill="1" applyBorder="1" applyAlignment="1">
      <alignment horizontal="center" vertical="center" wrapText="1"/>
    </xf>
    <xf numFmtId="169" fontId="7" fillId="0" borderId="6" xfId="0" applyNumberFormat="1" applyFont="1" applyFill="1" applyBorder="1" applyAlignment="1">
      <alignment vertical="center"/>
    </xf>
    <xf numFmtId="4" fontId="0" fillId="0" borderId="0" xfId="1" applyNumberFormat="1" applyFont="1" applyBorder="1"/>
    <xf numFmtId="168" fontId="0" fillId="0" borderId="0" xfId="1" applyNumberFormat="1" applyFont="1" applyBorder="1"/>
    <xf numFmtId="0" fontId="30" fillId="11" borderId="15" xfId="0" applyFont="1" applyFill="1" applyBorder="1"/>
    <xf numFmtId="0" fontId="30" fillId="11" borderId="14" xfId="0" applyFont="1" applyFill="1" applyBorder="1"/>
    <xf numFmtId="0" fontId="30" fillId="23" borderId="13" xfId="0" applyFont="1" applyFill="1" applyBorder="1"/>
    <xf numFmtId="0" fontId="30" fillId="23" borderId="15" xfId="0" applyFont="1" applyFill="1" applyBorder="1"/>
    <xf numFmtId="0" fontId="34" fillId="21" borderId="13" xfId="0" applyFont="1" applyFill="1" applyBorder="1"/>
    <xf numFmtId="0" fontId="34" fillId="21" borderId="14" xfId="0" applyFont="1" applyFill="1" applyBorder="1"/>
    <xf numFmtId="0" fontId="34" fillId="22" borderId="13" xfId="0" applyFont="1" applyFill="1" applyBorder="1"/>
    <xf numFmtId="0" fontId="34" fillId="22" borderId="14" xfId="0" applyFont="1" applyFill="1" applyBorder="1"/>
    <xf numFmtId="0" fontId="30" fillId="15" borderId="13" xfId="0" applyFont="1" applyFill="1" applyBorder="1"/>
    <xf numFmtId="0" fontId="30" fillId="15" borderId="15" xfId="0" applyFont="1" applyFill="1" applyBorder="1"/>
    <xf numFmtId="0" fontId="30" fillId="15" borderId="14" xfId="0" applyFont="1" applyFill="1" applyBorder="1"/>
    <xf numFmtId="0" fontId="30" fillId="6" borderId="13" xfId="0" applyFont="1" applyFill="1" applyBorder="1"/>
    <xf numFmtId="0" fontId="30" fillId="6" borderId="15" xfId="0" applyFont="1" applyFill="1" applyBorder="1"/>
    <xf numFmtId="0" fontId="0" fillId="0" borderId="20" xfId="0" applyBorder="1"/>
    <xf numFmtId="0" fontId="6" fillId="11" borderId="0" xfId="0" applyFont="1" applyFill="1" applyAlignment="1">
      <alignment horizontal="center" vertical="center"/>
    </xf>
    <xf numFmtId="0" fontId="6" fillId="11" borderId="7" xfId="0" applyFont="1" applyFill="1" applyBorder="1" applyAlignment="1">
      <alignment vertical="center"/>
    </xf>
    <xf numFmtId="4" fontId="7" fillId="11" borderId="8" xfId="0" applyNumberFormat="1" applyFont="1" applyFill="1" applyBorder="1" applyAlignment="1">
      <alignment horizontal="right" vertical="center"/>
    </xf>
    <xf numFmtId="9" fontId="0" fillId="11" borderId="13" xfId="1" applyFont="1" applyFill="1" applyBorder="1" applyAlignment="1">
      <alignment horizontal="center"/>
    </xf>
    <xf numFmtId="9" fontId="0" fillId="11" borderId="15" xfId="1" applyFont="1" applyFill="1" applyBorder="1" applyAlignment="1">
      <alignment horizontal="center"/>
    </xf>
    <xf numFmtId="0" fontId="8" fillId="2" borderId="13" xfId="0" applyFont="1" applyFill="1" applyBorder="1"/>
    <xf numFmtId="9" fontId="8" fillId="2" borderId="10" xfId="1" applyFont="1" applyFill="1" applyBorder="1" applyAlignment="1">
      <alignment wrapText="1"/>
    </xf>
    <xf numFmtId="0" fontId="1" fillId="0" borderId="0" xfId="0" applyFont="1"/>
    <xf numFmtId="0" fontId="8" fillId="2" borderId="15" xfId="0" applyFont="1" applyFill="1" applyBorder="1"/>
    <xf numFmtId="9" fontId="8" fillId="2" borderId="3" xfId="1" applyFont="1" applyFill="1" applyBorder="1" applyAlignment="1">
      <alignment horizontal="center" wrapText="1"/>
    </xf>
    <xf numFmtId="0" fontId="1" fillId="0" borderId="15" xfId="0" applyFont="1" applyBorder="1"/>
    <xf numFmtId="169" fontId="1" fillId="0" borderId="7" xfId="0" applyNumberFormat="1" applyFont="1" applyBorder="1"/>
    <xf numFmtId="9" fontId="1" fillId="0" borderId="0" xfId="1" applyFont="1" applyBorder="1"/>
    <xf numFmtId="169" fontId="1" fillId="0" borderId="0" xfId="0" applyNumberFormat="1" applyFont="1" applyBorder="1"/>
    <xf numFmtId="169" fontId="1" fillId="0" borderId="8" xfId="0" applyNumberFormat="1" applyFont="1" applyBorder="1"/>
    <xf numFmtId="9" fontId="1" fillId="0" borderId="7" xfId="1" applyFont="1" applyBorder="1" applyAlignment="1">
      <alignment horizontal="center" wrapText="1"/>
    </xf>
    <xf numFmtId="9" fontId="1" fillId="0" borderId="0" xfId="1" applyFont="1" applyBorder="1" applyAlignment="1">
      <alignment horizontal="center" wrapText="1"/>
    </xf>
    <xf numFmtId="9" fontId="1" fillId="0" borderId="15" xfId="1" applyFont="1" applyBorder="1" applyAlignment="1">
      <alignment horizontal="center" wrapText="1"/>
    </xf>
    <xf numFmtId="9" fontId="1" fillId="0" borderId="8" xfId="1" applyFont="1" applyBorder="1" applyAlignment="1">
      <alignment horizontal="center" wrapText="1"/>
    </xf>
    <xf numFmtId="9" fontId="1" fillId="0" borderId="0" xfId="1" applyFont="1" applyAlignment="1">
      <alignment horizontal="center" wrapText="1"/>
    </xf>
    <xf numFmtId="0" fontId="1" fillId="0" borderId="13" xfId="0" applyFont="1" applyBorder="1"/>
    <xf numFmtId="169" fontId="1" fillId="0" borderId="2" xfId="0" applyNumberFormat="1" applyFont="1" applyBorder="1"/>
    <xf numFmtId="169" fontId="1" fillId="0" borderId="4" xfId="0" applyNumberFormat="1" applyFont="1" applyBorder="1"/>
    <xf numFmtId="9" fontId="1" fillId="0" borderId="2" xfId="1" applyFont="1" applyBorder="1" applyAlignment="1">
      <alignment horizontal="center" wrapText="1"/>
    </xf>
    <xf numFmtId="9" fontId="1" fillId="0" borderId="3" xfId="1" applyFont="1" applyBorder="1" applyAlignment="1">
      <alignment horizontal="center" wrapText="1"/>
    </xf>
    <xf numFmtId="9" fontId="1" fillId="0" borderId="13" xfId="1" applyFont="1" applyBorder="1" applyAlignment="1">
      <alignment horizontal="center" wrapText="1"/>
    </xf>
    <xf numFmtId="9" fontId="1" fillId="0" borderId="4" xfId="1" applyFont="1" applyBorder="1" applyAlignment="1">
      <alignment horizontal="center" wrapText="1"/>
    </xf>
    <xf numFmtId="0" fontId="1" fillId="0" borderId="12" xfId="0" applyFont="1" applyBorder="1"/>
    <xf numFmtId="3" fontId="1" fillId="12" borderId="9" xfId="0" applyNumberFormat="1" applyFont="1" applyFill="1" applyBorder="1"/>
    <xf numFmtId="169" fontId="1" fillId="0" borderId="10" xfId="0" applyNumberFormat="1" applyFont="1" applyBorder="1"/>
    <xf numFmtId="169" fontId="1" fillId="0" borderId="11" xfId="0" applyNumberFormat="1" applyFont="1" applyBorder="1"/>
    <xf numFmtId="9" fontId="1" fillId="12" borderId="9" xfId="1" applyFont="1" applyFill="1" applyBorder="1" applyAlignment="1">
      <alignment horizontal="center" wrapText="1"/>
    </xf>
    <xf numFmtId="3" fontId="1" fillId="0" borderId="10" xfId="0" applyNumberFormat="1" applyFont="1" applyBorder="1"/>
    <xf numFmtId="9" fontId="1" fillId="12" borderId="12" xfId="1" applyFont="1" applyFill="1" applyBorder="1" applyAlignment="1">
      <alignment horizontal="center" wrapText="1"/>
    </xf>
    <xf numFmtId="169" fontId="1" fillId="0" borderId="12" xfId="0" applyNumberFormat="1" applyFont="1" applyBorder="1"/>
    <xf numFmtId="9" fontId="1" fillId="12" borderId="11" xfId="1" applyFont="1" applyFill="1" applyBorder="1" applyAlignment="1">
      <alignment horizontal="center" wrapText="1"/>
    </xf>
    <xf numFmtId="9" fontId="1" fillId="12" borderId="10" xfId="1" applyFont="1" applyFill="1" applyBorder="1" applyAlignment="1">
      <alignment horizontal="center" wrapText="1"/>
    </xf>
    <xf numFmtId="0" fontId="1" fillId="0" borderId="0" xfId="0" applyFont="1" applyBorder="1"/>
    <xf numFmtId="3" fontId="1" fillId="0" borderId="0" xfId="0" applyNumberFormat="1" applyFont="1" applyBorder="1"/>
    <xf numFmtId="169" fontId="1" fillId="0" borderId="0" xfId="0" applyNumberFormat="1" applyFont="1" applyFill="1" applyBorder="1"/>
    <xf numFmtId="9" fontId="1" fillId="0" borderId="0" xfId="1" applyFont="1" applyFill="1" applyBorder="1"/>
    <xf numFmtId="9" fontId="1" fillId="0" borderId="5" xfId="1" applyFont="1" applyFill="1" applyBorder="1" applyAlignment="1">
      <alignment horizontal="center" wrapText="1"/>
    </xf>
    <xf numFmtId="9" fontId="1" fillId="0" borderId="1" xfId="1" applyFont="1" applyFill="1" applyBorder="1" applyAlignment="1">
      <alignment horizontal="center" wrapText="1"/>
    </xf>
    <xf numFmtId="9" fontId="1" fillId="0" borderId="14" xfId="1" applyFont="1" applyFill="1" applyBorder="1" applyAlignment="1">
      <alignment horizontal="center" wrapText="1"/>
    </xf>
    <xf numFmtId="9" fontId="1" fillId="0" borderId="5" xfId="1" applyFont="1" applyBorder="1" applyAlignment="1">
      <alignment horizontal="center" wrapText="1"/>
    </xf>
    <xf numFmtId="9" fontId="1" fillId="0" borderId="1" xfId="1" applyFont="1" applyBorder="1" applyAlignment="1">
      <alignment horizontal="center" wrapText="1"/>
    </xf>
    <xf numFmtId="9" fontId="1" fillId="0" borderId="6" xfId="1" applyFont="1" applyFill="1" applyBorder="1" applyAlignment="1">
      <alignment horizontal="center" wrapText="1"/>
    </xf>
    <xf numFmtId="9" fontId="1" fillId="0" borderId="6" xfId="1" applyFont="1" applyBorder="1" applyAlignment="1">
      <alignment horizontal="center" wrapText="1"/>
    </xf>
    <xf numFmtId="9" fontId="1" fillId="0" borderId="0" xfId="1" applyFont="1"/>
    <xf numFmtId="9" fontId="1" fillId="0" borderId="9" xfId="1" applyFont="1" applyBorder="1" applyAlignment="1">
      <alignment horizontal="center" wrapText="1"/>
    </xf>
    <xf numFmtId="9" fontId="1" fillId="0" borderId="10" xfId="1" applyFont="1" applyBorder="1" applyAlignment="1">
      <alignment horizontal="center" wrapText="1"/>
    </xf>
    <xf numFmtId="9" fontId="1" fillId="0" borderId="12" xfId="1" applyFont="1" applyBorder="1" applyAlignment="1">
      <alignment horizontal="center" wrapText="1"/>
    </xf>
    <xf numFmtId="9" fontId="1" fillId="0" borderId="11" xfId="1" applyFont="1" applyBorder="1" applyAlignment="1">
      <alignment horizontal="center" wrapText="1"/>
    </xf>
    <xf numFmtId="3" fontId="1" fillId="0" borderId="0" xfId="0" applyNumberFormat="1" applyFont="1"/>
    <xf numFmtId="0" fontId="35" fillId="0" borderId="0" xfId="3" applyFont="1"/>
    <xf numFmtId="169" fontId="1" fillId="0" borderId="0" xfId="0" applyNumberFormat="1" applyFont="1"/>
    <xf numFmtId="168" fontId="1" fillId="0" borderId="9" xfId="0" applyNumberFormat="1" applyFont="1" applyBorder="1"/>
    <xf numFmtId="168" fontId="1" fillId="0" borderId="10" xfId="0" applyNumberFormat="1" applyFont="1" applyBorder="1"/>
    <xf numFmtId="169" fontId="1" fillId="0" borderId="0" xfId="1" applyNumberFormat="1" applyFont="1" applyBorder="1"/>
    <xf numFmtId="169" fontId="1" fillId="0" borderId="5" xfId="0" applyNumberFormat="1" applyFont="1" applyBorder="1"/>
    <xf numFmtId="0" fontId="8" fillId="0" borderId="1" xfId="0" applyFont="1" applyBorder="1"/>
    <xf numFmtId="0" fontId="1" fillId="12" borderId="0" xfId="0" applyFont="1" applyFill="1"/>
    <xf numFmtId="168" fontId="1" fillId="0" borderId="0" xfId="0" applyNumberFormat="1" applyFont="1" applyAlignment="1">
      <alignment horizontal="center" wrapText="1"/>
    </xf>
    <xf numFmtId="1" fontId="1" fillId="0" borderId="0" xfId="0" applyNumberFormat="1" applyFont="1"/>
    <xf numFmtId="1" fontId="1" fillId="0" borderId="0" xfId="1" applyNumberFormat="1" applyFont="1" applyAlignment="1">
      <alignment horizontal="center" wrapText="1"/>
    </xf>
    <xf numFmtId="164" fontId="1" fillId="0" borderId="0" xfId="1" applyNumberFormat="1" applyFont="1" applyAlignment="1">
      <alignment horizontal="center" wrapText="1"/>
    </xf>
    <xf numFmtId="169" fontId="1" fillId="0" borderId="0" xfId="0" applyNumberFormat="1" applyFont="1" applyBorder="1" applyAlignment="1">
      <alignment horizontal="center" wrapText="1"/>
    </xf>
    <xf numFmtId="168" fontId="1" fillId="0" borderId="0" xfId="0" applyNumberFormat="1" applyFont="1" applyBorder="1" applyAlignment="1">
      <alignment horizontal="center" wrapText="1"/>
    </xf>
    <xf numFmtId="9" fontId="1" fillId="12" borderId="0" xfId="1" applyFont="1" applyFill="1" applyBorder="1" applyAlignment="1">
      <alignment horizontal="center" wrapText="1"/>
    </xf>
    <xf numFmtId="1" fontId="1" fillId="0" borderId="0" xfId="0" applyNumberFormat="1" applyFont="1" applyBorder="1"/>
    <xf numFmtId="1" fontId="1" fillId="0" borderId="0" xfId="1" applyNumberFormat="1" applyFont="1" applyBorder="1" applyAlignment="1">
      <alignment horizontal="center" wrapText="1"/>
    </xf>
    <xf numFmtId="168" fontId="1" fillId="0" borderId="12" xfId="0" applyNumberFormat="1" applyFont="1" applyBorder="1"/>
    <xf numFmtId="3" fontId="1" fillId="12" borderId="12" xfId="0" applyNumberFormat="1" applyFont="1" applyFill="1" applyBorder="1"/>
    <xf numFmtId="169" fontId="1" fillId="12" borderId="12" xfId="0" applyNumberFormat="1" applyFont="1" applyFill="1" applyBorder="1"/>
    <xf numFmtId="9" fontId="1" fillId="12" borderId="12" xfId="1" applyFont="1" applyFill="1" applyBorder="1"/>
    <xf numFmtId="3" fontId="1" fillId="0" borderId="12" xfId="0" applyNumberFormat="1" applyFont="1" applyBorder="1"/>
    <xf numFmtId="169" fontId="1" fillId="0" borderId="15" xfId="0" applyNumberFormat="1" applyFont="1" applyBorder="1"/>
    <xf numFmtId="3" fontId="1" fillId="12" borderId="14" xfId="0" applyNumberFormat="1" applyFont="1" applyFill="1" applyBorder="1"/>
    <xf numFmtId="3" fontId="1" fillId="12" borderId="5" xfId="0" applyNumberFormat="1" applyFont="1" applyFill="1" applyBorder="1"/>
    <xf numFmtId="0" fontId="8" fillId="2" borderId="22" xfId="0" applyFont="1" applyFill="1" applyBorder="1"/>
    <xf numFmtId="0" fontId="8" fillId="2" borderId="21" xfId="0" applyFont="1" applyFill="1" applyBorder="1" applyAlignment="1">
      <alignment horizontal="center"/>
    </xf>
    <xf numFmtId="0" fontId="8" fillId="2" borderId="18" xfId="0" applyFont="1" applyFill="1" applyBorder="1" applyAlignment="1">
      <alignment horizontal="center"/>
    </xf>
    <xf numFmtId="0" fontId="8" fillId="2" borderId="23" xfId="0" applyFont="1" applyFill="1" applyBorder="1" applyAlignment="1">
      <alignment horizontal="center"/>
    </xf>
    <xf numFmtId="169" fontId="8" fillId="2" borderId="24" xfId="0" applyNumberFormat="1" applyFont="1" applyFill="1" applyBorder="1" applyAlignment="1">
      <alignment horizontal="center" wrapText="1"/>
    </xf>
    <xf numFmtId="9" fontId="8" fillId="2" borderId="24" xfId="1" applyFont="1" applyFill="1" applyBorder="1" applyAlignment="1">
      <alignment horizontal="center" wrapText="1"/>
    </xf>
    <xf numFmtId="9" fontId="8" fillId="2" borderId="25" xfId="1" applyFont="1" applyFill="1" applyBorder="1" applyAlignment="1">
      <alignment horizontal="center" wrapText="1"/>
    </xf>
    <xf numFmtId="9" fontId="8" fillId="2" borderId="26" xfId="1" applyFont="1" applyFill="1" applyBorder="1" applyAlignment="1">
      <alignment horizontal="center" wrapText="1"/>
    </xf>
    <xf numFmtId="9" fontId="8" fillId="2" borderId="27" xfId="1" applyFont="1" applyFill="1" applyBorder="1" applyAlignment="1">
      <alignment horizontal="center" wrapText="1"/>
    </xf>
    <xf numFmtId="0" fontId="1" fillId="0" borderId="18" xfId="0" applyFont="1" applyBorder="1"/>
    <xf numFmtId="9" fontId="9" fillId="2" borderId="24" xfId="1" applyFont="1" applyFill="1" applyBorder="1" applyAlignment="1">
      <alignment horizontal="center" wrapText="1"/>
    </xf>
    <xf numFmtId="9" fontId="10" fillId="2" borderId="24" xfId="1" applyFont="1" applyFill="1" applyBorder="1" applyAlignment="1">
      <alignment horizontal="center" wrapText="1"/>
    </xf>
    <xf numFmtId="0" fontId="8" fillId="2" borderId="0" xfId="0" applyFont="1" applyFill="1" applyBorder="1" applyAlignment="1">
      <alignment horizontal="center" wrapText="1"/>
    </xf>
    <xf numFmtId="3" fontId="1" fillId="11" borderId="7" xfId="0" applyNumberFormat="1" applyFont="1" applyFill="1" applyBorder="1" applyAlignment="1">
      <alignment horizontal="center"/>
    </xf>
    <xf numFmtId="3" fontId="1" fillId="11" borderId="0" xfId="0" applyNumberFormat="1" applyFont="1" applyFill="1" applyBorder="1" applyAlignment="1">
      <alignment horizontal="center"/>
    </xf>
    <xf numFmtId="3" fontId="1" fillId="0" borderId="8" xfId="0" applyNumberFormat="1" applyFont="1" applyFill="1" applyBorder="1"/>
    <xf numFmtId="169" fontId="1" fillId="0" borderId="0" xfId="0" applyNumberFormat="1" applyFont="1" applyFill="1"/>
    <xf numFmtId="9" fontId="1" fillId="11" borderId="0" xfId="1" applyFont="1" applyFill="1" applyBorder="1"/>
    <xf numFmtId="9" fontId="1" fillId="0" borderId="15" xfId="1" applyFont="1" applyFill="1" applyBorder="1"/>
    <xf numFmtId="9" fontId="1" fillId="11" borderId="15" xfId="1" applyFont="1" applyFill="1" applyBorder="1"/>
    <xf numFmtId="9" fontId="1" fillId="11" borderId="8" xfId="1" applyFont="1" applyFill="1" applyBorder="1"/>
    <xf numFmtId="3" fontId="1" fillId="2" borderId="9" xfId="0" applyNumberFormat="1" applyFont="1" applyFill="1" applyBorder="1"/>
    <xf numFmtId="3" fontId="1" fillId="2" borderId="10" xfId="0" applyNumberFormat="1" applyFont="1" applyFill="1" applyBorder="1"/>
    <xf numFmtId="3" fontId="1" fillId="2" borderId="11" xfId="0" applyNumberFormat="1" applyFont="1" applyFill="1" applyBorder="1"/>
    <xf numFmtId="169" fontId="1" fillId="2" borderId="9" xfId="0" applyNumberFormat="1" applyFont="1" applyFill="1" applyBorder="1"/>
    <xf numFmtId="169" fontId="1" fillId="2" borderId="10" xfId="0" applyNumberFormat="1" applyFont="1" applyFill="1" applyBorder="1"/>
    <xf numFmtId="9" fontId="1" fillId="2" borderId="10" xfId="1" applyFont="1" applyFill="1" applyBorder="1"/>
    <xf numFmtId="169" fontId="1" fillId="2" borderId="12" xfId="0" applyNumberFormat="1" applyFont="1" applyFill="1" applyBorder="1"/>
    <xf numFmtId="169" fontId="1" fillId="2" borderId="11" xfId="0" applyNumberFormat="1" applyFont="1" applyFill="1" applyBorder="1"/>
    <xf numFmtId="9" fontId="1" fillId="2" borderId="12" xfId="1" applyFont="1" applyFill="1" applyBorder="1"/>
    <xf numFmtId="9" fontId="1" fillId="2" borderId="11" xfId="1" applyFont="1" applyFill="1" applyBorder="1"/>
    <xf numFmtId="3" fontId="1" fillId="0" borderId="0" xfId="0" applyNumberFormat="1" applyFont="1" applyFill="1" applyBorder="1"/>
    <xf numFmtId="9" fontId="1" fillId="11" borderId="0" xfId="1" applyFont="1" applyFill="1"/>
    <xf numFmtId="9" fontId="1" fillId="0" borderId="14" xfId="1" applyFont="1" applyBorder="1"/>
    <xf numFmtId="9" fontId="1" fillId="0" borderId="6" xfId="1" applyFont="1" applyBorder="1"/>
    <xf numFmtId="169" fontId="8" fillId="0" borderId="0" xfId="0" applyNumberFormat="1" applyFont="1"/>
    <xf numFmtId="8" fontId="1" fillId="0" borderId="0" xfId="1" applyNumberFormat="1" applyFont="1"/>
    <xf numFmtId="169" fontId="1" fillId="0" borderId="0" xfId="1" applyNumberFormat="1" applyFont="1"/>
    <xf numFmtId="0" fontId="1" fillId="0" borderId="7" xfId="0" applyFont="1" applyBorder="1" applyAlignment="1"/>
    <xf numFmtId="0" fontId="8" fillId="2" borderId="9" xfId="0" applyFont="1" applyFill="1" applyBorder="1" applyAlignment="1"/>
    <xf numFmtId="0" fontId="1" fillId="0" borderId="0" xfId="0" applyFont="1" applyAlignment="1"/>
    <xf numFmtId="0" fontId="8" fillId="0" borderId="1" xfId="0" applyFont="1" applyBorder="1" applyAlignment="1"/>
    <xf numFmtId="0" fontId="1" fillId="11" borderId="0" xfId="0" applyFont="1" applyFill="1" applyAlignment="1"/>
    <xf numFmtId="0" fontId="1" fillId="0" borderId="0" xfId="0" applyFont="1" applyBorder="1" applyAlignment="1"/>
    <xf numFmtId="0" fontId="1" fillId="0" borderId="21" xfId="0" applyFont="1" applyBorder="1" applyAlignment="1"/>
    <xf numFmtId="3" fontId="1" fillId="0" borderId="21" xfId="0" applyNumberFormat="1" applyFont="1" applyBorder="1"/>
    <xf numFmtId="3" fontId="1" fillId="0" borderId="18" xfId="0" applyNumberFormat="1" applyFont="1" applyBorder="1"/>
    <xf numFmtId="3" fontId="1" fillId="0" borderId="23" xfId="0" applyNumberFormat="1" applyFont="1" applyBorder="1"/>
    <xf numFmtId="169" fontId="1" fillId="0" borderId="21" xfId="0" applyNumberFormat="1" applyFont="1" applyBorder="1"/>
    <xf numFmtId="169" fontId="1" fillId="0" borderId="18" xfId="0" applyNumberFormat="1" applyFont="1" applyBorder="1"/>
    <xf numFmtId="9" fontId="1" fillId="0" borderId="18" xfId="1" applyFont="1" applyBorder="1"/>
    <xf numFmtId="169" fontId="1" fillId="0" borderId="22" xfId="0" applyNumberFormat="1" applyFont="1" applyBorder="1"/>
    <xf numFmtId="169" fontId="1" fillId="0" borderId="23" xfId="0" applyNumberFormat="1" applyFont="1" applyBorder="1"/>
    <xf numFmtId="9" fontId="1" fillId="0" borderId="22" xfId="1" applyFont="1" applyBorder="1"/>
    <xf numFmtId="9" fontId="1" fillId="0" borderId="23" xfId="1" applyFont="1" applyBorder="1"/>
    <xf numFmtId="3" fontId="1" fillId="0" borderId="23" xfId="0" applyNumberFormat="1" applyFont="1" applyFill="1" applyBorder="1"/>
    <xf numFmtId="169" fontId="1" fillId="0" borderId="18" xfId="0" applyNumberFormat="1" applyFont="1" applyFill="1" applyBorder="1"/>
    <xf numFmtId="9" fontId="1" fillId="11" borderId="18" xfId="1" applyFont="1" applyFill="1" applyBorder="1"/>
    <xf numFmtId="9" fontId="1" fillId="11" borderId="22" xfId="1" applyFont="1" applyFill="1" applyBorder="1"/>
    <xf numFmtId="9" fontId="1" fillId="11" borderId="23" xfId="1" applyFont="1" applyFill="1" applyBorder="1"/>
    <xf numFmtId="169" fontId="1" fillId="0" borderId="28" xfId="0" applyNumberFormat="1" applyFont="1" applyFill="1" applyBorder="1"/>
    <xf numFmtId="9" fontId="1" fillId="0" borderId="29" xfId="1" applyFont="1" applyBorder="1"/>
    <xf numFmtId="169" fontId="1" fillId="0" borderId="29" xfId="1" applyNumberFormat="1" applyFont="1" applyBorder="1"/>
    <xf numFmtId="169" fontId="1" fillId="0" borderId="30" xfId="1" applyNumberFormat="1" applyFont="1" applyBorder="1"/>
    <xf numFmtId="9" fontId="1" fillId="0" borderId="0" xfId="1" applyFont="1" applyAlignment="1">
      <alignment wrapText="1"/>
    </xf>
    <xf numFmtId="0" fontId="1" fillId="0" borderId="0" xfId="0" applyFont="1" applyFill="1"/>
    <xf numFmtId="0" fontId="6" fillId="2" borderId="0" xfId="0" applyFont="1" applyFill="1" applyBorder="1" applyAlignment="1">
      <alignment horizontal="center" vertical="center"/>
    </xf>
    <xf numFmtId="169" fontId="6" fillId="2" borderId="0" xfId="0" applyNumberFormat="1" applyFont="1" applyFill="1" applyBorder="1" applyAlignment="1">
      <alignment horizontal="center" vertical="center"/>
    </xf>
    <xf numFmtId="4" fontId="7" fillId="0" borderId="43" xfId="0" applyNumberFormat="1" applyFont="1" applyFill="1" applyBorder="1" applyAlignment="1">
      <alignment horizontal="right" vertical="center"/>
    </xf>
    <xf numFmtId="0" fontId="7" fillId="0" borderId="43" xfId="0" applyFont="1" applyFill="1" applyBorder="1" applyAlignment="1">
      <alignment horizontal="center" vertical="center"/>
    </xf>
    <xf numFmtId="0" fontId="7" fillId="0" borderId="43" xfId="0" applyFont="1" applyFill="1" applyBorder="1" applyAlignment="1">
      <alignment horizontal="left" vertical="center"/>
    </xf>
    <xf numFmtId="167" fontId="7" fillId="0" borderId="0" xfId="1" applyNumberFormat="1" applyFont="1" applyAlignment="1">
      <alignment horizontal="center" vertical="center"/>
    </xf>
    <xf numFmtId="167" fontId="7" fillId="0" borderId="0" xfId="1" applyNumberFormat="1" applyFont="1" applyFill="1" applyAlignment="1">
      <alignment horizontal="center" vertical="center"/>
    </xf>
    <xf numFmtId="0" fontId="6" fillId="2" borderId="45" xfId="0" applyFont="1" applyFill="1" applyBorder="1" applyAlignment="1">
      <alignment horizontal="center" wrapText="1"/>
    </xf>
    <xf numFmtId="4" fontId="7" fillId="0" borderId="0" xfId="0" applyNumberFormat="1" applyFont="1" applyFill="1" applyBorder="1" applyAlignment="1">
      <alignment horizontal="center" vertical="center"/>
    </xf>
    <xf numFmtId="167" fontId="7" fillId="0" borderId="43" xfId="1" applyNumberFormat="1" applyFont="1" applyFill="1" applyBorder="1" applyAlignment="1">
      <alignment horizontal="right" vertical="center"/>
    </xf>
    <xf numFmtId="169" fontId="7" fillId="0" borderId="44" xfId="0" applyNumberFormat="1" applyFont="1" applyFill="1" applyBorder="1" applyAlignment="1">
      <alignment horizontal="right" vertical="center"/>
    </xf>
    <xf numFmtId="0" fontId="6" fillId="0" borderId="0" xfId="0" applyFont="1" applyBorder="1" applyAlignment="1">
      <alignment vertical="center"/>
    </xf>
    <xf numFmtId="0" fontId="7" fillId="0" borderId="0" xfId="0" applyFont="1" applyBorder="1" applyAlignment="1">
      <alignment horizontal="left" vertical="center"/>
    </xf>
    <xf numFmtId="169" fontId="6" fillId="0" borderId="0" xfId="0" applyNumberFormat="1" applyFont="1" applyAlignment="1">
      <alignment vertical="center"/>
    </xf>
    <xf numFmtId="169" fontId="37" fillId="0" borderId="0" xfId="0" applyNumberFormat="1" applyFont="1" applyAlignment="1">
      <alignment vertical="center"/>
    </xf>
    <xf numFmtId="0" fontId="37" fillId="0" borderId="0" xfId="0" applyFont="1" applyFill="1" applyAlignment="1">
      <alignment vertical="center"/>
    </xf>
    <xf numFmtId="0" fontId="6" fillId="0" borderId="17" xfId="0" applyFont="1" applyBorder="1" applyAlignment="1">
      <alignment vertical="center"/>
    </xf>
    <xf numFmtId="0" fontId="37" fillId="0" borderId="0" xfId="0" applyFont="1" applyAlignment="1">
      <alignment vertical="center"/>
    </xf>
    <xf numFmtId="0" fontId="37" fillId="0" borderId="17" xfId="0" applyFont="1" applyBorder="1" applyAlignment="1">
      <alignment vertical="center"/>
    </xf>
    <xf numFmtId="0" fontId="37" fillId="0" borderId="0" xfId="0" applyFont="1" applyFill="1" applyBorder="1" applyAlignment="1">
      <alignment vertical="center"/>
    </xf>
    <xf numFmtId="0" fontId="37" fillId="0" borderId="0" xfId="0" applyFont="1" applyBorder="1" applyAlignment="1">
      <alignment vertical="center"/>
    </xf>
    <xf numFmtId="169" fontId="0" fillId="0" borderId="0" xfId="0" applyNumberFormat="1" applyFont="1" applyAlignment="1">
      <alignment vertical="center"/>
    </xf>
    <xf numFmtId="169" fontId="38" fillId="0" borderId="0" xfId="0" applyNumberFormat="1" applyFont="1" applyAlignment="1">
      <alignment vertical="center"/>
    </xf>
    <xf numFmtId="0" fontId="0" fillId="0" borderId="0" xfId="0" applyFont="1" applyAlignment="1">
      <alignment vertical="center"/>
    </xf>
    <xf numFmtId="0" fontId="38" fillId="0" borderId="0" xfId="0" applyFont="1" applyAlignment="1">
      <alignment vertical="center"/>
    </xf>
    <xf numFmtId="167" fontId="7" fillId="0" borderId="0" xfId="0" applyNumberFormat="1" applyFont="1" applyBorder="1" applyAlignment="1">
      <alignment horizontal="center" vertical="center"/>
    </xf>
    <xf numFmtId="167" fontId="0" fillId="0" borderId="0" xfId="0" applyNumberFormat="1" applyFont="1" applyBorder="1" applyAlignment="1">
      <alignment horizontal="center" vertical="center"/>
    </xf>
    <xf numFmtId="2" fontId="7" fillId="0" borderId="0" xfId="1" applyNumberFormat="1" applyFont="1" applyBorder="1" applyAlignment="1">
      <alignment horizontal="center" vertical="center"/>
    </xf>
    <xf numFmtId="2" fontId="38" fillId="0" borderId="0" xfId="1" applyNumberFormat="1" applyFont="1" applyBorder="1" applyAlignment="1">
      <alignment horizontal="center" vertical="center"/>
    </xf>
    <xf numFmtId="2" fontId="7" fillId="16" borderId="0" xfId="1" applyNumberFormat="1" applyFont="1" applyFill="1" applyBorder="1" applyAlignment="1">
      <alignment horizontal="center" vertical="center"/>
    </xf>
    <xf numFmtId="0" fontId="6" fillId="2" borderId="38" xfId="0" applyFont="1" applyFill="1" applyBorder="1" applyAlignment="1">
      <alignment horizontal="center" vertical="center"/>
    </xf>
    <xf numFmtId="169" fontId="6" fillId="2" borderId="39" xfId="0" applyNumberFormat="1" applyFont="1" applyFill="1" applyBorder="1" applyAlignment="1">
      <alignment horizontal="center" vertical="center"/>
    </xf>
    <xf numFmtId="167" fontId="6" fillId="20" borderId="36" xfId="1" applyNumberFormat="1" applyFont="1" applyFill="1" applyBorder="1" applyAlignment="1">
      <alignment vertical="center"/>
    </xf>
    <xf numFmtId="167" fontId="7" fillId="20" borderId="47" xfId="1" applyNumberFormat="1" applyFont="1" applyFill="1" applyBorder="1" applyAlignment="1">
      <alignment vertical="center"/>
    </xf>
    <xf numFmtId="0" fontId="7" fillId="0" borderId="39" xfId="0" applyFont="1" applyFill="1" applyBorder="1" applyAlignment="1">
      <alignment horizontal="right" vertical="center"/>
    </xf>
    <xf numFmtId="0" fontId="7" fillId="0" borderId="41" xfId="0" applyFont="1" applyFill="1" applyBorder="1" applyAlignment="1">
      <alignment horizontal="right" vertical="center"/>
    </xf>
    <xf numFmtId="167" fontId="7" fillId="0" borderId="38" xfId="1" applyNumberFormat="1" applyFont="1" applyFill="1" applyBorder="1" applyAlignment="1">
      <alignment horizontal="center" vertical="center"/>
    </xf>
    <xf numFmtId="167" fontId="7" fillId="0" borderId="40" xfId="1" applyNumberFormat="1" applyFont="1" applyFill="1" applyBorder="1" applyAlignment="1">
      <alignment horizontal="center" vertical="center"/>
    </xf>
    <xf numFmtId="0" fontId="7" fillId="0" borderId="38" xfId="0" applyFont="1" applyBorder="1" applyAlignment="1">
      <alignment horizontal="right" vertical="center"/>
    </xf>
    <xf numFmtId="167" fontId="7" fillId="0" borderId="39" xfId="0" applyNumberFormat="1" applyFont="1" applyBorder="1" applyAlignment="1">
      <alignment horizontal="center" vertical="center"/>
    </xf>
    <xf numFmtId="2" fontId="7" fillId="0" borderId="39" xfId="1" applyNumberFormat="1" applyFont="1" applyBorder="1" applyAlignment="1">
      <alignment horizontal="center" vertical="center"/>
    </xf>
    <xf numFmtId="0" fontId="7" fillId="0" borderId="40" xfId="0" applyFont="1" applyBorder="1" applyAlignment="1">
      <alignment horizontal="right" vertical="center"/>
    </xf>
    <xf numFmtId="2" fontId="7" fillId="0" borderId="34" xfId="1" applyNumberFormat="1" applyFont="1" applyBorder="1" applyAlignment="1">
      <alignment horizontal="center" vertical="center"/>
    </xf>
    <xf numFmtId="2" fontId="7" fillId="0" borderId="41" xfId="1" applyNumberFormat="1" applyFont="1" applyBorder="1" applyAlignment="1">
      <alignment horizontal="center" vertical="center"/>
    </xf>
    <xf numFmtId="2" fontId="38" fillId="0" borderId="34" xfId="1" applyNumberFormat="1" applyFont="1" applyBorder="1" applyAlignment="1">
      <alignment horizontal="center" vertical="center"/>
    </xf>
    <xf numFmtId="2" fontId="7" fillId="16" borderId="34" xfId="1" applyNumberFormat="1" applyFont="1" applyFill="1" applyBorder="1" applyAlignment="1">
      <alignment horizontal="center" vertical="center"/>
    </xf>
    <xf numFmtId="0" fontId="39" fillId="0" borderId="0" xfId="0" applyFont="1" applyAlignment="1">
      <alignment vertical="center"/>
    </xf>
    <xf numFmtId="0" fontId="37" fillId="2" borderId="0" xfId="0" applyFont="1" applyFill="1" applyBorder="1" applyAlignment="1">
      <alignment horizontal="center" vertical="center"/>
    </xf>
    <xf numFmtId="0" fontId="8" fillId="2" borderId="45" xfId="0" applyFont="1" applyFill="1" applyBorder="1" applyAlignment="1">
      <alignment horizontal="center" wrapText="1"/>
    </xf>
    <xf numFmtId="0" fontId="40" fillId="2" borderId="45" xfId="0" applyFont="1" applyFill="1" applyBorder="1" applyAlignment="1">
      <alignment horizontal="center" wrapText="1"/>
    </xf>
    <xf numFmtId="0" fontId="0" fillId="0" borderId="0" xfId="0" applyFont="1" applyFill="1"/>
    <xf numFmtId="0" fontId="0" fillId="20" borderId="0" xfId="0" applyFont="1" applyFill="1"/>
    <xf numFmtId="0" fontId="8" fillId="2" borderId="12" xfId="0" applyFont="1" applyFill="1" applyBorder="1" applyAlignment="1">
      <alignment horizontal="center"/>
    </xf>
    <xf numFmtId="169" fontId="8" fillId="2" borderId="14" xfId="0" applyNumberFormat="1" applyFont="1" applyFill="1" applyBorder="1" applyAlignment="1">
      <alignment horizontal="center" wrapText="1"/>
    </xf>
    <xf numFmtId="0" fontId="0" fillId="0" borderId="0" xfId="0" applyFont="1" applyFill="1" applyAlignment="1">
      <alignment horizontal="center"/>
    </xf>
    <xf numFmtId="3" fontId="0" fillId="11" borderId="15" xfId="0" applyNumberFormat="1" applyFont="1" applyFill="1" applyBorder="1" applyAlignment="1">
      <alignment horizontal="center"/>
    </xf>
    <xf numFmtId="3" fontId="0" fillId="0" borderId="2" xfId="0" applyNumberFormat="1" applyFont="1" applyBorder="1"/>
    <xf numFmtId="3" fontId="0" fillId="0" borderId="13" xfId="0" applyNumberFormat="1" applyFont="1" applyBorder="1"/>
    <xf numFmtId="169" fontId="0" fillId="0" borderId="13" xfId="0" applyNumberFormat="1" applyFont="1" applyBorder="1"/>
    <xf numFmtId="169" fontId="0" fillId="11" borderId="13" xfId="0" applyNumberFormat="1" applyFont="1" applyFill="1" applyBorder="1" applyAlignment="1">
      <alignment horizontal="center"/>
    </xf>
    <xf numFmtId="0" fontId="0" fillId="0" borderId="0" xfId="0" applyFont="1"/>
    <xf numFmtId="3" fontId="0" fillId="0" borderId="15" xfId="0" applyNumberFormat="1" applyFont="1" applyBorder="1"/>
    <xf numFmtId="3" fontId="0" fillId="0" borderId="7" xfId="0" applyNumberFormat="1" applyFont="1" applyBorder="1"/>
    <xf numFmtId="169" fontId="0" fillId="0" borderId="15" xfId="0" applyNumberFormat="1" applyFont="1" applyBorder="1"/>
    <xf numFmtId="169" fontId="0" fillId="11" borderId="15" xfId="0" applyNumberFormat="1" applyFont="1" applyFill="1" applyBorder="1" applyAlignment="1">
      <alignment horizontal="center"/>
    </xf>
    <xf numFmtId="0" fontId="0" fillId="0" borderId="0" xfId="0" applyFont="1" applyBorder="1"/>
    <xf numFmtId="169" fontId="0" fillId="0" borderId="0" xfId="0" applyNumberFormat="1" applyFont="1" applyBorder="1" applyAlignment="1">
      <alignment horizontal="center"/>
    </xf>
    <xf numFmtId="169" fontId="0" fillId="0" borderId="0" xfId="0" applyNumberFormat="1" applyFont="1" applyBorder="1"/>
    <xf numFmtId="169" fontId="0" fillId="0" borderId="0" xfId="0" applyNumberFormat="1" applyFont="1"/>
    <xf numFmtId="3" fontId="0" fillId="0" borderId="0" xfId="0" applyNumberFormat="1" applyFont="1"/>
    <xf numFmtId="169" fontId="0" fillId="0" borderId="0" xfId="0" applyNumberFormat="1" applyFont="1" applyAlignment="1">
      <alignment horizontal="center"/>
    </xf>
    <xf numFmtId="0" fontId="0" fillId="11" borderId="0" xfId="0" applyFont="1" applyFill="1"/>
    <xf numFmtId="1" fontId="0" fillId="0" borderId="0" xfId="0" applyNumberFormat="1" applyFont="1"/>
    <xf numFmtId="0" fontId="0" fillId="0" borderId="0" xfId="0" applyFont="1" applyAlignment="1">
      <alignment horizontal="center"/>
    </xf>
    <xf numFmtId="0" fontId="43" fillId="17" borderId="0" xfId="0" applyFont="1" applyFill="1" applyAlignment="1">
      <alignment horizontal="center" vertical="center" wrapText="1"/>
    </xf>
    <xf numFmtId="169" fontId="0" fillId="11" borderId="15" xfId="2" applyNumberFormat="1" applyFont="1" applyFill="1" applyBorder="1"/>
    <xf numFmtId="169" fontId="0" fillId="11" borderId="13" xfId="2" applyNumberFormat="1" applyFont="1" applyFill="1" applyBorder="1" applyAlignment="1">
      <alignment horizontal="right"/>
    </xf>
    <xf numFmtId="3" fontId="0" fillId="0" borderId="0" xfId="0" applyNumberFormat="1" applyFont="1" applyFill="1" applyBorder="1"/>
    <xf numFmtId="9" fontId="0" fillId="0" borderId="32" xfId="1" applyFont="1" applyBorder="1"/>
    <xf numFmtId="168" fontId="0" fillId="0" borderId="32" xfId="1" applyNumberFormat="1" applyFont="1" applyBorder="1"/>
    <xf numFmtId="168" fontId="0" fillId="0" borderId="48" xfId="1" applyNumberFormat="1" applyFont="1" applyBorder="1"/>
    <xf numFmtId="167" fontId="0" fillId="11" borderId="15" xfId="1" applyNumberFormat="1" applyFont="1" applyFill="1" applyBorder="1"/>
    <xf numFmtId="167" fontId="0" fillId="11" borderId="13" xfId="1" applyNumberFormat="1" applyFont="1" applyFill="1" applyBorder="1"/>
    <xf numFmtId="0" fontId="8" fillId="2" borderId="49" xfId="0" applyFont="1" applyFill="1" applyBorder="1"/>
    <xf numFmtId="0" fontId="8" fillId="2" borderId="31" xfId="0" applyFont="1" applyFill="1" applyBorder="1" applyAlignment="1">
      <alignment horizontal="center" wrapText="1"/>
    </xf>
    <xf numFmtId="169" fontId="8" fillId="2" borderId="56" xfId="0" applyNumberFormat="1" applyFont="1" applyFill="1" applyBorder="1" applyAlignment="1">
      <alignment horizontal="center" wrapText="1"/>
    </xf>
    <xf numFmtId="0" fontId="0" fillId="0" borderId="57" xfId="0" applyFont="1" applyBorder="1"/>
    <xf numFmtId="169" fontId="0" fillId="0" borderId="58" xfId="0" applyNumberFormat="1" applyFont="1" applyBorder="1"/>
    <xf numFmtId="3" fontId="0" fillId="0" borderId="59" xfId="0" applyNumberFormat="1" applyFont="1" applyBorder="1"/>
    <xf numFmtId="169" fontId="0" fillId="0" borderId="60" xfId="0" applyNumberFormat="1" applyFont="1" applyBorder="1"/>
    <xf numFmtId="3" fontId="0" fillId="0" borderId="61" xfId="0" applyNumberFormat="1" applyFont="1" applyBorder="1"/>
    <xf numFmtId="3" fontId="0" fillId="11" borderId="22" xfId="0" applyNumberFormat="1" applyFont="1" applyFill="1" applyBorder="1" applyAlignment="1">
      <alignment horizontal="center"/>
    </xf>
    <xf numFmtId="9" fontId="0" fillId="11" borderId="22" xfId="1" applyFont="1" applyFill="1" applyBorder="1" applyAlignment="1">
      <alignment horizontal="center"/>
    </xf>
    <xf numFmtId="3" fontId="0" fillId="0" borderId="21" xfId="0" applyNumberFormat="1" applyFont="1" applyBorder="1"/>
    <xf numFmtId="3" fontId="0" fillId="0" borderId="22" xfId="0" applyNumberFormat="1" applyFont="1" applyBorder="1"/>
    <xf numFmtId="169" fontId="0" fillId="11" borderId="22" xfId="2" applyNumberFormat="1" applyFont="1" applyFill="1" applyBorder="1"/>
    <xf numFmtId="9" fontId="0" fillId="11" borderId="24" xfId="1" applyFont="1" applyFill="1" applyBorder="1"/>
    <xf numFmtId="169" fontId="0" fillId="0" borderId="22" xfId="0" applyNumberFormat="1" applyFont="1" applyBorder="1"/>
    <xf numFmtId="9" fontId="0" fillId="0" borderId="22" xfId="1" applyFont="1" applyBorder="1"/>
    <xf numFmtId="169" fontId="0" fillId="11" borderId="22" xfId="0" applyNumberFormat="1" applyFont="1" applyFill="1" applyBorder="1" applyAlignment="1">
      <alignment horizontal="center"/>
    </xf>
    <xf numFmtId="167" fontId="0" fillId="11" borderId="22" xfId="1" applyNumberFormat="1" applyFont="1" applyFill="1" applyBorder="1"/>
    <xf numFmtId="9" fontId="0" fillId="11" borderId="22" xfId="1" applyFont="1" applyFill="1" applyBorder="1"/>
    <xf numFmtId="169" fontId="0" fillId="0" borderId="62" xfId="0" applyNumberFormat="1" applyFont="1" applyBorder="1"/>
    <xf numFmtId="0" fontId="41" fillId="0" borderId="0" xfId="0" applyFont="1" applyBorder="1" applyAlignment="1">
      <alignment horizontal="center" vertical="center" wrapText="1"/>
    </xf>
    <xf numFmtId="0" fontId="12" fillId="0" borderId="0" xfId="0" applyFont="1" applyBorder="1"/>
    <xf numFmtId="0" fontId="41" fillId="17" borderId="0" xfId="0" applyFont="1" applyFill="1" applyBorder="1" applyAlignment="1">
      <alignment horizontal="center" vertical="center" wrapText="1"/>
    </xf>
    <xf numFmtId="0" fontId="42" fillId="17" borderId="0" xfId="0" applyFont="1" applyFill="1" applyBorder="1" applyAlignment="1">
      <alignment horizontal="center" vertical="center" wrapText="1"/>
    </xf>
    <xf numFmtId="0" fontId="1" fillId="0" borderId="12" xfId="0" applyFont="1" applyBorder="1" applyAlignment="1">
      <alignment horizontal="center"/>
    </xf>
    <xf numFmtId="0" fontId="46" fillId="17" borderId="12" xfId="0" applyFont="1" applyFill="1" applyBorder="1" applyAlignment="1">
      <alignment horizontal="center" vertical="center" wrapText="1"/>
    </xf>
    <xf numFmtId="9" fontId="1" fillId="0" borderId="12" xfId="1" applyFont="1" applyBorder="1"/>
    <xf numFmtId="0" fontId="8" fillId="2" borderId="55" xfId="0" applyFont="1" applyFill="1" applyBorder="1" applyAlignment="1">
      <alignment horizontal="center" wrapText="1"/>
    </xf>
    <xf numFmtId="10" fontId="7" fillId="0" borderId="0" xfId="0" applyNumberFormat="1" applyFont="1" applyBorder="1" applyAlignment="1">
      <alignment horizontal="center" vertical="center"/>
    </xf>
    <xf numFmtId="10" fontId="38" fillId="0" borderId="0" xfId="0" applyNumberFormat="1" applyFont="1" applyBorder="1" applyAlignment="1">
      <alignment horizontal="center" vertical="center"/>
    </xf>
    <xf numFmtId="10" fontId="7" fillId="0" borderId="39" xfId="0" applyNumberFormat="1" applyFont="1" applyBorder="1" applyAlignment="1">
      <alignment horizontal="center" vertical="center"/>
    </xf>
    <xf numFmtId="167" fontId="38" fillId="0" borderId="0" xfId="0" applyNumberFormat="1" applyFont="1" applyBorder="1" applyAlignment="1">
      <alignment horizontal="center" vertical="center"/>
    </xf>
    <xf numFmtId="10" fontId="7" fillId="16" borderId="0" xfId="0" applyNumberFormat="1" applyFont="1" applyFill="1" applyBorder="1" applyAlignment="1">
      <alignment horizontal="center" vertical="center"/>
    </xf>
    <xf numFmtId="0" fontId="6" fillId="7" borderId="42" xfId="0" applyFont="1" applyFill="1" applyBorder="1" applyAlignment="1">
      <alignment vertical="center"/>
    </xf>
    <xf numFmtId="0" fontId="6" fillId="7" borderId="64" xfId="0" applyFont="1" applyFill="1" applyBorder="1" applyAlignment="1">
      <alignment vertical="center"/>
    </xf>
    <xf numFmtId="169" fontId="6" fillId="2" borderId="70" xfId="0" applyNumberFormat="1" applyFont="1" applyFill="1" applyBorder="1" applyAlignment="1">
      <alignment horizontal="center" wrapText="1"/>
    </xf>
    <xf numFmtId="0" fontId="6" fillId="7" borderId="71" xfId="0" applyFont="1" applyFill="1" applyBorder="1" applyAlignment="1">
      <alignment vertical="center"/>
    </xf>
    <xf numFmtId="0" fontId="6" fillId="0" borderId="73" xfId="0" applyFont="1" applyFill="1" applyBorder="1" applyAlignment="1">
      <alignment horizontal="right" vertical="center"/>
    </xf>
    <xf numFmtId="0" fontId="6" fillId="0" borderId="75" xfId="0" applyFont="1" applyFill="1" applyBorder="1" applyAlignment="1">
      <alignment horizontal="right" vertical="center"/>
    </xf>
    <xf numFmtId="0" fontId="7" fillId="0" borderId="76" xfId="0" applyFont="1" applyFill="1" applyBorder="1" applyAlignment="1">
      <alignment horizontal="left" vertical="center"/>
    </xf>
    <xf numFmtId="0" fontId="7" fillId="0" borderId="76" xfId="0" applyFont="1" applyFill="1" applyBorder="1" applyAlignment="1">
      <alignment horizontal="center" vertical="center"/>
    </xf>
    <xf numFmtId="4" fontId="7" fillId="0" borderId="76" xfId="0" applyNumberFormat="1" applyFont="1" applyFill="1" applyBorder="1" applyAlignment="1">
      <alignment horizontal="right" vertical="center"/>
    </xf>
    <xf numFmtId="169" fontId="7" fillId="0" borderId="77" xfId="0" applyNumberFormat="1" applyFont="1" applyFill="1" applyBorder="1" applyAlignment="1">
      <alignment horizontal="right" vertical="center"/>
    </xf>
    <xf numFmtId="167" fontId="7" fillId="0" borderId="76" xfId="1" applyNumberFormat="1" applyFont="1" applyFill="1" applyBorder="1" applyAlignment="1">
      <alignment horizontal="right" vertical="center"/>
    </xf>
    <xf numFmtId="169" fontId="37" fillId="2" borderId="70" xfId="0" applyNumberFormat="1" applyFont="1" applyFill="1" applyBorder="1" applyAlignment="1">
      <alignment horizontal="center" wrapText="1"/>
    </xf>
    <xf numFmtId="0" fontId="6" fillId="2" borderId="80" xfId="0" applyFont="1" applyFill="1" applyBorder="1" applyAlignment="1">
      <alignment horizontal="center" vertical="center"/>
    </xf>
    <xf numFmtId="169" fontId="38" fillId="0" borderId="84" xfId="0" applyNumberFormat="1" applyFont="1" applyBorder="1" applyAlignment="1">
      <alignment horizontal="right" vertical="center"/>
    </xf>
    <xf numFmtId="0" fontId="7" fillId="0" borderId="82" xfId="0" applyFont="1" applyFill="1" applyBorder="1" applyAlignment="1">
      <alignment horizontal="left" vertical="center"/>
    </xf>
    <xf numFmtId="0" fontId="0" fillId="0" borderId="82" xfId="0" applyFont="1" applyBorder="1" applyAlignment="1">
      <alignment horizontal="left" vertical="center"/>
    </xf>
    <xf numFmtId="169" fontId="0" fillId="0" borderId="84" xfId="0" applyNumberFormat="1" applyFont="1" applyFill="1" applyBorder="1" applyAlignment="1">
      <alignment horizontal="right" vertical="center"/>
    </xf>
    <xf numFmtId="3" fontId="8" fillId="2" borderId="0" xfId="0" applyNumberFormat="1" applyFont="1" applyFill="1" applyBorder="1" applyAlignment="1">
      <alignment horizontal="center" vertical="center" wrapText="1"/>
    </xf>
    <xf numFmtId="170" fontId="8" fillId="2" borderId="0" xfId="0" applyNumberFormat="1" applyFont="1" applyFill="1" applyBorder="1" applyAlignment="1">
      <alignment horizontal="center" vertical="center" wrapText="1"/>
    </xf>
    <xf numFmtId="169" fontId="10" fillId="2" borderId="81" xfId="0" applyNumberFormat="1" applyFont="1" applyFill="1" applyBorder="1" applyAlignment="1">
      <alignment horizontal="center" vertical="center" wrapText="1"/>
    </xf>
    <xf numFmtId="0" fontId="6" fillId="2" borderId="87" xfId="0" applyFont="1" applyFill="1" applyBorder="1" applyAlignment="1">
      <alignment horizontal="center" wrapText="1"/>
    </xf>
    <xf numFmtId="0" fontId="37" fillId="2" borderId="87" xfId="0" applyFont="1" applyFill="1" applyBorder="1" applyAlignment="1">
      <alignment horizontal="center" wrapText="1"/>
    </xf>
    <xf numFmtId="167" fontId="20" fillId="2" borderId="70" xfId="1" applyNumberFormat="1" applyFont="1" applyFill="1" applyBorder="1" applyAlignment="1">
      <alignment horizontal="center" wrapText="1"/>
    </xf>
    <xf numFmtId="2" fontId="7" fillId="0" borderId="74" xfId="1" applyNumberFormat="1" applyFont="1" applyFill="1" applyBorder="1" applyAlignment="1">
      <alignment horizontal="right" vertical="center"/>
    </xf>
    <xf numFmtId="0" fontId="0" fillId="7" borderId="88" xfId="0" applyFont="1" applyFill="1" applyBorder="1" applyAlignment="1">
      <alignment vertical="center"/>
    </xf>
    <xf numFmtId="0" fontId="0" fillId="7" borderId="71" xfId="0" applyFont="1" applyFill="1" applyBorder="1" applyAlignment="1">
      <alignment vertical="center"/>
    </xf>
    <xf numFmtId="0" fontId="0" fillId="7" borderId="42" xfId="0" applyFont="1" applyFill="1" applyBorder="1" applyAlignment="1">
      <alignment vertical="center"/>
    </xf>
    <xf numFmtId="0" fontId="0" fillId="7" borderId="72" xfId="0" applyFont="1" applyFill="1" applyBorder="1" applyAlignment="1">
      <alignment vertical="center"/>
    </xf>
    <xf numFmtId="0" fontId="0" fillId="0" borderId="0" xfId="0" applyFont="1" applyFill="1" applyAlignment="1">
      <alignment vertical="center"/>
    </xf>
    <xf numFmtId="168" fontId="7" fillId="0" borderId="88" xfId="2" applyNumberFormat="1" applyFont="1" applyFill="1" applyBorder="1" applyAlignment="1">
      <alignment horizontal="right" vertical="center"/>
    </xf>
    <xf numFmtId="165" fontId="0" fillId="0" borderId="73" xfId="0" applyNumberFormat="1" applyFont="1" applyFill="1" applyBorder="1" applyAlignment="1">
      <alignment horizontal="right" vertical="center"/>
    </xf>
    <xf numFmtId="2" fontId="0" fillId="0" borderId="43" xfId="0" applyNumberFormat="1" applyFont="1" applyFill="1" applyBorder="1" applyAlignment="1">
      <alignment horizontal="right" vertical="center"/>
    </xf>
    <xf numFmtId="4" fontId="0" fillId="0" borderId="73" xfId="0" applyNumberFormat="1" applyFont="1" applyFill="1" applyBorder="1" applyAlignment="1">
      <alignment horizontal="right" vertical="center"/>
    </xf>
    <xf numFmtId="4" fontId="0" fillId="0" borderId="43" xfId="0" applyNumberFormat="1" applyFont="1" applyFill="1" applyBorder="1" applyAlignment="1">
      <alignment horizontal="right" vertical="center"/>
    </xf>
    <xf numFmtId="168" fontId="0" fillId="0" borderId="43" xfId="0" applyNumberFormat="1" applyFont="1" applyFill="1" applyBorder="1" applyAlignment="1">
      <alignment horizontal="right" vertical="center"/>
    </xf>
    <xf numFmtId="169" fontId="0" fillId="0" borderId="74" xfId="0" applyNumberFormat="1" applyFont="1" applyFill="1" applyBorder="1" applyAlignment="1">
      <alignment horizontal="right" vertical="center"/>
    </xf>
    <xf numFmtId="169" fontId="0" fillId="0" borderId="43" xfId="0" applyNumberFormat="1" applyFont="1" applyFill="1" applyBorder="1" applyAlignment="1">
      <alignment horizontal="right" vertical="center"/>
    </xf>
    <xf numFmtId="4" fontId="0" fillId="0" borderId="0" xfId="0" applyNumberFormat="1" applyFont="1" applyFill="1" applyAlignment="1">
      <alignment vertical="center"/>
    </xf>
    <xf numFmtId="168" fontId="0" fillId="0" borderId="43" xfId="0" applyNumberFormat="1" applyFont="1" applyBorder="1" applyAlignment="1">
      <alignment horizontal="right" vertical="center"/>
    </xf>
    <xf numFmtId="0" fontId="0" fillId="0" borderId="43" xfId="0" applyFont="1" applyFill="1" applyBorder="1" applyAlignment="1">
      <alignment horizontal="right" vertical="center"/>
    </xf>
    <xf numFmtId="169" fontId="0" fillId="0" borderId="43" xfId="0" applyNumberFormat="1" applyFont="1" applyBorder="1" applyAlignment="1">
      <alignment horizontal="right" vertical="center"/>
    </xf>
    <xf numFmtId="169" fontId="0" fillId="0" borderId="74" xfId="0" applyNumberFormat="1" applyFont="1" applyBorder="1" applyAlignment="1">
      <alignment horizontal="right" vertical="center"/>
    </xf>
    <xf numFmtId="168" fontId="7" fillId="0" borderId="89" xfId="2" applyNumberFormat="1" applyFont="1" applyFill="1" applyBorder="1" applyAlignment="1">
      <alignment horizontal="right" vertical="center"/>
    </xf>
    <xf numFmtId="165" fontId="0" fillId="0" borderId="75" xfId="0" applyNumberFormat="1" applyFont="1" applyFill="1" applyBorder="1" applyAlignment="1">
      <alignment horizontal="right" vertical="center"/>
    </xf>
    <xf numFmtId="0" fontId="0" fillId="0" borderId="76" xfId="0" applyFont="1" applyFill="1" applyBorder="1" applyAlignment="1">
      <alignment horizontal="right" vertical="center"/>
    </xf>
    <xf numFmtId="2" fontId="0" fillId="0" borderId="76" xfId="0" applyNumberFormat="1" applyFont="1" applyFill="1" applyBorder="1" applyAlignment="1">
      <alignment horizontal="right" vertical="center"/>
    </xf>
    <xf numFmtId="2" fontId="7" fillId="0" borderId="78" xfId="1" applyNumberFormat="1" applyFont="1" applyFill="1" applyBorder="1" applyAlignment="1">
      <alignment horizontal="right" vertical="center"/>
    </xf>
    <xf numFmtId="4" fontId="0" fillId="0" borderId="75" xfId="0" applyNumberFormat="1" applyFont="1" applyFill="1" applyBorder="1" applyAlignment="1">
      <alignment horizontal="right" vertical="center"/>
    </xf>
    <xf numFmtId="4" fontId="0" fillId="0" borderId="76" xfId="0" applyNumberFormat="1" applyFont="1" applyFill="1" applyBorder="1" applyAlignment="1">
      <alignment horizontal="right" vertical="center"/>
    </xf>
    <xf numFmtId="168" fontId="0" fillId="0" borderId="76" xfId="0" applyNumberFormat="1" applyFont="1" applyFill="1" applyBorder="1" applyAlignment="1">
      <alignment horizontal="right" vertical="center"/>
    </xf>
    <xf numFmtId="169" fontId="0" fillId="0" borderId="78" xfId="0" applyNumberFormat="1" applyFont="1" applyFill="1" applyBorder="1" applyAlignment="1">
      <alignment horizontal="right" vertical="center"/>
    </xf>
    <xf numFmtId="169" fontId="0" fillId="0" borderId="76" xfId="0" applyNumberFormat="1" applyFont="1" applyFill="1" applyBorder="1" applyAlignment="1">
      <alignment horizontal="right" vertical="center"/>
    </xf>
    <xf numFmtId="0" fontId="0" fillId="0" borderId="0" xfId="0" applyFont="1" applyFill="1" applyBorder="1" applyAlignment="1">
      <alignment vertical="center"/>
    </xf>
    <xf numFmtId="0" fontId="0" fillId="0" borderId="0" xfId="0" applyFont="1" applyFill="1" applyBorder="1" applyAlignment="1">
      <alignment horizontal="center" vertical="center"/>
    </xf>
    <xf numFmtId="169" fontId="0" fillId="0" borderId="0" xfId="0" applyNumberFormat="1" applyFont="1" applyFill="1" applyAlignment="1">
      <alignment vertical="center"/>
    </xf>
    <xf numFmtId="168" fontId="0" fillId="0" borderId="0" xfId="0" applyNumberFormat="1" applyFont="1" applyFill="1" applyAlignment="1">
      <alignment vertical="center"/>
    </xf>
    <xf numFmtId="0" fontId="0" fillId="0" borderId="17" xfId="0" applyFont="1" applyFill="1" applyBorder="1" applyAlignment="1">
      <alignment vertical="center"/>
    </xf>
    <xf numFmtId="4" fontId="0" fillId="0" borderId="0" xfId="0" applyNumberFormat="1" applyFont="1" applyFill="1" applyBorder="1" applyAlignment="1">
      <alignment vertical="center"/>
    </xf>
    <xf numFmtId="168" fontId="38" fillId="0" borderId="88" xfId="2" applyNumberFormat="1" applyFont="1" applyFill="1" applyBorder="1" applyAlignment="1">
      <alignment horizontal="right" vertical="center"/>
    </xf>
    <xf numFmtId="169" fontId="38" fillId="0" borderId="74" xfId="0" applyNumberFormat="1" applyFont="1" applyFill="1" applyBorder="1" applyAlignment="1">
      <alignment horizontal="right" vertical="center"/>
    </xf>
    <xf numFmtId="169" fontId="38" fillId="0" borderId="74" xfId="0" applyNumberFormat="1" applyFont="1" applyBorder="1" applyAlignment="1">
      <alignment horizontal="right" vertical="center"/>
    </xf>
    <xf numFmtId="168" fontId="38" fillId="0" borderId="89" xfId="2" applyNumberFormat="1" applyFont="1" applyFill="1" applyBorder="1" applyAlignment="1">
      <alignment horizontal="right" vertical="center"/>
    </xf>
    <xf numFmtId="169" fontId="38" fillId="0" borderId="78" xfId="0" applyNumberFormat="1" applyFont="1" applyFill="1" applyBorder="1" applyAlignment="1">
      <alignment horizontal="right" vertical="center"/>
    </xf>
    <xf numFmtId="166" fontId="38" fillId="0" borderId="0" xfId="2" applyNumberFormat="1" applyFont="1" applyFill="1" applyBorder="1" applyAlignment="1">
      <alignment vertical="center"/>
    </xf>
    <xf numFmtId="169" fontId="38" fillId="0" borderId="0" xfId="0" applyNumberFormat="1" applyFont="1" applyFill="1" applyAlignment="1">
      <alignment vertical="center"/>
    </xf>
    <xf numFmtId="0" fontId="38" fillId="0" borderId="0" xfId="0" applyFont="1" applyFill="1" applyAlignment="1">
      <alignment vertical="center"/>
    </xf>
    <xf numFmtId="0" fontId="38" fillId="0" borderId="17" xfId="0" applyFont="1" applyFill="1" applyBorder="1" applyAlignment="1">
      <alignment vertical="center"/>
    </xf>
    <xf numFmtId="0" fontId="38" fillId="0" borderId="0" xfId="0" applyFont="1" applyFill="1" applyBorder="1" applyAlignment="1">
      <alignment vertical="center"/>
    </xf>
    <xf numFmtId="0" fontId="49" fillId="0" borderId="0" xfId="0" applyFont="1" applyFill="1" applyAlignment="1">
      <alignment vertical="center"/>
    </xf>
    <xf numFmtId="0" fontId="50" fillId="23" borderId="90" xfId="0" applyFont="1" applyFill="1" applyBorder="1" applyAlignment="1">
      <alignment horizontal="center" wrapText="1"/>
    </xf>
    <xf numFmtId="0" fontId="9" fillId="0" borderId="80" xfId="0" applyFont="1" applyBorder="1"/>
    <xf numFmtId="0" fontId="12" fillId="0" borderId="0" xfId="0" applyFont="1" applyBorder="1" applyAlignment="1">
      <alignment horizontal="left"/>
    </xf>
    <xf numFmtId="0" fontId="12" fillId="0" borderId="0" xfId="0" applyFont="1" applyBorder="1" applyAlignment="1">
      <alignment horizontal="center"/>
    </xf>
    <xf numFmtId="4" fontId="9" fillId="0" borderId="0" xfId="0" applyNumberFormat="1" applyFont="1" applyBorder="1" applyAlignment="1">
      <alignment horizontal="center"/>
    </xf>
    <xf numFmtId="4" fontId="12" fillId="13" borderId="0" xfId="0" applyNumberFormat="1" applyFont="1" applyFill="1" applyBorder="1" applyAlignment="1">
      <alignment horizontal="center"/>
    </xf>
    <xf numFmtId="4" fontId="12" fillId="0" borderId="0" xfId="0" applyNumberFormat="1" applyFont="1" applyBorder="1" applyAlignment="1">
      <alignment horizontal="center"/>
    </xf>
    <xf numFmtId="0" fontId="18" fillId="0" borderId="0" xfId="0" applyFont="1" applyBorder="1" applyAlignment="1">
      <alignment horizontal="right"/>
    </xf>
    <xf numFmtId="9" fontId="18" fillId="0" borderId="0" xfId="0" applyNumberFormat="1" applyFont="1" applyBorder="1"/>
    <xf numFmtId="166" fontId="21" fillId="0" borderId="0" xfId="2" applyNumberFormat="1" applyFont="1" applyBorder="1"/>
    <xf numFmtId="9" fontId="18" fillId="0" borderId="81" xfId="1" applyFont="1" applyBorder="1"/>
    <xf numFmtId="0" fontId="18" fillId="0" borderId="0" xfId="0" applyFont="1" applyBorder="1"/>
    <xf numFmtId="0" fontId="12" fillId="0" borderId="0" xfId="0" applyFont="1" applyBorder="1" applyAlignment="1">
      <alignment horizontal="left" indent="2"/>
    </xf>
    <xf numFmtId="4" fontId="12" fillId="11" borderId="0" xfId="0" applyNumberFormat="1" applyFont="1" applyFill="1" applyBorder="1" applyAlignment="1">
      <alignment horizontal="center"/>
    </xf>
    <xf numFmtId="0" fontId="9" fillId="0" borderId="80" xfId="0" applyFont="1" applyFill="1" applyBorder="1"/>
    <xf numFmtId="0" fontId="12" fillId="0" borderId="0" xfId="0" applyFont="1" applyFill="1" applyBorder="1" applyAlignment="1">
      <alignment horizontal="left"/>
    </xf>
    <xf numFmtId="0" fontId="12" fillId="0" borderId="0" xfId="0" applyFont="1" applyFill="1" applyBorder="1"/>
    <xf numFmtId="0" fontId="12" fillId="0" borderId="0" xfId="0" applyFont="1" applyFill="1" applyBorder="1" applyAlignment="1">
      <alignment horizontal="center"/>
    </xf>
    <xf numFmtId="4" fontId="9" fillId="0" borderId="0" xfId="0" applyNumberFormat="1" applyFont="1" applyFill="1" applyBorder="1" applyAlignment="1">
      <alignment horizontal="center"/>
    </xf>
    <xf numFmtId="4" fontId="12" fillId="0" borderId="0" xfId="0" applyNumberFormat="1" applyFont="1" applyFill="1" applyBorder="1" applyAlignment="1">
      <alignment horizontal="center"/>
    </xf>
    <xf numFmtId="0" fontId="18" fillId="0" borderId="0" xfId="0" applyFont="1" applyFill="1" applyBorder="1" applyAlignment="1">
      <alignment horizontal="right"/>
    </xf>
    <xf numFmtId="9" fontId="18" fillId="0" borderId="0" xfId="0" applyNumberFormat="1" applyFont="1" applyFill="1" applyBorder="1"/>
    <xf numFmtId="4" fontId="16" fillId="0" borderId="0" xfId="0" applyNumberFormat="1" applyFont="1" applyBorder="1" applyAlignment="1">
      <alignment horizontal="center" vertical="center"/>
    </xf>
    <xf numFmtId="0" fontId="9" fillId="0" borderId="82" xfId="0" applyFont="1" applyBorder="1"/>
    <xf numFmtId="0" fontId="12" fillId="0" borderId="83" xfId="0" applyFont="1" applyBorder="1" applyAlignment="1">
      <alignment horizontal="left"/>
    </xf>
    <xf numFmtId="0" fontId="12" fillId="0" borderId="83" xfId="0" applyFont="1" applyBorder="1"/>
    <xf numFmtId="0" fontId="12" fillId="0" borderId="83" xfId="0" applyFont="1" applyBorder="1" applyAlignment="1">
      <alignment horizontal="center"/>
    </xf>
    <xf numFmtId="4" fontId="9" fillId="0" borderId="83" xfId="0" applyNumberFormat="1" applyFont="1" applyBorder="1" applyAlignment="1">
      <alignment horizontal="center"/>
    </xf>
    <xf numFmtId="4" fontId="12" fillId="0" borderId="83" xfId="0" applyNumberFormat="1" applyFont="1" applyBorder="1" applyAlignment="1">
      <alignment horizontal="center"/>
    </xf>
    <xf numFmtId="0" fontId="18" fillId="0" borderId="83" xfId="0" applyFont="1" applyBorder="1"/>
    <xf numFmtId="9" fontId="18" fillId="0" borderId="83" xfId="0" applyNumberFormat="1" applyFont="1" applyBorder="1"/>
    <xf numFmtId="166" fontId="21" fillId="0" borderId="83" xfId="2" applyNumberFormat="1" applyFont="1" applyBorder="1"/>
    <xf numFmtId="9" fontId="18" fillId="0" borderId="84" xfId="1" applyFont="1" applyBorder="1"/>
    <xf numFmtId="0" fontId="1" fillId="8" borderId="0" xfId="0" applyFont="1" applyFill="1"/>
    <xf numFmtId="0" fontId="1" fillId="11" borderId="0" xfId="0" applyFont="1" applyFill="1"/>
    <xf numFmtId="0" fontId="32" fillId="0" borderId="0" xfId="0" applyFont="1"/>
    <xf numFmtId="0" fontId="8" fillId="0" borderId="0" xfId="0" applyFont="1" applyAlignment="1">
      <alignment wrapText="1"/>
    </xf>
    <xf numFmtId="43" fontId="8" fillId="0" borderId="0" xfId="4" applyFont="1" applyAlignment="1">
      <alignment wrapText="1"/>
    </xf>
    <xf numFmtId="43" fontId="0" fillId="0" borderId="0" xfId="0" applyNumberFormat="1" applyFont="1"/>
    <xf numFmtId="0" fontId="46" fillId="0" borderId="0" xfId="5" applyFont="1"/>
    <xf numFmtId="0" fontId="46" fillId="8" borderId="0" xfId="5" applyFont="1" applyFill="1"/>
    <xf numFmtId="0" fontId="46" fillId="7" borderId="0" xfId="5" applyFont="1" applyFill="1"/>
    <xf numFmtId="165" fontId="46" fillId="0" borderId="0" xfId="5" applyNumberFormat="1" applyFont="1"/>
    <xf numFmtId="9" fontId="7" fillId="0" borderId="0" xfId="6" applyFont="1"/>
    <xf numFmtId="0" fontId="51" fillId="0" borderId="0" xfId="5" applyFont="1"/>
    <xf numFmtId="0" fontId="8" fillId="23" borderId="2" xfId="0" applyFont="1" applyFill="1" applyBorder="1" applyAlignment="1">
      <alignment vertical="center"/>
    </xf>
    <xf numFmtId="0" fontId="8" fillId="23" borderId="21" xfId="0" applyFont="1" applyFill="1" applyBorder="1" applyAlignment="1"/>
    <xf numFmtId="169" fontId="8" fillId="23" borderId="25" xfId="0" applyNumberFormat="1" applyFont="1" applyFill="1" applyBorder="1" applyAlignment="1">
      <alignment horizontal="center" wrapText="1"/>
    </xf>
    <xf numFmtId="169" fontId="8" fillId="23" borderId="26" xfId="0" applyNumberFormat="1" applyFont="1" applyFill="1" applyBorder="1" applyAlignment="1">
      <alignment horizontal="center" wrapText="1"/>
    </xf>
    <xf numFmtId="9" fontId="8" fillId="23" borderId="26" xfId="1" applyFont="1" applyFill="1" applyBorder="1" applyAlignment="1">
      <alignment horizontal="center" wrapText="1"/>
    </xf>
    <xf numFmtId="169" fontId="8" fillId="23" borderId="24" xfId="0" applyNumberFormat="1" applyFont="1" applyFill="1" applyBorder="1" applyAlignment="1">
      <alignment horizontal="center" wrapText="1"/>
    </xf>
    <xf numFmtId="9" fontId="8" fillId="23" borderId="24" xfId="1" applyFont="1" applyFill="1" applyBorder="1" applyAlignment="1">
      <alignment horizontal="center" wrapText="1"/>
    </xf>
    <xf numFmtId="0" fontId="52" fillId="0" borderId="0" xfId="0" applyFont="1"/>
    <xf numFmtId="3" fontId="1" fillId="11" borderId="0" xfId="0" applyNumberFormat="1" applyFont="1" applyFill="1" applyBorder="1"/>
    <xf numFmtId="171" fontId="1" fillId="11" borderId="0" xfId="0" applyNumberFormat="1" applyFont="1" applyFill="1" applyBorder="1"/>
    <xf numFmtId="168" fontId="6" fillId="0" borderId="88" xfId="2" applyNumberFormat="1" applyFont="1" applyFill="1" applyBorder="1" applyAlignment="1">
      <alignment horizontal="right" vertical="center"/>
    </xf>
    <xf numFmtId="168" fontId="37" fillId="0" borderId="88" xfId="2" applyNumberFormat="1" applyFont="1" applyFill="1" applyBorder="1" applyAlignment="1">
      <alignment horizontal="right" vertical="center"/>
    </xf>
    <xf numFmtId="169" fontId="0" fillId="16" borderId="0" xfId="0" applyNumberFormat="1" applyFont="1" applyFill="1"/>
    <xf numFmtId="0" fontId="0" fillId="7" borderId="0" xfId="0" applyFont="1" applyFill="1"/>
    <xf numFmtId="9" fontId="0" fillId="7" borderId="0" xfId="0" applyNumberFormat="1" applyFont="1" applyFill="1"/>
    <xf numFmtId="9" fontId="0" fillId="0" borderId="0" xfId="0" applyNumberFormat="1" applyFont="1"/>
    <xf numFmtId="0" fontId="0" fillId="14" borderId="0" xfId="0" applyFont="1" applyFill="1"/>
    <xf numFmtId="0" fontId="6" fillId="0" borderId="0" xfId="0" applyFont="1"/>
    <xf numFmtId="0" fontId="6" fillId="14" borderId="0" xfId="0" applyFont="1" applyFill="1"/>
    <xf numFmtId="169" fontId="6" fillId="14" borderId="0" xfId="0" applyNumberFormat="1" applyFont="1" applyFill="1"/>
    <xf numFmtId="169" fontId="6" fillId="0" borderId="0" xfId="0" applyNumberFormat="1" applyFont="1"/>
    <xf numFmtId="169" fontId="0" fillId="24" borderId="0" xfId="0" applyNumberFormat="1" applyFont="1" applyFill="1"/>
    <xf numFmtId="0" fontId="12" fillId="23" borderId="91" xfId="0" applyFont="1" applyFill="1" applyBorder="1" applyAlignment="1">
      <alignment horizontal="center" wrapText="1"/>
    </xf>
    <xf numFmtId="4" fontId="12" fillId="23" borderId="91" xfId="0" applyNumberFormat="1" applyFont="1" applyFill="1" applyBorder="1" applyAlignment="1">
      <alignment horizontal="center" wrapText="1"/>
    </xf>
    <xf numFmtId="4" fontId="54" fillId="23" borderId="91" xfId="0" applyNumberFormat="1" applyFont="1" applyFill="1" applyBorder="1" applyAlignment="1">
      <alignment horizontal="center" wrapText="1"/>
    </xf>
    <xf numFmtId="4" fontId="56" fillId="23" borderId="91" xfId="0" applyNumberFormat="1" applyFont="1" applyFill="1" applyBorder="1" applyAlignment="1">
      <alignment horizontal="center" wrapText="1"/>
    </xf>
    <xf numFmtId="9" fontId="57" fillId="23" borderId="92" xfId="1" applyFont="1" applyFill="1" applyBorder="1" applyAlignment="1">
      <alignment horizontal="center" wrapText="1"/>
    </xf>
    <xf numFmtId="3" fontId="1" fillId="0" borderId="0" xfId="0" applyNumberFormat="1" applyFont="1" applyFill="1" applyBorder="1" applyAlignment="1">
      <alignment horizontal="center"/>
    </xf>
    <xf numFmtId="172" fontId="38" fillId="0" borderId="84" xfId="0" applyNumberFormat="1" applyFont="1" applyBorder="1" applyAlignment="1">
      <alignment horizontal="right" vertical="center"/>
    </xf>
    <xf numFmtId="0" fontId="7" fillId="2" borderId="9" xfId="0" applyFont="1" applyFill="1" applyBorder="1" applyAlignment="1">
      <alignment horizontal="center" vertical="center"/>
    </xf>
    <xf numFmtId="0" fontId="7" fillId="2" borderId="10" xfId="0" applyFont="1" applyFill="1" applyBorder="1" applyAlignment="1">
      <alignment horizontal="center" vertical="center"/>
    </xf>
    <xf numFmtId="0" fontId="7" fillId="0" borderId="10" xfId="0" applyFont="1" applyBorder="1" applyAlignment="1">
      <alignment vertical="center"/>
    </xf>
    <xf numFmtId="168" fontId="7" fillId="0" borderId="12" xfId="0" applyNumberFormat="1" applyFont="1" applyBorder="1" applyAlignment="1">
      <alignment vertical="center"/>
    </xf>
    <xf numFmtId="0" fontId="7" fillId="0" borderId="3" xfId="0" applyFont="1" applyBorder="1" applyAlignment="1">
      <alignment vertical="center"/>
    </xf>
    <xf numFmtId="0" fontId="6" fillId="2" borderId="1" xfId="0" applyFont="1" applyFill="1" applyBorder="1" applyAlignment="1">
      <alignment wrapText="1"/>
    </xf>
    <xf numFmtId="169" fontId="6" fillId="2" borderId="14" xfId="0" applyNumberFormat="1" applyFont="1" applyFill="1" applyBorder="1" applyAlignment="1">
      <alignment horizontal="center" wrapText="1"/>
    </xf>
    <xf numFmtId="0" fontId="6" fillId="2" borderId="1" xfId="0" applyFont="1" applyFill="1" applyBorder="1" applyAlignment="1">
      <alignment horizontal="center" wrapText="1"/>
    </xf>
    <xf numFmtId="167" fontId="6" fillId="2" borderId="1" xfId="1" applyNumberFormat="1" applyFont="1" applyFill="1" applyBorder="1" applyAlignment="1">
      <alignment horizontal="center" wrapText="1"/>
    </xf>
    <xf numFmtId="167" fontId="8" fillId="2" borderId="1" xfId="1" applyNumberFormat="1" applyFont="1" applyFill="1" applyBorder="1" applyAlignment="1">
      <alignment horizontal="center" wrapText="1"/>
    </xf>
    <xf numFmtId="167" fontId="6" fillId="2" borderId="5" xfId="1" applyNumberFormat="1" applyFont="1" applyFill="1" applyBorder="1" applyAlignment="1">
      <alignment horizontal="center" wrapText="1"/>
    </xf>
    <xf numFmtId="169" fontId="6" fillId="2" borderId="1" xfId="0" applyNumberFormat="1" applyFont="1" applyFill="1" applyBorder="1" applyAlignment="1">
      <alignment horizontal="center" wrapText="1"/>
    </xf>
    <xf numFmtId="169" fontId="6" fillId="2" borderId="6" xfId="0" applyNumberFormat="1" applyFont="1" applyFill="1" applyBorder="1" applyAlignment="1">
      <alignment horizontal="center" wrapText="1"/>
    </xf>
    <xf numFmtId="0" fontId="6" fillId="2" borderId="5" xfId="0" applyFont="1" applyFill="1" applyBorder="1" applyAlignment="1">
      <alignment horizontal="center" wrapText="1"/>
    </xf>
    <xf numFmtId="0" fontId="7" fillId="0" borderId="83" xfId="0" applyFont="1" applyBorder="1" applyAlignment="1">
      <alignment vertical="center"/>
    </xf>
    <xf numFmtId="169" fontId="7" fillId="0" borderId="83" xfId="0" applyNumberFormat="1" applyFont="1" applyBorder="1" applyAlignment="1">
      <alignment horizontal="right" vertical="center"/>
    </xf>
    <xf numFmtId="0" fontId="8" fillId="2" borderId="69" xfId="0" applyFont="1" applyFill="1" applyBorder="1" applyAlignment="1">
      <alignment horizontal="center" wrapText="1"/>
    </xf>
    <xf numFmtId="0" fontId="6" fillId="2" borderId="45" xfId="0" applyFont="1" applyFill="1" applyBorder="1" applyAlignment="1">
      <alignment horizontal="left" wrapText="1"/>
    </xf>
    <xf numFmtId="169" fontId="6" fillId="2" borderId="63" xfId="0" applyNumberFormat="1" applyFont="1" applyFill="1" applyBorder="1" applyAlignment="1">
      <alignment horizontal="center" wrapText="1"/>
    </xf>
    <xf numFmtId="0" fontId="6" fillId="2" borderId="69" xfId="0" applyFont="1" applyFill="1" applyBorder="1" applyAlignment="1">
      <alignment horizontal="center" wrapText="1"/>
    </xf>
    <xf numFmtId="167" fontId="6" fillId="2" borderId="45" xfId="1" applyNumberFormat="1" applyFont="1" applyFill="1" applyBorder="1" applyAlignment="1">
      <alignment horizontal="center" wrapText="1"/>
    </xf>
    <xf numFmtId="167" fontId="8" fillId="2" borderId="45" xfId="1" applyNumberFormat="1" applyFont="1" applyFill="1" applyBorder="1" applyAlignment="1">
      <alignment horizontal="center" wrapText="1"/>
    </xf>
    <xf numFmtId="167" fontId="6" fillId="2" borderId="69" xfId="1" applyNumberFormat="1" applyFont="1" applyFill="1" applyBorder="1" applyAlignment="1">
      <alignment horizontal="center" wrapText="1"/>
    </xf>
    <xf numFmtId="169" fontId="6" fillId="2" borderId="45" xfId="0" applyNumberFormat="1" applyFont="1" applyFill="1" applyBorder="1" applyAlignment="1">
      <alignment horizontal="center" wrapText="1"/>
    </xf>
    <xf numFmtId="0" fontId="6" fillId="2" borderId="86" xfId="0" applyFont="1" applyFill="1" applyBorder="1" applyAlignment="1">
      <alignment horizontal="center" wrapText="1"/>
    </xf>
    <xf numFmtId="169" fontId="6" fillId="2" borderId="46" xfId="0" applyNumberFormat="1" applyFont="1" applyFill="1" applyBorder="1" applyAlignment="1">
      <alignment horizontal="center" wrapText="1"/>
    </xf>
    <xf numFmtId="0" fontId="7" fillId="0" borderId="82" xfId="0" applyFont="1" applyBorder="1" applyAlignment="1">
      <alignment horizontal="left" vertical="center"/>
    </xf>
    <xf numFmtId="172" fontId="7" fillId="0" borderId="83" xfId="0" applyNumberFormat="1" applyFont="1" applyBorder="1" applyAlignment="1">
      <alignment horizontal="right" vertical="center"/>
    </xf>
    <xf numFmtId="166" fontId="1" fillId="0" borderId="0" xfId="2" applyNumberFormat="1" applyFont="1" applyBorder="1"/>
    <xf numFmtId="166" fontId="1" fillId="10" borderId="0" xfId="2" applyNumberFormat="1" applyFont="1" applyFill="1" applyBorder="1"/>
    <xf numFmtId="0" fontId="1" fillId="11" borderId="0" xfId="0" applyFont="1" applyFill="1" applyBorder="1"/>
    <xf numFmtId="0" fontId="1" fillId="0" borderId="0" xfId="0" applyFont="1" applyFill="1" applyBorder="1"/>
    <xf numFmtId="0" fontId="1" fillId="11" borderId="0" xfId="0" applyFont="1" applyFill="1" applyBorder="1" applyAlignment="1">
      <alignment horizontal="center"/>
    </xf>
    <xf numFmtId="166" fontId="1" fillId="0" borderId="83" xfId="2" applyNumberFormat="1" applyFont="1" applyBorder="1"/>
    <xf numFmtId="0" fontId="1" fillId="0" borderId="83" xfId="0" applyFont="1" applyBorder="1"/>
    <xf numFmtId="166" fontId="1" fillId="0" borderId="0" xfId="2" applyNumberFormat="1" applyFont="1"/>
    <xf numFmtId="0" fontId="1" fillId="0" borderId="16" xfId="0" applyFont="1" applyBorder="1" applyAlignment="1">
      <alignment horizontal="left" vertical="center"/>
    </xf>
    <xf numFmtId="14" fontId="1" fillId="0" borderId="16" xfId="0" applyNumberFormat="1" applyFont="1" applyBorder="1" applyAlignment="1">
      <alignment vertical="center"/>
    </xf>
    <xf numFmtId="4" fontId="1" fillId="0" borderId="16" xfId="0" applyNumberFormat="1" applyFont="1" applyBorder="1" applyAlignment="1">
      <alignment vertical="center"/>
    </xf>
    <xf numFmtId="9" fontId="1" fillId="0" borderId="16" xfId="1" applyFont="1" applyBorder="1" applyAlignment="1">
      <alignment vertical="center"/>
    </xf>
    <xf numFmtId="0" fontId="1" fillId="0" borderId="16" xfId="0" applyFont="1" applyBorder="1" applyAlignment="1">
      <alignment vertical="center"/>
    </xf>
    <xf numFmtId="3" fontId="1" fillId="0" borderId="16" xfId="0" applyNumberFormat="1" applyFont="1" applyBorder="1" applyAlignment="1">
      <alignment vertical="center"/>
    </xf>
    <xf numFmtId="170" fontId="1" fillId="0" borderId="16" xfId="0" applyNumberFormat="1" applyFont="1" applyBorder="1" applyAlignment="1">
      <alignment vertical="center"/>
    </xf>
    <xf numFmtId="169" fontId="1" fillId="0" borderId="16" xfId="0" applyNumberFormat="1" applyFont="1" applyBorder="1" applyAlignment="1">
      <alignment vertical="center"/>
    </xf>
    <xf numFmtId="168" fontId="1" fillId="0" borderId="16" xfId="0" applyNumberFormat="1" applyFont="1" applyBorder="1" applyAlignment="1">
      <alignment vertical="center"/>
    </xf>
    <xf numFmtId="0" fontId="1" fillId="3" borderId="16" xfId="0" applyFont="1" applyFill="1" applyBorder="1" applyAlignment="1">
      <alignment horizontal="left" vertical="center"/>
    </xf>
    <xf numFmtId="0" fontId="1" fillId="3" borderId="16" xfId="0" applyFont="1" applyFill="1" applyBorder="1" applyAlignment="1">
      <alignment vertical="center"/>
    </xf>
    <xf numFmtId="4" fontId="1" fillId="3" borderId="16" xfId="0" applyNumberFormat="1" applyFont="1" applyFill="1" applyBorder="1" applyAlignment="1">
      <alignment vertical="center"/>
    </xf>
    <xf numFmtId="9" fontId="1" fillId="3" borderId="16" xfId="1" applyFont="1" applyFill="1" applyBorder="1" applyAlignment="1">
      <alignment vertical="center"/>
    </xf>
    <xf numFmtId="3" fontId="1" fillId="3" borderId="16" xfId="0" applyNumberFormat="1" applyFont="1" applyFill="1" applyBorder="1" applyAlignment="1">
      <alignment vertical="center"/>
    </xf>
    <xf numFmtId="170" fontId="1" fillId="3" borderId="16" xfId="0" applyNumberFormat="1" applyFont="1" applyFill="1" applyBorder="1" applyAlignment="1">
      <alignment vertical="center"/>
    </xf>
    <xf numFmtId="169" fontId="1" fillId="3" borderId="16" xfId="0" applyNumberFormat="1" applyFont="1" applyFill="1" applyBorder="1" applyAlignment="1">
      <alignment vertical="center"/>
    </xf>
    <xf numFmtId="168" fontId="1" fillId="3" borderId="16" xfId="0" applyNumberFormat="1" applyFont="1" applyFill="1" applyBorder="1" applyAlignment="1">
      <alignment vertical="center"/>
    </xf>
    <xf numFmtId="9" fontId="1" fillId="4" borderId="16" xfId="1" applyFont="1" applyFill="1" applyBorder="1" applyAlignment="1">
      <alignment vertical="center"/>
    </xf>
    <xf numFmtId="0" fontId="1" fillId="0" borderId="16" xfId="0" applyFont="1" applyFill="1" applyBorder="1" applyAlignment="1">
      <alignment vertical="center"/>
    </xf>
    <xf numFmtId="4" fontId="1" fillId="0" borderId="16" xfId="0" applyNumberFormat="1" applyFont="1" applyFill="1" applyBorder="1" applyAlignment="1">
      <alignment vertical="center"/>
    </xf>
    <xf numFmtId="9" fontId="1" fillId="0" borderId="16" xfId="1" applyFont="1" applyFill="1" applyBorder="1" applyAlignment="1">
      <alignment vertical="center"/>
    </xf>
    <xf numFmtId="4" fontId="1" fillId="2" borderId="16" xfId="0" applyNumberFormat="1" applyFont="1" applyFill="1" applyBorder="1" applyAlignment="1">
      <alignment vertical="center"/>
    </xf>
    <xf numFmtId="8" fontId="1" fillId="0" borderId="16" xfId="0" applyNumberFormat="1" applyFont="1" applyBorder="1" applyAlignment="1">
      <alignment vertical="center"/>
    </xf>
    <xf numFmtId="2" fontId="7" fillId="9" borderId="0" xfId="1" applyNumberFormat="1" applyFont="1" applyFill="1" applyBorder="1" applyAlignment="1">
      <alignment horizontal="center" vertical="center"/>
    </xf>
    <xf numFmtId="2" fontId="7" fillId="9" borderId="34" xfId="1" applyNumberFormat="1" applyFont="1" applyFill="1" applyBorder="1" applyAlignment="1">
      <alignment horizontal="center" vertical="center"/>
    </xf>
    <xf numFmtId="0" fontId="0" fillId="3" borderId="0" xfId="0" applyFont="1" applyFill="1"/>
    <xf numFmtId="169" fontId="0" fillId="18" borderId="0" xfId="0" applyNumberFormat="1" applyFont="1" applyFill="1"/>
    <xf numFmtId="0" fontId="58" fillId="23" borderId="21" xfId="0" applyFont="1" applyFill="1" applyBorder="1" applyAlignment="1">
      <alignment horizontal="center" wrapText="1"/>
    </xf>
    <xf numFmtId="0" fontId="58" fillId="23" borderId="18" xfId="0" applyFont="1" applyFill="1" applyBorder="1" applyAlignment="1">
      <alignment horizontal="center" wrapText="1"/>
    </xf>
    <xf numFmtId="0" fontId="58" fillId="23" borderId="26" xfId="0" applyFont="1" applyFill="1" applyBorder="1" applyAlignment="1">
      <alignment horizontal="center" wrapText="1"/>
    </xf>
    <xf numFmtId="0" fontId="58" fillId="23" borderId="27" xfId="0" applyFont="1" applyFill="1" applyBorder="1" applyAlignment="1">
      <alignment horizontal="center" wrapText="1"/>
    </xf>
    <xf numFmtId="169" fontId="58" fillId="23" borderId="26" xfId="0" applyNumberFormat="1" applyFont="1" applyFill="1" applyBorder="1" applyAlignment="1">
      <alignment horizontal="center" wrapText="1"/>
    </xf>
    <xf numFmtId="0" fontId="58" fillId="23" borderId="26" xfId="3" applyFont="1" applyFill="1" applyBorder="1" applyAlignment="1">
      <alignment horizontal="center" wrapText="1"/>
    </xf>
    <xf numFmtId="169" fontId="1" fillId="11" borderId="0" xfId="2" applyNumberFormat="1" applyFont="1" applyFill="1" applyBorder="1"/>
    <xf numFmtId="169" fontId="1" fillId="11" borderId="0" xfId="0" applyNumberFormat="1" applyFont="1" applyFill="1" applyBorder="1"/>
    <xf numFmtId="169" fontId="8" fillId="2" borderId="2" xfId="0" applyNumberFormat="1" applyFont="1" applyFill="1" applyBorder="1" applyAlignment="1">
      <alignment horizontal="center" wrapText="1"/>
    </xf>
    <xf numFmtId="169" fontId="8" fillId="2" borderId="3" xfId="0" applyNumberFormat="1" applyFont="1" applyFill="1" applyBorder="1" applyAlignment="1">
      <alignment horizontal="center" wrapText="1"/>
    </xf>
    <xf numFmtId="0" fontId="8" fillId="2" borderId="5" xfId="0" applyFont="1" applyFill="1" applyBorder="1" applyAlignment="1">
      <alignment horizontal="center" wrapText="1"/>
    </xf>
    <xf numFmtId="0" fontId="8" fillId="2" borderId="1" xfId="0" applyFont="1" applyFill="1" applyBorder="1" applyAlignment="1">
      <alignment horizontal="center" wrapText="1"/>
    </xf>
    <xf numFmtId="0" fontId="8" fillId="23" borderId="1" xfId="0" applyFont="1" applyFill="1" applyBorder="1" applyAlignment="1">
      <alignment horizontal="center" wrapText="1"/>
    </xf>
    <xf numFmtId="169" fontId="8" fillId="2" borderId="51" xfId="0" applyNumberFormat="1" applyFont="1" applyFill="1" applyBorder="1" applyAlignment="1">
      <alignment horizontal="center" wrapText="1"/>
    </xf>
    <xf numFmtId="169" fontId="6" fillId="2" borderId="6" xfId="0" applyNumberFormat="1" applyFont="1" applyFill="1" applyBorder="1" applyAlignment="1">
      <alignment horizontal="center" vertical="center" wrapText="1"/>
    </xf>
    <xf numFmtId="0" fontId="7" fillId="10" borderId="0" xfId="0" applyFont="1" applyFill="1" applyAlignment="1">
      <alignment vertical="center"/>
    </xf>
    <xf numFmtId="0" fontId="7" fillId="10" borderId="0" xfId="0" applyFont="1" applyFill="1" applyBorder="1" applyAlignment="1">
      <alignment vertical="center"/>
    </xf>
    <xf numFmtId="0" fontId="7" fillId="10" borderId="8" xfId="0" applyFont="1" applyFill="1" applyBorder="1" applyAlignment="1">
      <alignment horizontal="left" vertical="center"/>
    </xf>
    <xf numFmtId="4" fontId="7" fillId="10" borderId="8" xfId="0" applyNumberFormat="1" applyFont="1" applyFill="1" applyBorder="1" applyAlignment="1">
      <alignment horizontal="right" vertical="center"/>
    </xf>
    <xf numFmtId="0" fontId="7" fillId="10" borderId="8" xfId="0" applyFont="1" applyFill="1" applyBorder="1" applyAlignment="1">
      <alignment horizontal="center" vertical="center"/>
    </xf>
    <xf numFmtId="169" fontId="7" fillId="10" borderId="15" xfId="0" applyNumberFormat="1" applyFont="1" applyFill="1" applyBorder="1" applyAlignment="1">
      <alignment vertical="center"/>
    </xf>
    <xf numFmtId="169" fontId="7" fillId="10" borderId="8" xfId="0" applyNumberFormat="1" applyFont="1" applyFill="1" applyBorder="1" applyAlignment="1">
      <alignment vertical="center"/>
    </xf>
    <xf numFmtId="169" fontId="7" fillId="10" borderId="7" xfId="0" applyNumberFormat="1" applyFont="1" applyFill="1" applyBorder="1" applyAlignment="1">
      <alignment vertical="center"/>
    </xf>
    <xf numFmtId="43" fontId="59" fillId="25" borderId="101" xfId="7" applyNumberFormat="1" applyAlignment="1">
      <alignment vertical="center"/>
    </xf>
    <xf numFmtId="169" fontId="6" fillId="2" borderId="1" xfId="0" applyNumberFormat="1" applyFont="1" applyFill="1" applyBorder="1" applyAlignment="1">
      <alignment horizontal="center" vertical="center" wrapText="1"/>
    </xf>
    <xf numFmtId="43" fontId="59" fillId="25" borderId="101" xfId="7" applyNumberFormat="1" applyAlignment="1">
      <alignment horizontal="center" vertical="center" wrapText="1"/>
    </xf>
    <xf numFmtId="0" fontId="24" fillId="11" borderId="15" xfId="0" applyFont="1" applyFill="1" applyBorder="1" applyAlignment="1">
      <alignment horizontal="center" vertical="center" wrapText="1"/>
    </xf>
    <xf numFmtId="0" fontId="24" fillId="11" borderId="14" xfId="0" applyFont="1" applyFill="1" applyBorder="1" applyAlignment="1">
      <alignment horizontal="center" vertical="center" wrapText="1"/>
    </xf>
    <xf numFmtId="0" fontId="33" fillId="21" borderId="13" xfId="0" applyFont="1" applyFill="1" applyBorder="1" applyAlignment="1">
      <alignment horizontal="center" vertical="center"/>
    </xf>
    <xf numFmtId="0" fontId="33" fillId="21" borderId="14" xfId="0" applyFont="1" applyFill="1" applyBorder="1" applyAlignment="1">
      <alignment horizontal="center" vertical="center"/>
    </xf>
    <xf numFmtId="0" fontId="33" fillId="22" borderId="13" xfId="0" applyFont="1" applyFill="1" applyBorder="1" applyAlignment="1">
      <alignment horizontal="center" vertical="center"/>
    </xf>
    <xf numFmtId="0" fontId="33" fillId="22" borderId="14" xfId="0" applyFont="1" applyFill="1" applyBorder="1" applyAlignment="1">
      <alignment horizontal="center" vertical="center"/>
    </xf>
    <xf numFmtId="0" fontId="24" fillId="15" borderId="13" xfId="0" applyFont="1" applyFill="1" applyBorder="1" applyAlignment="1">
      <alignment horizontal="center" vertical="center"/>
    </xf>
    <xf numFmtId="0" fontId="24" fillId="15" borderId="15" xfId="0" applyFont="1" applyFill="1" applyBorder="1" applyAlignment="1">
      <alignment horizontal="center" vertical="center"/>
    </xf>
    <xf numFmtId="0" fontId="24" fillId="15" borderId="14" xfId="0" applyFont="1" applyFill="1" applyBorder="1" applyAlignment="1">
      <alignment horizontal="center" vertical="center"/>
    </xf>
    <xf numFmtId="0" fontId="24" fillId="6" borderId="13" xfId="0" applyFont="1" applyFill="1" applyBorder="1" applyAlignment="1">
      <alignment horizontal="center" vertical="center" wrapText="1"/>
    </xf>
    <xf numFmtId="0" fontId="24" fillId="6" borderId="15" xfId="0" applyFont="1" applyFill="1" applyBorder="1" applyAlignment="1">
      <alignment horizontal="center" vertical="center" wrapText="1"/>
    </xf>
    <xf numFmtId="0" fontId="24" fillId="23" borderId="13" xfId="0" applyFont="1" applyFill="1" applyBorder="1" applyAlignment="1">
      <alignment horizontal="center" vertical="center" wrapText="1"/>
    </xf>
    <xf numFmtId="0" fontId="24" fillId="23" borderId="15" xfId="0" applyFont="1" applyFill="1" applyBorder="1" applyAlignment="1">
      <alignment horizontal="center" vertical="center" wrapText="1"/>
    </xf>
    <xf numFmtId="4" fontId="6" fillId="2" borderId="9" xfId="0" applyNumberFormat="1" applyFont="1" applyFill="1" applyBorder="1" applyAlignment="1">
      <alignment horizontal="center" vertical="center"/>
    </xf>
    <xf numFmtId="4" fontId="6" fillId="2" borderId="10" xfId="0" applyNumberFormat="1" applyFont="1" applyFill="1" applyBorder="1" applyAlignment="1">
      <alignment horizontal="center" vertical="center"/>
    </xf>
    <xf numFmtId="4" fontId="6" fillId="2" borderId="11" xfId="0" applyNumberFormat="1" applyFont="1" applyFill="1" applyBorder="1" applyAlignment="1">
      <alignment horizontal="center" vertical="center"/>
    </xf>
    <xf numFmtId="0" fontId="6" fillId="0" borderId="1" xfId="0" applyFont="1" applyFill="1" applyBorder="1" applyAlignment="1">
      <alignment horizontal="center" vertical="center"/>
    </xf>
    <xf numFmtId="167" fontId="6" fillId="0" borderId="1" xfId="1" applyNumberFormat="1" applyFont="1" applyFill="1" applyBorder="1" applyAlignment="1">
      <alignment horizontal="center" vertical="center"/>
    </xf>
    <xf numFmtId="169" fontId="6" fillId="2" borderId="9" xfId="0" applyNumberFormat="1" applyFont="1" applyFill="1" applyBorder="1" applyAlignment="1">
      <alignment horizontal="center" vertical="center"/>
    </xf>
    <xf numFmtId="169" fontId="6" fillId="2" borderId="11" xfId="0" applyNumberFormat="1" applyFont="1" applyFill="1" applyBorder="1" applyAlignment="1">
      <alignment horizontal="center" vertical="center"/>
    </xf>
    <xf numFmtId="168" fontId="7" fillId="0" borderId="9" xfId="0" applyNumberFormat="1" applyFont="1" applyFill="1" applyBorder="1" applyAlignment="1">
      <alignment horizontal="center" vertical="center"/>
    </xf>
    <xf numFmtId="168" fontId="7" fillId="0" borderId="11" xfId="0" applyNumberFormat="1" applyFont="1" applyFill="1" applyBorder="1" applyAlignment="1">
      <alignment horizontal="center" vertical="center"/>
    </xf>
    <xf numFmtId="167" fontId="6" fillId="2" borderId="9" xfId="1" applyNumberFormat="1" applyFont="1" applyFill="1" applyBorder="1" applyAlignment="1">
      <alignment horizontal="center" vertical="center"/>
    </xf>
    <xf numFmtId="167" fontId="6" fillId="2" borderId="10" xfId="1" applyNumberFormat="1" applyFont="1" applyFill="1" applyBorder="1" applyAlignment="1">
      <alignment horizontal="center" vertical="center"/>
    </xf>
    <xf numFmtId="167" fontId="6" fillId="2" borderId="11" xfId="1" applyNumberFormat="1" applyFont="1" applyFill="1" applyBorder="1" applyAlignment="1">
      <alignment horizontal="center" vertical="center"/>
    </xf>
    <xf numFmtId="0" fontId="6" fillId="2" borderId="9" xfId="0" applyNumberFormat="1" applyFont="1" applyFill="1" applyBorder="1" applyAlignment="1">
      <alignment horizontal="center" vertical="center"/>
    </xf>
    <xf numFmtId="0" fontId="6" fillId="2" borderId="11" xfId="0" applyNumberFormat="1" applyFont="1" applyFill="1" applyBorder="1" applyAlignment="1">
      <alignment horizontal="center" vertical="center"/>
    </xf>
    <xf numFmtId="169" fontId="6" fillId="2" borderId="10" xfId="0" applyNumberFormat="1" applyFont="1" applyFill="1" applyBorder="1" applyAlignment="1">
      <alignment horizontal="center" vertical="center"/>
    </xf>
    <xf numFmtId="0" fontId="6" fillId="2" borderId="9" xfId="0" applyFont="1" applyFill="1" applyBorder="1" applyAlignment="1">
      <alignment horizontal="center" vertical="center"/>
    </xf>
    <xf numFmtId="0" fontId="6" fillId="2" borderId="10" xfId="0" applyFont="1" applyFill="1" applyBorder="1" applyAlignment="1">
      <alignment horizontal="center" vertical="center"/>
    </xf>
    <xf numFmtId="0" fontId="6" fillId="2" borderId="11" xfId="0" applyFont="1" applyFill="1" applyBorder="1" applyAlignment="1">
      <alignment horizontal="center" vertical="center"/>
    </xf>
    <xf numFmtId="0" fontId="6" fillId="2" borderId="2" xfId="0" applyFont="1" applyFill="1" applyBorder="1" applyAlignment="1">
      <alignment horizontal="center" vertical="center"/>
    </xf>
    <xf numFmtId="0" fontId="6" fillId="2" borderId="3" xfId="0" applyFont="1" applyFill="1" applyBorder="1" applyAlignment="1">
      <alignment horizontal="center" vertical="center"/>
    </xf>
    <xf numFmtId="0" fontId="6" fillId="2" borderId="5" xfId="0" applyFont="1" applyFill="1" applyBorder="1" applyAlignment="1">
      <alignment horizontal="center" vertical="center"/>
    </xf>
    <xf numFmtId="0" fontId="6" fillId="2" borderId="1" xfId="0" applyFont="1" applyFill="1" applyBorder="1" applyAlignment="1">
      <alignment horizontal="center" vertical="center"/>
    </xf>
    <xf numFmtId="0" fontId="6" fillId="2" borderId="4" xfId="0" applyFont="1" applyFill="1" applyBorder="1" applyAlignment="1">
      <alignment horizontal="center" vertical="center"/>
    </xf>
    <xf numFmtId="0" fontId="6" fillId="2" borderId="6" xfId="0" applyFont="1" applyFill="1" applyBorder="1" applyAlignment="1">
      <alignment horizontal="center" vertical="center"/>
    </xf>
    <xf numFmtId="0" fontId="36" fillId="2" borderId="65" xfId="0" applyFont="1" applyFill="1" applyBorder="1" applyAlignment="1">
      <alignment horizontal="center" vertical="center"/>
    </xf>
    <xf numFmtId="0" fontId="36" fillId="2" borderId="66" xfId="0" applyFont="1" applyFill="1" applyBorder="1" applyAlignment="1">
      <alignment horizontal="center" vertical="center"/>
    </xf>
    <xf numFmtId="4" fontId="36" fillId="2" borderId="85" xfId="0" applyNumberFormat="1" applyFont="1" applyFill="1" applyBorder="1" applyAlignment="1">
      <alignment horizontal="center" vertical="center"/>
    </xf>
    <xf numFmtId="4" fontId="36" fillId="2" borderId="67" xfId="0" applyNumberFormat="1" applyFont="1" applyFill="1" applyBorder="1" applyAlignment="1">
      <alignment horizontal="center" vertical="center"/>
    </xf>
    <xf numFmtId="4" fontId="36" fillId="2" borderId="68" xfId="0" applyNumberFormat="1" applyFont="1" applyFill="1" applyBorder="1" applyAlignment="1">
      <alignment horizontal="center" vertical="center"/>
    </xf>
    <xf numFmtId="167" fontId="36" fillId="2" borderId="85" xfId="1" applyNumberFormat="1" applyFont="1" applyFill="1" applyBorder="1" applyAlignment="1">
      <alignment horizontal="center" vertical="center"/>
    </xf>
    <xf numFmtId="167" fontId="36" fillId="2" borderId="67" xfId="1" applyNumberFormat="1" applyFont="1" applyFill="1" applyBorder="1" applyAlignment="1">
      <alignment horizontal="center" vertical="center"/>
    </xf>
    <xf numFmtId="167" fontId="36" fillId="2" borderId="68" xfId="1" applyNumberFormat="1" applyFont="1" applyFill="1" applyBorder="1" applyAlignment="1">
      <alignment horizontal="center" vertical="center"/>
    </xf>
    <xf numFmtId="167" fontId="6" fillId="20" borderId="65" xfId="1" applyNumberFormat="1" applyFont="1" applyFill="1" applyBorder="1" applyAlignment="1">
      <alignment horizontal="center" vertical="center"/>
    </xf>
    <xf numFmtId="167" fontId="6" fillId="20" borderId="66" xfId="1" applyNumberFormat="1" applyFont="1" applyFill="1" applyBorder="1" applyAlignment="1">
      <alignment horizontal="center" vertical="center"/>
    </xf>
    <xf numFmtId="167" fontId="6" fillId="20" borderId="79" xfId="1" applyNumberFormat="1" applyFont="1" applyFill="1" applyBorder="1" applyAlignment="1">
      <alignment horizontal="center" vertical="center"/>
    </xf>
    <xf numFmtId="169" fontId="6" fillId="2" borderId="36" xfId="0" applyNumberFormat="1" applyFont="1" applyFill="1" applyBorder="1" applyAlignment="1">
      <alignment horizontal="center" vertical="center"/>
    </xf>
    <xf numFmtId="169" fontId="6" fillId="2" borderId="40" xfId="0" applyNumberFormat="1" applyFont="1" applyFill="1" applyBorder="1" applyAlignment="1">
      <alignment horizontal="center" vertical="center"/>
    </xf>
    <xf numFmtId="0" fontId="36" fillId="0" borderId="47" xfId="0" applyFont="1" applyBorder="1" applyAlignment="1">
      <alignment horizontal="center" vertical="center"/>
    </xf>
    <xf numFmtId="0" fontId="36" fillId="0" borderId="41" xfId="0" applyFont="1" applyBorder="1" applyAlignment="1">
      <alignment horizontal="center" vertical="center"/>
    </xf>
    <xf numFmtId="0" fontId="36" fillId="2" borderId="38" xfId="0" applyFont="1" applyFill="1" applyBorder="1" applyAlignment="1">
      <alignment horizontal="center" vertical="center"/>
    </xf>
    <xf numFmtId="0" fontId="36" fillId="2" borderId="40" xfId="0" applyFont="1" applyFill="1" applyBorder="1" applyAlignment="1">
      <alignment horizontal="center" vertical="center"/>
    </xf>
    <xf numFmtId="0" fontId="36" fillId="0" borderId="39" xfId="0" applyFont="1" applyBorder="1" applyAlignment="1">
      <alignment horizontal="center" vertical="center"/>
    </xf>
    <xf numFmtId="0" fontId="36" fillId="20" borderId="36" xfId="0" applyFont="1" applyFill="1" applyBorder="1" applyAlignment="1">
      <alignment horizontal="center" vertical="center" wrapText="1"/>
    </xf>
    <xf numFmtId="0" fontId="36" fillId="20" borderId="47" xfId="0" applyFont="1" applyFill="1" applyBorder="1" applyAlignment="1">
      <alignment horizontal="center" vertical="center" wrapText="1"/>
    </xf>
    <xf numFmtId="0" fontId="36" fillId="20" borderId="40" xfId="0" applyFont="1" applyFill="1" applyBorder="1" applyAlignment="1">
      <alignment horizontal="center" vertical="center" wrapText="1"/>
    </xf>
    <xf numFmtId="0" fontId="36" fillId="20" borderId="41" xfId="0" applyFont="1" applyFill="1" applyBorder="1" applyAlignment="1">
      <alignment horizontal="center" vertical="center" wrapText="1"/>
    </xf>
    <xf numFmtId="0" fontId="6" fillId="20" borderId="36" xfId="0" applyFont="1" applyFill="1" applyBorder="1" applyAlignment="1">
      <alignment horizontal="center" vertical="center"/>
    </xf>
    <xf numFmtId="0" fontId="6" fillId="20" borderId="37" xfId="0" applyFont="1" applyFill="1" applyBorder="1" applyAlignment="1">
      <alignment horizontal="center" vertical="center"/>
    </xf>
    <xf numFmtId="0" fontId="6" fillId="20" borderId="47" xfId="0" applyFont="1" applyFill="1" applyBorder="1" applyAlignment="1">
      <alignment horizontal="center" vertical="center"/>
    </xf>
    <xf numFmtId="167" fontId="37" fillId="20" borderId="65" xfId="1" applyNumberFormat="1" applyFont="1" applyFill="1" applyBorder="1" applyAlignment="1">
      <alignment horizontal="center" vertical="center"/>
    </xf>
    <xf numFmtId="167" fontId="37" fillId="20" borderId="66" xfId="1" applyNumberFormat="1" applyFont="1" applyFill="1" applyBorder="1" applyAlignment="1">
      <alignment horizontal="center" vertical="center"/>
    </xf>
    <xf numFmtId="167" fontId="37" fillId="20" borderId="79" xfId="1" applyNumberFormat="1" applyFont="1" applyFill="1" applyBorder="1" applyAlignment="1">
      <alignment horizontal="center" vertical="center"/>
    </xf>
    <xf numFmtId="9" fontId="8" fillId="2" borderId="9" xfId="1" applyFont="1" applyFill="1" applyBorder="1" applyAlignment="1">
      <alignment horizontal="center" wrapText="1"/>
    </xf>
    <xf numFmtId="9" fontId="8" fillId="2" borderId="10" xfId="1" applyFont="1" applyFill="1" applyBorder="1" applyAlignment="1">
      <alignment horizontal="center" wrapText="1"/>
    </xf>
    <xf numFmtId="9" fontId="8" fillId="2" borderId="11" xfId="1" applyFont="1" applyFill="1" applyBorder="1" applyAlignment="1">
      <alignment horizontal="center" wrapText="1"/>
    </xf>
    <xf numFmtId="9" fontId="8" fillId="2" borderId="7" xfId="1" applyFont="1" applyFill="1" applyBorder="1" applyAlignment="1">
      <alignment horizontal="center" wrapText="1"/>
    </xf>
    <xf numFmtId="9" fontId="8" fillId="2" borderId="0" xfId="1" applyFont="1" applyFill="1" applyBorder="1" applyAlignment="1">
      <alignment horizontal="center" wrapText="1"/>
    </xf>
    <xf numFmtId="9" fontId="8" fillId="2" borderId="8" xfId="1" applyFont="1" applyFill="1" applyBorder="1" applyAlignment="1">
      <alignment horizontal="center" wrapText="1"/>
    </xf>
    <xf numFmtId="169" fontId="8" fillId="2" borderId="2" xfId="0" applyNumberFormat="1" applyFont="1" applyFill="1" applyBorder="1" applyAlignment="1">
      <alignment horizontal="center" wrapText="1"/>
    </xf>
    <xf numFmtId="169" fontId="8" fillId="2" borderId="3" xfId="0" applyNumberFormat="1" applyFont="1" applyFill="1" applyBorder="1" applyAlignment="1">
      <alignment horizontal="center" wrapText="1"/>
    </xf>
    <xf numFmtId="169" fontId="8" fillId="2" borderId="4" xfId="0" applyNumberFormat="1" applyFont="1" applyFill="1" applyBorder="1" applyAlignment="1">
      <alignment horizontal="center" wrapText="1"/>
    </xf>
    <xf numFmtId="169" fontId="8" fillId="2" borderId="7" xfId="0" applyNumberFormat="1" applyFont="1" applyFill="1" applyBorder="1" applyAlignment="1">
      <alignment horizontal="center" wrapText="1"/>
    </xf>
    <xf numFmtId="169" fontId="8" fillId="2" borderId="0" xfId="0" applyNumberFormat="1" applyFont="1" applyFill="1" applyBorder="1" applyAlignment="1">
      <alignment horizontal="center" wrapText="1"/>
    </xf>
    <xf numFmtId="169" fontId="8" fillId="2" borderId="8" xfId="0" applyNumberFormat="1" applyFont="1" applyFill="1" applyBorder="1" applyAlignment="1">
      <alignment horizontal="center" wrapText="1"/>
    </xf>
    <xf numFmtId="0" fontId="8" fillId="2" borderId="2" xfId="0" applyFont="1" applyFill="1" applyBorder="1" applyAlignment="1">
      <alignment horizontal="center" wrapText="1"/>
    </xf>
    <xf numFmtId="0" fontId="8" fillId="2" borderId="3" xfId="0" applyFont="1" applyFill="1" applyBorder="1" applyAlignment="1">
      <alignment horizontal="center" wrapText="1"/>
    </xf>
    <xf numFmtId="0" fontId="8" fillId="2" borderId="4" xfId="0" applyFont="1" applyFill="1" applyBorder="1" applyAlignment="1">
      <alignment horizontal="center" wrapText="1"/>
    </xf>
    <xf numFmtId="0" fontId="8" fillId="2" borderId="5" xfId="0" applyFont="1" applyFill="1" applyBorder="1" applyAlignment="1">
      <alignment horizontal="center" wrapText="1"/>
    </xf>
    <xf numFmtId="0" fontId="8" fillId="2" borderId="1" xfId="0" applyFont="1" applyFill="1" applyBorder="1" applyAlignment="1">
      <alignment horizontal="center" wrapText="1"/>
    </xf>
    <xf numFmtId="0" fontId="8" fillId="2" borderId="6" xfId="0" applyFont="1" applyFill="1" applyBorder="1" applyAlignment="1">
      <alignment horizontal="center" wrapText="1"/>
    </xf>
    <xf numFmtId="0" fontId="8" fillId="2" borderId="9" xfId="0" applyFont="1" applyFill="1" applyBorder="1" applyAlignment="1">
      <alignment horizontal="center"/>
    </xf>
    <xf numFmtId="0" fontId="8" fillId="2" borderId="10" xfId="0" applyFont="1" applyFill="1" applyBorder="1" applyAlignment="1">
      <alignment horizontal="center"/>
    </xf>
    <xf numFmtId="0" fontId="8" fillId="2" borderId="11" xfId="0" applyFont="1" applyFill="1" applyBorder="1" applyAlignment="1">
      <alignment horizontal="center"/>
    </xf>
    <xf numFmtId="9" fontId="8" fillId="23" borderId="9" xfId="1" applyFont="1" applyFill="1" applyBorder="1" applyAlignment="1">
      <alignment horizontal="center"/>
    </xf>
    <xf numFmtId="9" fontId="8" fillId="23" borderId="10" xfId="1" applyFont="1" applyFill="1" applyBorder="1" applyAlignment="1">
      <alignment horizontal="center"/>
    </xf>
    <xf numFmtId="9" fontId="8" fillId="23" borderId="11" xfId="1" applyFont="1" applyFill="1" applyBorder="1" applyAlignment="1">
      <alignment horizontal="center"/>
    </xf>
    <xf numFmtId="169" fontId="8" fillId="23" borderId="13" xfId="0" applyNumberFormat="1" applyFont="1" applyFill="1" applyBorder="1" applyAlignment="1">
      <alignment horizontal="center" wrapText="1"/>
    </xf>
    <xf numFmtId="3" fontId="1" fillId="0" borderId="94" xfId="0" applyNumberFormat="1" applyFont="1" applyFill="1" applyBorder="1" applyAlignment="1">
      <alignment horizontal="center"/>
    </xf>
    <xf numFmtId="3" fontId="1" fillId="0" borderId="95" xfId="0" applyNumberFormat="1" applyFont="1" applyFill="1" applyBorder="1" applyAlignment="1">
      <alignment horizontal="center"/>
    </xf>
    <xf numFmtId="3" fontId="1" fillId="0" borderId="96" xfId="0" applyNumberFormat="1" applyFont="1" applyFill="1" applyBorder="1" applyAlignment="1">
      <alignment horizontal="center"/>
    </xf>
    <xf numFmtId="3" fontId="1" fillId="0" borderId="93" xfId="0" applyNumberFormat="1" applyFont="1" applyFill="1" applyBorder="1" applyAlignment="1">
      <alignment horizontal="center"/>
    </xf>
    <xf numFmtId="3" fontId="1" fillId="0" borderId="97" xfId="0" applyNumberFormat="1" applyFont="1" applyFill="1" applyBorder="1" applyAlignment="1">
      <alignment horizontal="center"/>
    </xf>
    <xf numFmtId="3" fontId="1" fillId="0" borderId="98" xfId="0" applyNumberFormat="1" applyFont="1" applyFill="1" applyBorder="1" applyAlignment="1">
      <alignment horizontal="center"/>
    </xf>
    <xf numFmtId="0" fontId="8" fillId="23" borderId="9" xfId="0" applyFont="1" applyFill="1" applyBorder="1" applyAlignment="1">
      <alignment horizontal="center" wrapText="1"/>
    </xf>
    <xf numFmtId="0" fontId="8" fillId="23" borderId="10" xfId="0" applyFont="1" applyFill="1" applyBorder="1" applyAlignment="1">
      <alignment horizontal="center" wrapText="1"/>
    </xf>
    <xf numFmtId="0" fontId="8" fillId="23" borderId="11" xfId="0" applyFont="1" applyFill="1" applyBorder="1" applyAlignment="1">
      <alignment horizontal="center" wrapText="1"/>
    </xf>
    <xf numFmtId="169" fontId="8" fillId="23" borderId="1" xfId="0" applyNumberFormat="1" applyFont="1" applyFill="1" applyBorder="1" applyAlignment="1">
      <alignment horizontal="center"/>
    </xf>
    <xf numFmtId="169" fontId="8" fillId="23" borderId="6" xfId="0" applyNumberFormat="1" applyFont="1" applyFill="1" applyBorder="1" applyAlignment="1">
      <alignment horizontal="center"/>
    </xf>
    <xf numFmtId="169" fontId="8" fillId="23" borderId="5" xfId="0" applyNumberFormat="1" applyFont="1" applyFill="1" applyBorder="1" applyAlignment="1">
      <alignment horizontal="center"/>
    </xf>
    <xf numFmtId="0" fontId="8" fillId="23" borderId="5" xfId="0" applyFont="1" applyFill="1" applyBorder="1" applyAlignment="1">
      <alignment horizontal="center" wrapText="1"/>
    </xf>
    <xf numFmtId="0" fontId="8" fillId="23" borderId="1" xfId="0" applyFont="1" applyFill="1" applyBorder="1" applyAlignment="1">
      <alignment horizontal="center" wrapText="1"/>
    </xf>
    <xf numFmtId="9" fontId="1" fillId="0" borderId="99" xfId="1" applyFont="1" applyFill="1" applyBorder="1" applyAlignment="1">
      <alignment horizontal="center"/>
    </xf>
    <xf numFmtId="9" fontId="1" fillId="0" borderId="93" xfId="1" applyFont="1" applyFill="1" applyBorder="1" applyAlignment="1">
      <alignment horizontal="center"/>
    </xf>
    <xf numFmtId="9" fontId="1" fillId="0" borderId="100" xfId="1" applyFont="1" applyFill="1" applyBorder="1" applyAlignment="1">
      <alignment horizontal="center"/>
    </xf>
    <xf numFmtId="0" fontId="8" fillId="0" borderId="40" xfId="0" applyFont="1" applyBorder="1" applyAlignment="1">
      <alignment horizontal="right"/>
    </xf>
    <xf numFmtId="0" fontId="8" fillId="0" borderId="35" xfId="0" applyFont="1" applyBorder="1" applyAlignment="1">
      <alignment horizontal="right"/>
    </xf>
    <xf numFmtId="168" fontId="0" fillId="0" borderId="33" xfId="1" applyNumberFormat="1" applyFont="1" applyBorder="1" applyAlignment="1">
      <alignment horizontal="center"/>
    </xf>
    <xf numFmtId="168" fontId="0" fillId="0" borderId="35" xfId="1" applyNumberFormat="1" applyFont="1" applyBorder="1" applyAlignment="1">
      <alignment horizontal="center"/>
    </xf>
    <xf numFmtId="169" fontId="8" fillId="2" borderId="50" xfId="0" applyNumberFormat="1" applyFont="1" applyFill="1" applyBorder="1" applyAlignment="1">
      <alignment horizontal="center" wrapText="1"/>
    </xf>
    <xf numFmtId="169" fontId="8" fillId="2" borderId="51" xfId="0" applyNumberFormat="1" applyFont="1" applyFill="1" applyBorder="1" applyAlignment="1">
      <alignment horizontal="center" wrapText="1"/>
    </xf>
    <xf numFmtId="0" fontId="8" fillId="2" borderId="50" xfId="0" applyFont="1" applyFill="1" applyBorder="1" applyAlignment="1">
      <alignment horizontal="center" wrapText="1"/>
    </xf>
    <xf numFmtId="0" fontId="8" fillId="2" borderId="51" xfId="0" applyFont="1" applyFill="1" applyBorder="1" applyAlignment="1">
      <alignment horizontal="center" wrapText="1"/>
    </xf>
    <xf numFmtId="0" fontId="8" fillId="2" borderId="52" xfId="0" applyFont="1" applyFill="1" applyBorder="1" applyAlignment="1">
      <alignment horizontal="center" wrapText="1"/>
    </xf>
    <xf numFmtId="169" fontId="8" fillId="2" borderId="54" xfId="0" applyNumberFormat="1" applyFont="1" applyFill="1" applyBorder="1" applyAlignment="1">
      <alignment horizontal="center" wrapText="1"/>
    </xf>
    <xf numFmtId="169" fontId="8" fillId="2" borderId="50" xfId="0" applyNumberFormat="1" applyFont="1" applyFill="1" applyBorder="1" applyAlignment="1">
      <alignment horizontal="center"/>
    </xf>
    <xf numFmtId="169" fontId="8" fillId="2" borderId="51" xfId="0" applyNumberFormat="1" applyFont="1" applyFill="1" applyBorder="1" applyAlignment="1">
      <alignment horizontal="center"/>
    </xf>
    <xf numFmtId="169" fontId="8" fillId="2" borderId="52" xfId="0" applyNumberFormat="1" applyFont="1" applyFill="1" applyBorder="1" applyAlignment="1">
      <alignment horizontal="center"/>
    </xf>
    <xf numFmtId="169" fontId="8" fillId="2" borderId="53" xfId="0" applyNumberFormat="1" applyFont="1" applyFill="1" applyBorder="1" applyAlignment="1">
      <alignment horizontal="center" wrapText="1"/>
    </xf>
    <xf numFmtId="169" fontId="8" fillId="2" borderId="15" xfId="0" applyNumberFormat="1" applyFont="1" applyFill="1" applyBorder="1" applyAlignment="1">
      <alignment horizontal="center" wrapText="1"/>
    </xf>
    <xf numFmtId="0" fontId="46" fillId="0" borderId="9" xfId="0" applyFont="1" applyBorder="1" applyAlignment="1">
      <alignment horizontal="center" vertical="center" wrapText="1"/>
    </xf>
    <xf numFmtId="0" fontId="46" fillId="0" borderId="10" xfId="0" applyFont="1" applyBorder="1" applyAlignment="1">
      <alignment horizontal="center" vertical="center" wrapText="1"/>
    </xf>
    <xf numFmtId="0" fontId="46" fillId="0" borderId="11" xfId="0" applyFont="1" applyBorder="1" applyAlignment="1">
      <alignment horizontal="center" vertical="center" wrapText="1"/>
    </xf>
    <xf numFmtId="0" fontId="43" fillId="0" borderId="12" xfId="0" applyFont="1" applyBorder="1" applyAlignment="1">
      <alignment horizontal="center" vertical="center" wrapText="1"/>
    </xf>
    <xf numFmtId="0" fontId="46" fillId="17" borderId="0" xfId="0" applyFont="1" applyFill="1" applyBorder="1" applyAlignment="1">
      <alignment horizontal="center" vertical="center" wrapText="1"/>
    </xf>
    <xf numFmtId="0" fontId="46" fillId="17" borderId="5" xfId="0" applyFont="1" applyFill="1" applyBorder="1" applyAlignment="1">
      <alignment horizontal="center" vertical="center" wrapText="1"/>
    </xf>
    <xf numFmtId="0" fontId="46" fillId="17" borderId="1" xfId="0" applyFont="1" applyFill="1" applyBorder="1" applyAlignment="1">
      <alignment horizontal="center" vertical="center" wrapText="1"/>
    </xf>
    <xf numFmtId="0" fontId="0" fillId="0" borderId="0" xfId="0" applyAlignment="1">
      <alignment horizontal="center"/>
    </xf>
    <xf numFmtId="168" fontId="1" fillId="0" borderId="16" xfId="0" applyNumberFormat="1" applyFont="1" applyBorder="1" applyAlignment="1">
      <alignment horizontal="center" vertical="center"/>
    </xf>
    <xf numFmtId="4" fontId="1" fillId="0" borderId="16" xfId="0" applyNumberFormat="1" applyFont="1" applyBorder="1" applyAlignment="1">
      <alignment horizontal="center" vertical="center"/>
    </xf>
    <xf numFmtId="0" fontId="3" fillId="7" borderId="9" xfId="0" applyFont="1" applyFill="1" applyBorder="1" applyAlignment="1">
      <alignment horizontal="center"/>
    </xf>
    <xf numFmtId="0" fontId="3" fillId="7" borderId="10" xfId="0" applyFont="1" applyFill="1" applyBorder="1" applyAlignment="1">
      <alignment horizontal="center"/>
    </xf>
    <xf numFmtId="0" fontId="3" fillId="7" borderId="11" xfId="0" applyFont="1" applyFill="1" applyBorder="1" applyAlignment="1">
      <alignment horizontal="center"/>
    </xf>
    <xf numFmtId="0" fontId="3" fillId="7" borderId="9" xfId="0" applyFont="1" applyFill="1" applyBorder="1" applyAlignment="1">
      <alignment horizontal="center" wrapText="1"/>
    </xf>
    <xf numFmtId="0" fontId="3" fillId="7" borderId="11" xfId="0" applyFont="1" applyFill="1" applyBorder="1" applyAlignment="1">
      <alignment horizontal="center" wrapText="1"/>
    </xf>
    <xf numFmtId="0" fontId="53" fillId="14" borderId="0" xfId="0" applyFont="1" applyFill="1" applyAlignment="1">
      <alignment horizontal="left" vertical="center"/>
    </xf>
    <xf numFmtId="0" fontId="0" fillId="0" borderId="15" xfId="0" applyBorder="1" applyAlignment="1">
      <alignment horizontal="center" vertical="top" wrapText="1"/>
    </xf>
    <xf numFmtId="0" fontId="0" fillId="0" borderId="14" xfId="0" applyBorder="1" applyAlignment="1">
      <alignment horizontal="center" vertical="top" wrapText="1"/>
    </xf>
  </cellXfs>
  <cellStyles count="8">
    <cellStyle name="Comma" xfId="4" builtinId="3"/>
    <cellStyle name="Currency" xfId="2" builtinId="4"/>
    <cellStyle name="Hyperlink" xfId="3" builtinId="8"/>
    <cellStyle name="Input" xfId="7" builtinId="20"/>
    <cellStyle name="Normal" xfId="0" builtinId="0" customBuiltin="1"/>
    <cellStyle name="Normal 2" xfId="5" xr:uid="{263FEC1E-1A40-4BF1-9CB3-DB72BCB470D8}"/>
    <cellStyle name="Percent" xfId="1" builtinId="5"/>
    <cellStyle name="Percent 2" xfId="6" xr:uid="{2C7922B5-66F8-41A3-BFCE-7427EFCA3B1F}"/>
  </cellStyles>
  <dxfs count="0"/>
  <tableStyles count="0" defaultTableStyle="TableStyleMedium2" defaultPivotStyle="PivotStyleLight16"/>
  <colors>
    <mruColors>
      <color rgb="FFF0BBBE"/>
      <color rgb="FFB56463"/>
      <color rgb="FFCFAFE7"/>
      <color rgb="FF9A57CD"/>
      <color rgb="FF2995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Single</a:t>
            </a:r>
            <a:r>
              <a:rPr lang="en-US" baseline="0"/>
              <a:t> Family Dwelling Unit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(Simple)'!$F$4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(Simple)'!$F$5:$F$12</c:f>
              <c:numCache>
                <c:formatCode>"$"#,##0</c:formatCode>
                <c:ptCount val="8"/>
                <c:pt idx="0">
                  <c:v>7843.4177405852297</c:v>
                </c:pt>
                <c:pt idx="1">
                  <c:v>8623.2698278700536</c:v>
                </c:pt>
                <c:pt idx="2">
                  <c:v>9218.4896179009975</c:v>
                </c:pt>
                <c:pt idx="3">
                  <c:v>7980.1108238479956</c:v>
                </c:pt>
                <c:pt idx="4">
                  <c:v>6214.0811735644793</c:v>
                </c:pt>
                <c:pt idx="5">
                  <c:v>8549.2101811085904</c:v>
                </c:pt>
                <c:pt idx="6">
                  <c:v>9487.733920890234</c:v>
                </c:pt>
                <c:pt idx="7">
                  <c:v>9787.1888099722273</c:v>
                </c:pt>
              </c:numCache>
            </c:numRef>
          </c:val>
          <c:extLst>
            <c:ext xmlns:c16="http://schemas.microsoft.com/office/drawing/2014/chart" uri="{C3380CC4-5D6E-409C-BE32-E72D297353CC}">
              <c16:uniqueId val="{00000001-387C-4BDA-9139-A437BE87E682}"/>
            </c:ext>
          </c:extLst>
        </c:ser>
        <c:ser>
          <c:idx val="2"/>
          <c:order val="2"/>
          <c:tx>
            <c:strRef>
              <c:f>'RIFvMIF (Simple)'!$G$4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(Simple)'!$G$5:$G$12</c:f>
              <c:numCache>
                <c:formatCode>"$"#,##0</c:formatCode>
                <c:ptCount val="8"/>
                <c:pt idx="0">
                  <c:v>1584.0785281900839</c:v>
                </c:pt>
                <c:pt idx="1">
                  <c:v>1706.5044396130345</c:v>
                </c:pt>
                <c:pt idx="2">
                  <c:v>975.91493004221707</c:v>
                </c:pt>
                <c:pt idx="3">
                  <c:v>1527.5477625441074</c:v>
                </c:pt>
                <c:pt idx="4">
                  <c:v>843.80543038227972</c:v>
                </c:pt>
                <c:pt idx="5">
                  <c:v>433.83739163209788</c:v>
                </c:pt>
                <c:pt idx="6">
                  <c:v>429.36138614072826</c:v>
                </c:pt>
                <c:pt idx="7">
                  <c:v>607.34970997571668</c:v>
                </c:pt>
              </c:numCache>
            </c:numRef>
          </c:val>
          <c:extLst>
            <c:ext xmlns:c16="http://schemas.microsoft.com/office/drawing/2014/chart" uri="{C3380CC4-5D6E-409C-BE32-E72D297353CC}">
              <c16:uniqueId val="{00000002-387C-4BDA-9139-A437BE87E682}"/>
            </c:ext>
          </c:extLst>
        </c:ser>
        <c:ser>
          <c:idx val="3"/>
          <c:order val="3"/>
          <c:tx>
            <c:strRef>
              <c:f>'RIFvMIF (Simple)'!$H$4</c:f>
              <c:strCache>
                <c:ptCount val="1"/>
                <c:pt idx="0">
                  <c:v>Walk Bike</c:v>
                </c:pt>
              </c:strCache>
            </c:strRef>
          </c:tx>
          <c:spPr>
            <a:solidFill>
              <a:schemeClr val="accent6">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(Simple)'!$H$5:$H$12</c:f>
              <c:numCache>
                <c:formatCode>"$"#,##0</c:formatCode>
                <c:ptCount val="8"/>
                <c:pt idx="0">
                  <c:v>110.50661530115225</c:v>
                </c:pt>
                <c:pt idx="1">
                  <c:v>73.462901705404533</c:v>
                </c:pt>
                <c:pt idx="2">
                  <c:v>44.474496941823112</c:v>
                </c:pt>
                <c:pt idx="3">
                  <c:v>42.390266636781412</c:v>
                </c:pt>
                <c:pt idx="4">
                  <c:v>136.53711208930599</c:v>
                </c:pt>
                <c:pt idx="5">
                  <c:v>70.17684694915144</c:v>
                </c:pt>
                <c:pt idx="6">
                  <c:v>41.181568454185559</c:v>
                </c:pt>
                <c:pt idx="7">
                  <c:v>38.850955490641837</c:v>
                </c:pt>
              </c:numCache>
            </c:numRef>
          </c:val>
          <c:extLst>
            <c:ext xmlns:c16="http://schemas.microsoft.com/office/drawing/2014/chart" uri="{C3380CC4-5D6E-409C-BE32-E72D297353CC}">
              <c16:uniqueId val="{00000003-387C-4BDA-9139-A437BE87E682}"/>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(Simple)'!$E$4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(Simple)'!$E$5:$E$12</c:f>
              <c:numCache>
                <c:formatCode>"$"#,##0</c:formatCode>
                <c:ptCount val="8"/>
                <c:pt idx="0">
                  <c:v>9543.67</c:v>
                </c:pt>
                <c:pt idx="1">
                  <c:v>9543.67</c:v>
                </c:pt>
                <c:pt idx="2">
                  <c:v>9543.67</c:v>
                </c:pt>
                <c:pt idx="3">
                  <c:v>9543.67</c:v>
                </c:pt>
                <c:pt idx="4">
                  <c:v>9543.67</c:v>
                </c:pt>
                <c:pt idx="5">
                  <c:v>9543.67</c:v>
                </c:pt>
                <c:pt idx="6">
                  <c:v>9543.67</c:v>
                </c:pt>
                <c:pt idx="7">
                  <c:v>9543.67</c:v>
                </c:pt>
              </c:numCache>
            </c:numRef>
          </c:val>
          <c:smooth val="0"/>
          <c:extLst>
            <c:ext xmlns:c16="http://schemas.microsoft.com/office/drawing/2014/chart" uri="{C3380CC4-5D6E-409C-BE32-E72D297353CC}">
              <c16:uniqueId val="{00000000-387C-4BDA-9139-A437BE87E682}"/>
            </c:ext>
          </c:extLst>
        </c:ser>
        <c:dLbls>
          <c:showLegendKey val="0"/>
          <c:showVal val="0"/>
          <c:showCatName val="0"/>
          <c:showSerName val="0"/>
          <c:showPercent val="0"/>
          <c:showBubbleSize val="0"/>
        </c:dLbls>
        <c:marker val="1"/>
        <c:smooth val="0"/>
        <c:axId val="1254180047"/>
        <c:axId val="1254177551"/>
        <c:extLst>
          <c:ext xmlns:c15="http://schemas.microsoft.com/office/drawing/2012/chart" uri="{02D57815-91ED-43cb-92C2-25804820EDAC}">
            <c15:filteredLineSeries>
              <c15:ser>
                <c:idx val="4"/>
                <c:order val="4"/>
                <c:tx>
                  <c:strRef>
                    <c:extLst>
                      <c:ext uri="{02D57815-91ED-43cb-92C2-25804820EDAC}">
                        <c15:formulaRef>
                          <c15:sqref>'RIFvMIF (Simple)'!$I$4</c15:sqref>
                        </c15:formulaRef>
                      </c:ext>
                    </c:extLst>
                    <c:strCache>
                      <c:ptCount val="1"/>
                      <c:pt idx="0">
                        <c:v>MDMF </c:v>
                      </c:pt>
                    </c:strCache>
                  </c:strRef>
                </c:tx>
                <c:spPr>
                  <a:ln w="28575" cap="rnd">
                    <a:solidFill>
                      <a:schemeClr val="accent5"/>
                    </a:solidFill>
                    <a:round/>
                  </a:ln>
                  <a:effectLst/>
                </c:spPr>
                <c:marker>
                  <c:symbol val="none"/>
                </c:marker>
                <c:cat>
                  <c:strRef>
                    <c:extLst>
                      <c:ext uri="{02D57815-91ED-43cb-92C2-25804820EDAC}">
                        <c15:formulaRef>
                          <c15:sqref>'RIFvMIF (Simple)'!$D$5:$D$12</c15:sqref>
                        </c15:formulaRef>
                      </c:ext>
                    </c:extLst>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extLst>
                      <c:ext uri="{02D57815-91ED-43cb-92C2-25804820EDAC}">
                        <c15:formulaRef>
                          <c15:sqref>'RIFvMIF (Simple)'!$I$5:$I$12</c15:sqref>
                        </c15:formulaRef>
                      </c:ext>
                    </c:extLst>
                    <c:numCache>
                      <c:formatCode>"$"#,##0</c:formatCode>
                      <c:ptCount val="8"/>
                      <c:pt idx="0">
                        <c:v>9538.0028840764662</c:v>
                      </c:pt>
                      <c:pt idx="1">
                        <c:v>10403.237169188493</c:v>
                      </c:pt>
                      <c:pt idx="2">
                        <c:v>10238.879044885038</c:v>
                      </c:pt>
                      <c:pt idx="3">
                        <c:v>9550.048853028884</c:v>
                      </c:pt>
                      <c:pt idx="4">
                        <c:v>7194.4237160360653</c:v>
                      </c:pt>
                      <c:pt idx="5">
                        <c:v>9053.2244196898391</c:v>
                      </c:pt>
                      <c:pt idx="6">
                        <c:v>9958.2768754851477</c:v>
                      </c:pt>
                      <c:pt idx="7">
                        <c:v>10433.389475438586</c:v>
                      </c:pt>
                    </c:numCache>
                  </c:numRef>
                </c:val>
                <c:smooth val="0"/>
                <c:extLst>
                  <c:ext xmlns:c16="http://schemas.microsoft.com/office/drawing/2014/chart" uri="{C3380CC4-5D6E-409C-BE32-E72D297353CC}">
                    <c16:uniqueId val="{00000001-C091-429B-B929-B6E152035EDA}"/>
                  </c:ext>
                </c:extLst>
              </c15:ser>
            </c15:filteredLineSeries>
          </c:ext>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SMART</a:t>
            </a:r>
            <a:r>
              <a:rPr lang="en-US" baseline="0"/>
              <a:t> Plan In Fee by Ring and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'RIFvMIF (Simple)'!$F$4</c:f>
              <c:strCache>
                <c:ptCount val="1"/>
                <c:pt idx="0">
                  <c:v>Road</c:v>
                </c:pt>
              </c:strCache>
            </c:strRef>
          </c:tx>
          <c:spPr>
            <a:solidFill>
              <a:schemeClr val="accent1"/>
            </a:solidFill>
            <a:ln>
              <a:noFill/>
            </a:ln>
            <a:effectLst/>
          </c:spPr>
          <c:invertIfNegative val="0"/>
          <c:cat>
            <c:strRef>
              <c:f>'RIFvMIF (Simple)'!$D$5:$D$8</c:f>
              <c:strCache>
                <c:ptCount val="4"/>
                <c:pt idx="0">
                  <c:v>Ring 1 In</c:v>
                </c:pt>
                <c:pt idx="1">
                  <c:v>Ring 2 In</c:v>
                </c:pt>
                <c:pt idx="2">
                  <c:v>Ring 3 In</c:v>
                </c:pt>
                <c:pt idx="3">
                  <c:v>Ring 4 In</c:v>
                </c:pt>
              </c:strCache>
            </c:strRef>
          </c:cat>
          <c:val>
            <c:numRef>
              <c:f>'RIFvMIF (Simple)'!$F$5:$F$8</c:f>
              <c:numCache>
                <c:formatCode>"$"#,##0</c:formatCode>
                <c:ptCount val="4"/>
                <c:pt idx="0">
                  <c:v>7843.4177405852297</c:v>
                </c:pt>
                <c:pt idx="1">
                  <c:v>8623.2698278700536</c:v>
                </c:pt>
                <c:pt idx="2">
                  <c:v>9218.4896179009975</c:v>
                </c:pt>
                <c:pt idx="3">
                  <c:v>7980.1108238479956</c:v>
                </c:pt>
              </c:numCache>
            </c:numRef>
          </c:val>
          <c:extLst>
            <c:ext xmlns:c16="http://schemas.microsoft.com/office/drawing/2014/chart" uri="{C3380CC4-5D6E-409C-BE32-E72D297353CC}">
              <c16:uniqueId val="{00000000-C273-4DCA-B27E-FAB9E3506793}"/>
            </c:ext>
          </c:extLst>
        </c:ser>
        <c:ser>
          <c:idx val="1"/>
          <c:order val="1"/>
          <c:tx>
            <c:strRef>
              <c:f>'RIFvMIF (Simple)'!$G$4</c:f>
              <c:strCache>
                <c:ptCount val="1"/>
                <c:pt idx="0">
                  <c:v>Transit</c:v>
                </c:pt>
              </c:strCache>
            </c:strRef>
          </c:tx>
          <c:spPr>
            <a:solidFill>
              <a:schemeClr val="accent2"/>
            </a:solidFill>
            <a:ln>
              <a:noFill/>
            </a:ln>
            <a:effectLst/>
          </c:spPr>
          <c:invertIfNegative val="0"/>
          <c:cat>
            <c:strRef>
              <c:f>'RIFvMIF (Simple)'!$D$5:$D$8</c:f>
              <c:strCache>
                <c:ptCount val="4"/>
                <c:pt idx="0">
                  <c:v>Ring 1 In</c:v>
                </c:pt>
                <c:pt idx="1">
                  <c:v>Ring 2 In</c:v>
                </c:pt>
                <c:pt idx="2">
                  <c:v>Ring 3 In</c:v>
                </c:pt>
                <c:pt idx="3">
                  <c:v>Ring 4 In</c:v>
                </c:pt>
              </c:strCache>
            </c:strRef>
          </c:cat>
          <c:val>
            <c:numRef>
              <c:f>'RIFvMIF (Simple)'!$G$5:$G$8</c:f>
              <c:numCache>
                <c:formatCode>"$"#,##0</c:formatCode>
                <c:ptCount val="4"/>
                <c:pt idx="0">
                  <c:v>1584.0785281900839</c:v>
                </c:pt>
                <c:pt idx="1">
                  <c:v>1706.5044396130345</c:v>
                </c:pt>
                <c:pt idx="2">
                  <c:v>975.91493004221707</c:v>
                </c:pt>
                <c:pt idx="3">
                  <c:v>1527.5477625441074</c:v>
                </c:pt>
              </c:numCache>
            </c:numRef>
          </c:val>
          <c:extLst>
            <c:ext xmlns:c16="http://schemas.microsoft.com/office/drawing/2014/chart" uri="{C3380CC4-5D6E-409C-BE32-E72D297353CC}">
              <c16:uniqueId val="{00000001-C273-4DCA-B27E-FAB9E3506793}"/>
            </c:ext>
          </c:extLst>
        </c:ser>
        <c:ser>
          <c:idx val="2"/>
          <c:order val="2"/>
          <c:tx>
            <c:strRef>
              <c:f>'RIFvMIF (Simple)'!$H$4</c:f>
              <c:strCache>
                <c:ptCount val="1"/>
                <c:pt idx="0">
                  <c:v>Walk Bike</c:v>
                </c:pt>
              </c:strCache>
            </c:strRef>
          </c:tx>
          <c:spPr>
            <a:solidFill>
              <a:schemeClr val="accent3"/>
            </a:solidFill>
            <a:ln>
              <a:noFill/>
            </a:ln>
            <a:effectLst/>
          </c:spPr>
          <c:invertIfNegative val="0"/>
          <c:cat>
            <c:strRef>
              <c:f>'RIFvMIF (Simple)'!$D$5:$D$8</c:f>
              <c:strCache>
                <c:ptCount val="4"/>
                <c:pt idx="0">
                  <c:v>Ring 1 In</c:v>
                </c:pt>
                <c:pt idx="1">
                  <c:v>Ring 2 In</c:v>
                </c:pt>
                <c:pt idx="2">
                  <c:v>Ring 3 In</c:v>
                </c:pt>
                <c:pt idx="3">
                  <c:v>Ring 4 In</c:v>
                </c:pt>
              </c:strCache>
            </c:strRef>
          </c:cat>
          <c:val>
            <c:numRef>
              <c:f>'RIFvMIF (Simple)'!$H$5:$H$8</c:f>
              <c:numCache>
                <c:formatCode>"$"#,##0</c:formatCode>
                <c:ptCount val="4"/>
                <c:pt idx="0">
                  <c:v>110.50661530115225</c:v>
                </c:pt>
                <c:pt idx="1">
                  <c:v>73.462901705404533</c:v>
                </c:pt>
                <c:pt idx="2">
                  <c:v>44.474496941823112</c:v>
                </c:pt>
                <c:pt idx="3">
                  <c:v>42.390266636781412</c:v>
                </c:pt>
              </c:numCache>
            </c:numRef>
          </c:val>
          <c:extLst>
            <c:ext xmlns:c16="http://schemas.microsoft.com/office/drawing/2014/chart" uri="{C3380CC4-5D6E-409C-BE32-E72D297353CC}">
              <c16:uniqueId val="{00000002-C273-4DCA-B27E-FAB9E3506793}"/>
            </c:ext>
          </c:extLst>
        </c:ser>
        <c:ser>
          <c:idx val="3"/>
          <c:order val="3"/>
          <c:tx>
            <c:strRef>
              <c:f>[1]Fee_Charts!#REF!</c:f>
              <c:strCache>
                <c:ptCount val="1"/>
                <c:pt idx="0">
                  <c:v>#REF!</c:v>
                </c:pt>
              </c:strCache>
            </c:strRef>
          </c:tx>
          <c:spPr>
            <a:solidFill>
              <a:schemeClr val="accent4"/>
            </a:solidFill>
            <a:ln>
              <a:noFill/>
            </a:ln>
            <a:effectLst/>
          </c:spPr>
          <c:invertIfNegative val="0"/>
          <c:cat>
            <c:strRef>
              <c:f>'RIFvMIF (Simple)'!$D$5:$D$8</c:f>
              <c:strCache>
                <c:ptCount val="4"/>
                <c:pt idx="0">
                  <c:v>Ring 1 In</c:v>
                </c:pt>
                <c:pt idx="1">
                  <c:v>Ring 2 In</c:v>
                </c:pt>
                <c:pt idx="2">
                  <c:v>Ring 3 In</c:v>
                </c:pt>
                <c:pt idx="3">
                  <c:v>Ring 4 In</c:v>
                </c:pt>
              </c:strCache>
            </c:strRef>
          </c:cat>
          <c:val>
            <c:numRef>
              <c:f>[1]Fee_Charts!#REF!</c:f>
              <c:numCache>
                <c:formatCode>General</c:formatCode>
                <c:ptCount val="1"/>
                <c:pt idx="0">
                  <c:v>1</c:v>
                </c:pt>
              </c:numCache>
            </c:numRef>
          </c:val>
          <c:extLst>
            <c:ext xmlns:c16="http://schemas.microsoft.com/office/drawing/2014/chart" uri="{C3380CC4-5D6E-409C-BE32-E72D297353CC}">
              <c16:uniqueId val="{00000003-C273-4DCA-B27E-FAB9E3506793}"/>
            </c:ext>
          </c:extLst>
        </c:ser>
        <c:dLbls>
          <c:showLegendKey val="0"/>
          <c:showVal val="0"/>
          <c:showCatName val="0"/>
          <c:showSerName val="0"/>
          <c:showPercent val="0"/>
          <c:showBubbleSize val="0"/>
        </c:dLbls>
        <c:gapWidth val="150"/>
        <c:overlap val="100"/>
        <c:axId val="1254180047"/>
        <c:axId val="1254177551"/>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SMART</a:t>
            </a:r>
            <a:r>
              <a:rPr lang="en-US" baseline="0"/>
              <a:t> Plan Out Fee by Ring and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'RIFvMIF (Simple)'!$F$4</c:f>
              <c:strCache>
                <c:ptCount val="1"/>
                <c:pt idx="0">
                  <c:v>Road</c:v>
                </c:pt>
              </c:strCache>
            </c:strRef>
          </c:tx>
          <c:spPr>
            <a:solidFill>
              <a:schemeClr val="accent1"/>
            </a:solidFill>
            <a:ln>
              <a:noFill/>
            </a:ln>
            <a:effectLst/>
          </c:spPr>
          <c:invertIfNegative val="0"/>
          <c:cat>
            <c:strRef>
              <c:f>'RIFvMIF (Simple)'!$D$9:$D$12</c:f>
              <c:strCache>
                <c:ptCount val="4"/>
                <c:pt idx="0">
                  <c:v>Ring 1 Out</c:v>
                </c:pt>
                <c:pt idx="1">
                  <c:v>Ring 2 Out</c:v>
                </c:pt>
                <c:pt idx="2">
                  <c:v>Ring 3 Out</c:v>
                </c:pt>
                <c:pt idx="3">
                  <c:v>Ring 4 Out</c:v>
                </c:pt>
              </c:strCache>
              <c:extLst/>
            </c:strRef>
          </c:cat>
          <c:val>
            <c:numRef>
              <c:f>'RIFvMIF (Simple)'!$F$9:$F$12</c:f>
              <c:numCache>
                <c:formatCode>"$"#,##0</c:formatCode>
                <c:ptCount val="4"/>
                <c:pt idx="0">
                  <c:v>6214.0811735644793</c:v>
                </c:pt>
                <c:pt idx="1">
                  <c:v>8549.2101811085904</c:v>
                </c:pt>
                <c:pt idx="2">
                  <c:v>9487.733920890234</c:v>
                </c:pt>
                <c:pt idx="3">
                  <c:v>9787.1888099722273</c:v>
                </c:pt>
              </c:numCache>
              <c:extLst/>
            </c:numRef>
          </c:val>
          <c:extLst>
            <c:ext xmlns:c16="http://schemas.microsoft.com/office/drawing/2014/chart" uri="{C3380CC4-5D6E-409C-BE32-E72D297353CC}">
              <c16:uniqueId val="{00000000-9D04-4468-A957-4EE5B8D2DFB2}"/>
            </c:ext>
          </c:extLst>
        </c:ser>
        <c:ser>
          <c:idx val="1"/>
          <c:order val="1"/>
          <c:tx>
            <c:strRef>
              <c:f>'RIFvMIF (Simple)'!$G$4</c:f>
              <c:strCache>
                <c:ptCount val="1"/>
                <c:pt idx="0">
                  <c:v>Transit</c:v>
                </c:pt>
              </c:strCache>
            </c:strRef>
          </c:tx>
          <c:spPr>
            <a:solidFill>
              <a:schemeClr val="accent2"/>
            </a:solidFill>
            <a:ln>
              <a:noFill/>
            </a:ln>
            <a:effectLst/>
          </c:spPr>
          <c:invertIfNegative val="0"/>
          <c:cat>
            <c:strRef>
              <c:f>'RIFvMIF (Simple)'!$D$9:$D$12</c:f>
              <c:strCache>
                <c:ptCount val="4"/>
                <c:pt idx="0">
                  <c:v>Ring 1 Out</c:v>
                </c:pt>
                <c:pt idx="1">
                  <c:v>Ring 2 Out</c:v>
                </c:pt>
                <c:pt idx="2">
                  <c:v>Ring 3 Out</c:v>
                </c:pt>
                <c:pt idx="3">
                  <c:v>Ring 4 Out</c:v>
                </c:pt>
              </c:strCache>
              <c:extLst/>
            </c:strRef>
          </c:cat>
          <c:val>
            <c:numRef>
              <c:f>'RIFvMIF (Simple)'!$G$9:$G$12</c:f>
              <c:numCache>
                <c:formatCode>"$"#,##0</c:formatCode>
                <c:ptCount val="4"/>
                <c:pt idx="0">
                  <c:v>843.80543038227972</c:v>
                </c:pt>
                <c:pt idx="1">
                  <c:v>433.83739163209788</c:v>
                </c:pt>
                <c:pt idx="2">
                  <c:v>429.36138614072826</c:v>
                </c:pt>
                <c:pt idx="3">
                  <c:v>607.34970997571668</c:v>
                </c:pt>
              </c:numCache>
              <c:extLst/>
            </c:numRef>
          </c:val>
          <c:extLst>
            <c:ext xmlns:c16="http://schemas.microsoft.com/office/drawing/2014/chart" uri="{C3380CC4-5D6E-409C-BE32-E72D297353CC}">
              <c16:uniqueId val="{00000001-9D04-4468-A957-4EE5B8D2DFB2}"/>
            </c:ext>
          </c:extLst>
        </c:ser>
        <c:ser>
          <c:idx val="2"/>
          <c:order val="2"/>
          <c:tx>
            <c:strRef>
              <c:f>'RIFvMIF (Simple)'!$H$4</c:f>
              <c:strCache>
                <c:ptCount val="1"/>
                <c:pt idx="0">
                  <c:v>Walk Bike</c:v>
                </c:pt>
              </c:strCache>
            </c:strRef>
          </c:tx>
          <c:spPr>
            <a:solidFill>
              <a:schemeClr val="accent3"/>
            </a:solidFill>
            <a:ln>
              <a:noFill/>
            </a:ln>
            <a:effectLst/>
          </c:spPr>
          <c:invertIfNegative val="0"/>
          <c:cat>
            <c:strRef>
              <c:f>'RIFvMIF (Simple)'!$D$9:$D$12</c:f>
              <c:strCache>
                <c:ptCount val="4"/>
                <c:pt idx="0">
                  <c:v>Ring 1 Out</c:v>
                </c:pt>
                <c:pt idx="1">
                  <c:v>Ring 2 Out</c:v>
                </c:pt>
                <c:pt idx="2">
                  <c:v>Ring 3 Out</c:v>
                </c:pt>
                <c:pt idx="3">
                  <c:v>Ring 4 Out</c:v>
                </c:pt>
              </c:strCache>
              <c:extLst/>
            </c:strRef>
          </c:cat>
          <c:val>
            <c:numRef>
              <c:f>'RIFvMIF (Simple)'!$H$9:$H$12</c:f>
              <c:numCache>
                <c:formatCode>"$"#,##0</c:formatCode>
                <c:ptCount val="4"/>
                <c:pt idx="0">
                  <c:v>136.53711208930599</c:v>
                </c:pt>
                <c:pt idx="1">
                  <c:v>70.17684694915144</c:v>
                </c:pt>
                <c:pt idx="2">
                  <c:v>41.181568454185559</c:v>
                </c:pt>
                <c:pt idx="3">
                  <c:v>38.850955490641837</c:v>
                </c:pt>
              </c:numCache>
              <c:extLst/>
            </c:numRef>
          </c:val>
          <c:extLst>
            <c:ext xmlns:c16="http://schemas.microsoft.com/office/drawing/2014/chart" uri="{C3380CC4-5D6E-409C-BE32-E72D297353CC}">
              <c16:uniqueId val="{00000002-9D04-4468-A957-4EE5B8D2DFB2}"/>
            </c:ext>
          </c:extLst>
        </c:ser>
        <c:dLbls>
          <c:showLegendKey val="0"/>
          <c:showVal val="0"/>
          <c:showCatName val="0"/>
          <c:showSerName val="0"/>
          <c:showPercent val="0"/>
          <c:showBubbleSize val="0"/>
        </c:dLbls>
        <c:gapWidth val="150"/>
        <c:overlap val="100"/>
        <c:axId val="1254180047"/>
        <c:axId val="1254177551"/>
        <c:extLst>
          <c:ext xmlns:c15="http://schemas.microsoft.com/office/drawing/2012/chart" uri="{02D57815-91ED-43cb-92C2-25804820EDAC}">
            <c15:filteredBarSeries>
              <c15:ser>
                <c:idx val="3"/>
                <c:order val="3"/>
                <c:tx>
                  <c:strRef>
                    <c:extLst>
                      <c:ext uri="{02D57815-91ED-43cb-92C2-25804820EDAC}">
                        <c15:formulaRef>
                          <c15:sqref>[1]Fee_Charts!#REF!</c15:sqref>
                        </c15:formulaRef>
                      </c:ext>
                    </c:extLst>
                    <c:strCache>
                      <c:ptCount val="1"/>
                      <c:pt idx="0">
                        <c:v>#REF!</c:v>
                      </c:pt>
                    </c:strCache>
                  </c:strRef>
                </c:tx>
                <c:spPr>
                  <a:solidFill>
                    <a:schemeClr val="accent4"/>
                  </a:solidFill>
                  <a:ln>
                    <a:noFill/>
                  </a:ln>
                  <a:effectLst/>
                </c:spPr>
                <c:invertIfNegative val="0"/>
                <c:cat>
                  <c:strRef>
                    <c:extLst>
                      <c:ext uri="{02D57815-91ED-43cb-92C2-25804820EDAC}">
                        <c15:formulaRef>
                          <c15:sqref>'RIFvMIF (Simple)'!$D$9:$D$12</c15:sqref>
                        </c15:formulaRef>
                      </c:ext>
                    </c:extLst>
                    <c:strCache>
                      <c:ptCount val="4"/>
                      <c:pt idx="0">
                        <c:v>Ring 1 Out</c:v>
                      </c:pt>
                      <c:pt idx="1">
                        <c:v>Ring 2 Out</c:v>
                      </c:pt>
                      <c:pt idx="2">
                        <c:v>Ring 3 Out</c:v>
                      </c:pt>
                      <c:pt idx="3">
                        <c:v>Ring 4 Out</c:v>
                      </c:pt>
                    </c:strCache>
                  </c:strRef>
                </c:cat>
                <c:val>
                  <c:numRef>
                    <c:extLst>
                      <c:ext uri="{02D57815-91ED-43cb-92C2-25804820EDAC}">
                        <c15:formulaRef>
                          <c15:sqref>[1]Fee_Charts!#REF!</c15:sqref>
                        </c15:formulaRef>
                      </c:ext>
                    </c:extLst>
                    <c:numCache>
                      <c:formatCode>General</c:formatCode>
                      <c:ptCount val="1"/>
                      <c:pt idx="0">
                        <c:v>1</c:v>
                      </c:pt>
                    </c:numCache>
                  </c:numRef>
                </c:val>
                <c:extLst>
                  <c:ext xmlns:c16="http://schemas.microsoft.com/office/drawing/2014/chart" uri="{C3380CC4-5D6E-409C-BE32-E72D297353CC}">
                    <c16:uniqueId val="{00000003-9D04-4468-A957-4EE5B8D2DFB2}"/>
                  </c:ext>
                </c:extLst>
              </c15:ser>
            </c15:filteredBarSeries>
          </c:ext>
        </c:extLst>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Multif</a:t>
            </a:r>
            <a:r>
              <a:rPr lang="en-US" baseline="0"/>
              <a:t>amily Dwelling Unit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(Simple)'!$M$4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(Simple)'!$M$5:$M$12</c:f>
              <c:numCache>
                <c:formatCode>"$"#,##0</c:formatCode>
                <c:ptCount val="8"/>
                <c:pt idx="0">
                  <c:v>6081.9722310470224</c:v>
                </c:pt>
                <c:pt idx="1">
                  <c:v>6686.6880444924582</c:v>
                </c:pt>
                <c:pt idx="2">
                  <c:v>7148.2355935418755</c:v>
                </c:pt>
                <c:pt idx="3">
                  <c:v>6187.9672913736586</c:v>
                </c:pt>
                <c:pt idx="4">
                  <c:v>4818.5459947555082</c:v>
                </c:pt>
                <c:pt idx="5">
                  <c:v>6629.2604370460704</c:v>
                </c:pt>
                <c:pt idx="6">
                  <c:v>7357.0140149275985</c:v>
                </c:pt>
                <c:pt idx="7">
                  <c:v>7589.2184416310083</c:v>
                </c:pt>
              </c:numCache>
            </c:numRef>
          </c:val>
          <c:extLst>
            <c:ext xmlns:c16="http://schemas.microsoft.com/office/drawing/2014/chart" uri="{C3380CC4-5D6E-409C-BE32-E72D297353CC}">
              <c16:uniqueId val="{00000000-1025-4C00-AACD-6FDD69439F75}"/>
            </c:ext>
          </c:extLst>
        </c:ser>
        <c:ser>
          <c:idx val="2"/>
          <c:order val="2"/>
          <c:tx>
            <c:strRef>
              <c:f>'RIFvMIF (Simple)'!$N$4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(Simple)'!$N$5:$N$12</c:f>
              <c:numCache>
                <c:formatCode>"$"#,##0</c:formatCode>
                <c:ptCount val="8"/>
                <c:pt idx="0">
                  <c:v>1228.3320790626501</c:v>
                </c:pt>
                <c:pt idx="1">
                  <c:v>1323.2640358016329</c:v>
                </c:pt>
                <c:pt idx="2">
                  <c:v>756.74759405815985</c:v>
                </c:pt>
                <c:pt idx="3">
                  <c:v>1184.4967819727617</c:v>
                </c:pt>
                <c:pt idx="4">
                  <c:v>654.3067532201577</c:v>
                </c:pt>
                <c:pt idx="5">
                  <c:v>336.40780791810988</c:v>
                </c:pt>
                <c:pt idx="6">
                  <c:v>332.93700704980205</c:v>
                </c:pt>
                <c:pt idx="7">
                  <c:v>470.95337680320415</c:v>
                </c:pt>
              </c:numCache>
            </c:numRef>
          </c:val>
          <c:extLst>
            <c:ext xmlns:c16="http://schemas.microsoft.com/office/drawing/2014/chart" uri="{C3380CC4-5D6E-409C-BE32-E72D297353CC}">
              <c16:uniqueId val="{00000001-1025-4C00-AACD-6FDD69439F75}"/>
            </c:ext>
          </c:extLst>
        </c:ser>
        <c:ser>
          <c:idx val="3"/>
          <c:order val="3"/>
          <c:tx>
            <c:strRef>
              <c:f>'RIFvMIF (Simple)'!$O$4</c:f>
              <c:strCache>
                <c:ptCount val="1"/>
                <c:pt idx="0">
                  <c:v>Walk Bike</c:v>
                </c:pt>
              </c:strCache>
            </c:strRef>
          </c:tx>
          <c:spPr>
            <a:solidFill>
              <a:schemeClr val="accent6">
                <a:lumMod val="40000"/>
                <a:lumOff val="6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(Simple)'!$O$5:$O$12</c:f>
              <c:numCache>
                <c:formatCode>"$"#,##0</c:formatCode>
                <c:ptCount val="8"/>
                <c:pt idx="0">
                  <c:v>85.689451695385017</c:v>
                </c:pt>
                <c:pt idx="1">
                  <c:v>56.964877169868785</c:v>
                </c:pt>
                <c:pt idx="2">
                  <c:v>34.486580255735724</c:v>
                </c:pt>
                <c:pt idx="3">
                  <c:v>32.870418620894064</c:v>
                </c:pt>
                <c:pt idx="4">
                  <c:v>105.87411657772459</c:v>
                </c:pt>
                <c:pt idx="5">
                  <c:v>54.416792337689479</c:v>
                </c:pt>
                <c:pt idx="6">
                  <c:v>31.93316536913542</c:v>
                </c:pt>
                <c:pt idx="7">
                  <c:v>30.125952774523125</c:v>
                </c:pt>
              </c:numCache>
            </c:numRef>
          </c:val>
          <c:extLst>
            <c:ext xmlns:c16="http://schemas.microsoft.com/office/drawing/2014/chart" uri="{C3380CC4-5D6E-409C-BE32-E72D297353CC}">
              <c16:uniqueId val="{00000002-1025-4C00-AACD-6FDD69439F75}"/>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(Simple)'!$L$4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(Simple)'!$L$5:$L$12</c:f>
              <c:numCache>
                <c:formatCode>"$"#,##0</c:formatCode>
                <c:ptCount val="8"/>
                <c:pt idx="0">
                  <c:v>6701.09</c:v>
                </c:pt>
                <c:pt idx="1">
                  <c:v>6701.09</c:v>
                </c:pt>
                <c:pt idx="2">
                  <c:v>6701.09</c:v>
                </c:pt>
                <c:pt idx="3">
                  <c:v>6701.09</c:v>
                </c:pt>
                <c:pt idx="4">
                  <c:v>6701.09</c:v>
                </c:pt>
                <c:pt idx="5">
                  <c:v>6701.09</c:v>
                </c:pt>
                <c:pt idx="6">
                  <c:v>6701.09</c:v>
                </c:pt>
                <c:pt idx="7">
                  <c:v>6701.09</c:v>
                </c:pt>
              </c:numCache>
            </c:numRef>
          </c:val>
          <c:smooth val="0"/>
          <c:extLst>
            <c:ext xmlns:c16="http://schemas.microsoft.com/office/drawing/2014/chart" uri="{C3380CC4-5D6E-409C-BE32-E72D297353CC}">
              <c16:uniqueId val="{00000003-1025-4C00-AACD-6FDD69439F75}"/>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Office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(Simple)'!$T$4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(Simple)'!$T$5:$T$12</c:f>
              <c:numCache>
                <c:formatCode>"$"#,##0</c:formatCode>
                <c:ptCount val="8"/>
                <c:pt idx="0">
                  <c:v>9581.8028319390942</c:v>
                </c:pt>
                <c:pt idx="1">
                  <c:v>12867.107939220752</c:v>
                </c:pt>
                <c:pt idx="2">
                  <c:v>13881.405656956053</c:v>
                </c:pt>
                <c:pt idx="3">
                  <c:v>12056.609100881562</c:v>
                </c:pt>
                <c:pt idx="4">
                  <c:v>11307.487933628559</c:v>
                </c:pt>
                <c:pt idx="5">
                  <c:v>12776.019333675631</c:v>
                </c:pt>
                <c:pt idx="6">
                  <c:v>14211.781616053475</c:v>
                </c:pt>
                <c:pt idx="7">
                  <c:v>14637.596087912672</c:v>
                </c:pt>
              </c:numCache>
            </c:numRef>
          </c:val>
          <c:extLst>
            <c:ext xmlns:c16="http://schemas.microsoft.com/office/drawing/2014/chart" uri="{C3380CC4-5D6E-409C-BE32-E72D297353CC}">
              <c16:uniqueId val="{00000000-3E4E-49A7-844D-A24967A2BB0D}"/>
            </c:ext>
          </c:extLst>
        </c:ser>
        <c:ser>
          <c:idx val="2"/>
          <c:order val="2"/>
          <c:tx>
            <c:strRef>
              <c:f>'RIFvMIF (Simple)'!$U$4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(Simple)'!$U$5:$U$12</c:f>
              <c:numCache>
                <c:formatCode>"$"#,##0</c:formatCode>
                <c:ptCount val="8"/>
                <c:pt idx="0">
                  <c:v>3258.5317003895379</c:v>
                </c:pt>
                <c:pt idx="1">
                  <c:v>2539.0502810276685</c:v>
                </c:pt>
                <c:pt idx="2">
                  <c:v>1485.8622356916092</c:v>
                </c:pt>
                <c:pt idx="3">
                  <c:v>2367.3360263092295</c:v>
                </c:pt>
                <c:pt idx="4">
                  <c:v>885.70137161552498</c:v>
                </c:pt>
                <c:pt idx="5">
                  <c:v>648.00036339396343</c:v>
                </c:pt>
                <c:pt idx="6">
                  <c:v>645.30449782889559</c:v>
                </c:pt>
                <c:pt idx="7">
                  <c:v>935.93426620655282</c:v>
                </c:pt>
              </c:numCache>
            </c:numRef>
          </c:val>
          <c:extLst>
            <c:ext xmlns:c16="http://schemas.microsoft.com/office/drawing/2014/chart" uri="{C3380CC4-5D6E-409C-BE32-E72D297353CC}">
              <c16:uniqueId val="{00000001-3E4E-49A7-844D-A24967A2BB0D}"/>
            </c:ext>
          </c:extLst>
        </c:ser>
        <c:ser>
          <c:idx val="3"/>
          <c:order val="3"/>
          <c:tx>
            <c:strRef>
              <c:f>'RIFvMIF (Simple)'!$V$4</c:f>
              <c:strCache>
                <c:ptCount val="1"/>
                <c:pt idx="0">
                  <c:v>Walk Bike</c:v>
                </c:pt>
              </c:strCache>
            </c:strRef>
          </c:tx>
          <c:spPr>
            <a:solidFill>
              <a:schemeClr val="accent6">
                <a:lumMod val="40000"/>
                <a:lumOff val="6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(Simple)'!$V$5:$V$12</c:f>
              <c:numCache>
                <c:formatCode>"$"#,##0</c:formatCode>
                <c:ptCount val="8"/>
                <c:pt idx="0">
                  <c:v>204.72483355632085</c:v>
                </c:pt>
                <c:pt idx="1">
                  <c:v>109.70941100037857</c:v>
                </c:pt>
                <c:pt idx="2">
                  <c:v>66.708731190167327</c:v>
                </c:pt>
                <c:pt idx="3">
                  <c:v>63.952376738651857</c:v>
                </c:pt>
                <c:pt idx="4">
                  <c:v>163.82651898669513</c:v>
                </c:pt>
                <c:pt idx="5">
                  <c:v>105.48819702380446</c:v>
                </c:pt>
                <c:pt idx="6">
                  <c:v>61.597345057530191</c:v>
                </c:pt>
                <c:pt idx="7">
                  <c:v>58.021850915086219</c:v>
                </c:pt>
              </c:numCache>
            </c:numRef>
          </c:val>
          <c:extLst>
            <c:ext xmlns:c16="http://schemas.microsoft.com/office/drawing/2014/chart" uri="{C3380CC4-5D6E-409C-BE32-E72D297353CC}">
              <c16:uniqueId val="{00000002-3E4E-49A7-844D-A24967A2BB0D}"/>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(Simple)'!$S$4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(Simple)'!$S$5:$S$12</c:f>
              <c:numCache>
                <c:formatCode>"$"#,##0</c:formatCode>
                <c:ptCount val="8"/>
                <c:pt idx="0">
                  <c:v>13259.2</c:v>
                </c:pt>
                <c:pt idx="1">
                  <c:v>13259.2</c:v>
                </c:pt>
                <c:pt idx="2">
                  <c:v>13259.2</c:v>
                </c:pt>
                <c:pt idx="3">
                  <c:v>13259.2</c:v>
                </c:pt>
                <c:pt idx="4">
                  <c:v>13259.2</c:v>
                </c:pt>
                <c:pt idx="5">
                  <c:v>13259.2</c:v>
                </c:pt>
                <c:pt idx="6">
                  <c:v>13259.2</c:v>
                </c:pt>
                <c:pt idx="7">
                  <c:v>13259.2</c:v>
                </c:pt>
              </c:numCache>
            </c:numRef>
          </c:val>
          <c:smooth val="0"/>
          <c:extLst>
            <c:ext xmlns:c16="http://schemas.microsoft.com/office/drawing/2014/chart" uri="{C3380CC4-5D6E-409C-BE32-E72D297353CC}">
              <c16:uniqueId val="{00000003-3E4E-49A7-844D-A24967A2BB0D}"/>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(Simple)'!$AA$4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(Simple)'!$AA$5:$AA$12</c:f>
              <c:numCache>
                <c:formatCode>"$"#,##0</c:formatCode>
                <c:ptCount val="8"/>
                <c:pt idx="0">
                  <c:v>6216.8792775624906</c:v>
                </c:pt>
                <c:pt idx="1">
                  <c:v>8348.4557251438291</c:v>
                </c:pt>
                <c:pt idx="2">
                  <c:v>9006.553848562573</c:v>
                </c:pt>
                <c:pt idx="3">
                  <c:v>7822.5866876633681</c:v>
                </c:pt>
                <c:pt idx="4">
                  <c:v>7336.540800186458</c:v>
                </c:pt>
                <c:pt idx="5">
                  <c:v>8289.3554833450817</c:v>
                </c:pt>
                <c:pt idx="6">
                  <c:v>9220.908859821131</c:v>
                </c:pt>
                <c:pt idx="7">
                  <c:v>9497.1864260181337</c:v>
                </c:pt>
              </c:numCache>
            </c:numRef>
          </c:val>
          <c:extLst>
            <c:ext xmlns:c16="http://schemas.microsoft.com/office/drawing/2014/chart" uri="{C3380CC4-5D6E-409C-BE32-E72D297353CC}">
              <c16:uniqueId val="{00000000-44CD-4AD6-8B4D-C0C6297058F2}"/>
            </c:ext>
          </c:extLst>
        </c:ser>
        <c:ser>
          <c:idx val="2"/>
          <c:order val="2"/>
          <c:tx>
            <c:strRef>
              <c:f>'RIFvMIF (Simple)'!$AB$4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(Simple)'!$AB$5:$AB$12</c:f>
              <c:numCache>
                <c:formatCode>"$"#,##0</c:formatCode>
                <c:ptCount val="8"/>
                <c:pt idx="0">
                  <c:v>2114.2052867030811</c:v>
                </c:pt>
                <c:pt idx="1">
                  <c:v>1647.3903036487011</c:v>
                </c:pt>
                <c:pt idx="2">
                  <c:v>964.05930119879497</c:v>
                </c:pt>
                <c:pt idx="3">
                  <c:v>1535.9784106526613</c:v>
                </c:pt>
                <c:pt idx="4">
                  <c:v>574.66205471803767</c:v>
                </c:pt>
                <c:pt idx="5">
                  <c:v>420.43654014759443</c:v>
                </c:pt>
                <c:pt idx="6">
                  <c:v>418.68740472281837</c:v>
                </c:pt>
                <c:pt idx="7">
                  <c:v>607.25423459403942</c:v>
                </c:pt>
              </c:numCache>
            </c:numRef>
          </c:val>
          <c:extLst>
            <c:ext xmlns:c16="http://schemas.microsoft.com/office/drawing/2014/chart" uri="{C3380CC4-5D6E-409C-BE32-E72D297353CC}">
              <c16:uniqueId val="{00000001-44CD-4AD6-8B4D-C0C6297058F2}"/>
            </c:ext>
          </c:extLst>
        </c:ser>
        <c:ser>
          <c:idx val="3"/>
          <c:order val="3"/>
          <c:tx>
            <c:strRef>
              <c:f>'RIFvMIF (Simple)'!$AC$4</c:f>
              <c:strCache>
                <c:ptCount val="1"/>
                <c:pt idx="0">
                  <c:v>Walk Bike</c:v>
                </c:pt>
              </c:strCache>
            </c:strRef>
          </c:tx>
          <c:spPr>
            <a:solidFill>
              <a:schemeClr val="accent6">
                <a:lumMod val="40000"/>
                <a:lumOff val="6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(Simple)'!$AC$5:$AC$12</c:f>
              <c:numCache>
                <c:formatCode>"$"#,##0</c:formatCode>
                <c:ptCount val="8"/>
                <c:pt idx="0">
                  <c:v>132.82986486595775</c:v>
                </c:pt>
                <c:pt idx="1">
                  <c:v>71.181819931459771</c:v>
                </c:pt>
                <c:pt idx="2">
                  <c:v>43.282056189493709</c:v>
                </c:pt>
                <c:pt idx="3">
                  <c:v>41.493674277258535</c:v>
                </c:pt>
                <c:pt idx="4">
                  <c:v>106.29416080329307</c:v>
                </c:pt>
                <c:pt idx="5">
                  <c:v>68.443005727347199</c:v>
                </c:pt>
                <c:pt idx="6">
                  <c:v>39.965679189782335</c:v>
                </c:pt>
                <c:pt idx="7">
                  <c:v>37.645821869496864</c:v>
                </c:pt>
              </c:numCache>
            </c:numRef>
          </c:val>
          <c:extLst>
            <c:ext xmlns:c16="http://schemas.microsoft.com/office/drawing/2014/chart" uri="{C3380CC4-5D6E-409C-BE32-E72D297353CC}">
              <c16:uniqueId val="{00000002-44CD-4AD6-8B4D-C0C6297058F2}"/>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(Simple)'!$Z$4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(Simple)'!$Z$5:$Z$12</c:f>
              <c:numCache>
                <c:formatCode>"$"#,##0</c:formatCode>
                <c:ptCount val="8"/>
                <c:pt idx="0">
                  <c:v>14048.1</c:v>
                </c:pt>
                <c:pt idx="1">
                  <c:v>14048.1</c:v>
                </c:pt>
                <c:pt idx="2">
                  <c:v>14048.1</c:v>
                </c:pt>
                <c:pt idx="3">
                  <c:v>14048.1</c:v>
                </c:pt>
                <c:pt idx="4">
                  <c:v>14048.1</c:v>
                </c:pt>
                <c:pt idx="5">
                  <c:v>14048.1</c:v>
                </c:pt>
                <c:pt idx="6">
                  <c:v>14048.1</c:v>
                </c:pt>
                <c:pt idx="7">
                  <c:v>14048.1</c:v>
                </c:pt>
              </c:numCache>
            </c:numRef>
          </c:val>
          <c:smooth val="0"/>
          <c:extLst>
            <c:ext xmlns:c16="http://schemas.microsoft.com/office/drawing/2014/chart" uri="{C3380CC4-5D6E-409C-BE32-E72D297353CC}">
              <c16:uniqueId val="{00000003-44CD-4AD6-8B4D-C0C6297058F2}"/>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Single Family Dwelling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(Detailed)'!$F$4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(Detailed)'!$F$5:$F$11</c:f>
              <c:numCache>
                <c:formatCode>"$"#,##0</c:formatCode>
                <c:ptCount val="7"/>
                <c:pt idx="0">
                  <c:v>7843.4177405852297</c:v>
                </c:pt>
                <c:pt idx="1">
                  <c:v>8623.2698278700536</c:v>
                </c:pt>
                <c:pt idx="2">
                  <c:v>9218.4896179009975</c:v>
                </c:pt>
                <c:pt idx="3">
                  <c:v>7980.1108238479956</c:v>
                </c:pt>
                <c:pt idx="4">
                  <c:v>8549.2101811085904</c:v>
                </c:pt>
                <c:pt idx="5">
                  <c:v>9487.733920890234</c:v>
                </c:pt>
                <c:pt idx="6">
                  <c:v>9787.1888099722273</c:v>
                </c:pt>
              </c:numCache>
            </c:numRef>
          </c:val>
          <c:extLst>
            <c:ext xmlns:c16="http://schemas.microsoft.com/office/drawing/2014/chart" uri="{C3380CC4-5D6E-409C-BE32-E72D297353CC}">
              <c16:uniqueId val="{00000000-5BBC-434D-BFE0-AECDB47731DC}"/>
            </c:ext>
          </c:extLst>
        </c:ser>
        <c:ser>
          <c:idx val="2"/>
          <c:order val="2"/>
          <c:tx>
            <c:strRef>
              <c:f>'RIFvMIF (Detailed)'!$G$4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(Detailed)'!$G$5:$G$11</c:f>
              <c:numCache>
                <c:formatCode>"$"#,##0</c:formatCode>
                <c:ptCount val="7"/>
                <c:pt idx="0">
                  <c:v>1584.0785281900839</c:v>
                </c:pt>
                <c:pt idx="1">
                  <c:v>1706.5044396130345</c:v>
                </c:pt>
                <c:pt idx="2">
                  <c:v>975.91493004221707</c:v>
                </c:pt>
                <c:pt idx="3">
                  <c:v>1527.5477625441074</c:v>
                </c:pt>
                <c:pt idx="4">
                  <c:v>433.83739163209788</c:v>
                </c:pt>
                <c:pt idx="5">
                  <c:v>429.36138614072826</c:v>
                </c:pt>
                <c:pt idx="6">
                  <c:v>607.34970997571668</c:v>
                </c:pt>
              </c:numCache>
            </c:numRef>
          </c:val>
          <c:extLst>
            <c:ext xmlns:c16="http://schemas.microsoft.com/office/drawing/2014/chart" uri="{C3380CC4-5D6E-409C-BE32-E72D297353CC}">
              <c16:uniqueId val="{00000001-5BBC-434D-BFE0-AECDB47731DC}"/>
            </c:ext>
          </c:extLst>
        </c:ser>
        <c:ser>
          <c:idx val="3"/>
          <c:order val="3"/>
          <c:tx>
            <c:strRef>
              <c:f>'RIFvMIF (Detailed)'!$H$4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(Detailed)'!$H$5:$H$11</c:f>
              <c:numCache>
                <c:formatCode>"$"#,##0</c:formatCode>
                <c:ptCount val="7"/>
                <c:pt idx="0">
                  <c:v>110.50661530115225</c:v>
                </c:pt>
                <c:pt idx="1">
                  <c:v>73.462901705404533</c:v>
                </c:pt>
                <c:pt idx="2">
                  <c:v>44.474496941823112</c:v>
                </c:pt>
                <c:pt idx="3">
                  <c:v>42.390266636781412</c:v>
                </c:pt>
                <c:pt idx="4">
                  <c:v>70.17684694915144</c:v>
                </c:pt>
                <c:pt idx="5">
                  <c:v>41.181568454185559</c:v>
                </c:pt>
                <c:pt idx="6">
                  <c:v>38.850955490641837</c:v>
                </c:pt>
              </c:numCache>
            </c:numRef>
          </c:val>
          <c:extLst>
            <c:ext xmlns:c16="http://schemas.microsoft.com/office/drawing/2014/chart" uri="{C3380CC4-5D6E-409C-BE32-E72D297353CC}">
              <c16:uniqueId val="{00000002-5BBC-434D-BFE0-AECDB47731DC}"/>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(Detailed)'!$E$4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(Detailed)'!$E$5:$E$11</c:f>
              <c:numCache>
                <c:formatCode>"$"#,##0</c:formatCode>
                <c:ptCount val="7"/>
                <c:pt idx="0">
                  <c:v>9543.67</c:v>
                </c:pt>
                <c:pt idx="1">
                  <c:v>9543.67</c:v>
                </c:pt>
                <c:pt idx="2">
                  <c:v>9543.67</c:v>
                </c:pt>
                <c:pt idx="3">
                  <c:v>9543.67</c:v>
                </c:pt>
                <c:pt idx="4">
                  <c:v>9543.67</c:v>
                </c:pt>
                <c:pt idx="5">
                  <c:v>9543.67</c:v>
                </c:pt>
                <c:pt idx="6">
                  <c:v>9543.67</c:v>
                </c:pt>
              </c:numCache>
            </c:numRef>
          </c:val>
          <c:smooth val="0"/>
          <c:extLst>
            <c:ext xmlns:c16="http://schemas.microsoft.com/office/drawing/2014/chart" uri="{C3380CC4-5D6E-409C-BE32-E72D297353CC}">
              <c16:uniqueId val="{00000003-5BBC-434D-BFE0-AECDB47731DC}"/>
            </c:ext>
          </c:extLst>
        </c:ser>
        <c:dLbls>
          <c:showLegendKey val="0"/>
          <c:showVal val="0"/>
          <c:showCatName val="0"/>
          <c:showSerName val="0"/>
          <c:showPercent val="0"/>
          <c:showBubbleSize val="0"/>
        </c:dLbls>
        <c:marker val="1"/>
        <c:smooth val="0"/>
        <c:axId val="1254180047"/>
        <c:axId val="1254177551"/>
        <c:extLst>
          <c:ext xmlns:c15="http://schemas.microsoft.com/office/drawing/2012/chart" uri="{02D57815-91ED-43cb-92C2-25804820EDAC}">
            <c15:filteredLineSeries>
              <c15:ser>
                <c:idx val="4"/>
                <c:order val="4"/>
                <c:tx>
                  <c:strRef>
                    <c:extLst>
                      <c:ext uri="{02D57815-91ED-43cb-92C2-25804820EDAC}">
                        <c15:formulaRef>
                          <c15:sqref>'RIFvMIF (Detailed)'!$I$4</c15:sqref>
                        </c15:formulaRef>
                      </c:ext>
                    </c:extLst>
                    <c:strCache>
                      <c:ptCount val="1"/>
                      <c:pt idx="0">
                        <c:v>MDMF </c:v>
                      </c:pt>
                    </c:strCache>
                  </c:strRef>
                </c:tx>
                <c:spPr>
                  <a:ln w="28575" cap="rnd">
                    <a:solidFill>
                      <a:schemeClr val="accent5">
                        <a:lumMod val="60000"/>
                      </a:schemeClr>
                    </a:solidFill>
                    <a:round/>
                  </a:ln>
                  <a:effectLst/>
                </c:spPr>
                <c:marker>
                  <c:symbol val="none"/>
                </c:marker>
                <c:cat>
                  <c:strRef>
                    <c:extLst>
                      <c:ext uri="{02D57815-91ED-43cb-92C2-25804820EDAC}">
                        <c15:formulaRef>
                          <c15:sqref>'RIFvMIF (Detailed)'!$D$5:$D$11</c15:sqref>
                        </c15:formulaRef>
                      </c:ext>
                    </c:extLst>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extLst>
                      <c:ext uri="{02D57815-91ED-43cb-92C2-25804820EDAC}">
                        <c15:formulaRef>
                          <c15:sqref>'RIFvMIF (Detailed)'!$I$5:$I$11</c15:sqref>
                        </c15:formulaRef>
                      </c:ext>
                    </c:extLst>
                    <c:numCache>
                      <c:formatCode>"$"#,##0</c:formatCode>
                      <c:ptCount val="7"/>
                      <c:pt idx="0">
                        <c:v>9538.0028840764662</c:v>
                      </c:pt>
                      <c:pt idx="1">
                        <c:v>10403.237169188493</c:v>
                      </c:pt>
                      <c:pt idx="2">
                        <c:v>10238.879044885038</c:v>
                      </c:pt>
                      <c:pt idx="3">
                        <c:v>9550.048853028884</c:v>
                      </c:pt>
                      <c:pt idx="4">
                        <c:v>9053.2244196898391</c:v>
                      </c:pt>
                      <c:pt idx="5">
                        <c:v>9958.2768754851477</c:v>
                      </c:pt>
                      <c:pt idx="6">
                        <c:v>10433.389475438586</c:v>
                      </c:pt>
                    </c:numCache>
                  </c:numRef>
                </c:val>
                <c:smooth val="0"/>
                <c:extLst>
                  <c:ext xmlns:c16="http://schemas.microsoft.com/office/drawing/2014/chart" uri="{C3380CC4-5D6E-409C-BE32-E72D297353CC}">
                    <c16:uniqueId val="{00000004-5BBC-434D-BFE0-AECDB47731DC}"/>
                  </c:ext>
                </c:extLst>
              </c15:ser>
            </c15:filteredLineSeries>
          </c:ext>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SMART Plan In Fee by Ring and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0"/>
          <c:order val="0"/>
          <c:tx>
            <c:strRef>
              <c:f>'RIFvMIF (Detailed)'!$F$4</c:f>
              <c:strCache>
                <c:ptCount val="1"/>
                <c:pt idx="0">
                  <c:v>Road</c:v>
                </c:pt>
              </c:strCache>
            </c:strRef>
          </c:tx>
          <c:spPr>
            <a:solidFill>
              <a:schemeClr val="accent6"/>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'RIFvMIF (Detailed)'!$F$5:$F$8</c:f>
              <c:numCache>
                <c:formatCode>"$"#,##0</c:formatCode>
                <c:ptCount val="4"/>
                <c:pt idx="0">
                  <c:v>7843.4177405852297</c:v>
                </c:pt>
                <c:pt idx="1">
                  <c:v>8623.2698278700536</c:v>
                </c:pt>
                <c:pt idx="2">
                  <c:v>9218.4896179009975</c:v>
                </c:pt>
                <c:pt idx="3">
                  <c:v>7980.1108238479956</c:v>
                </c:pt>
              </c:numCache>
            </c:numRef>
          </c:val>
          <c:extLst>
            <c:ext xmlns:c16="http://schemas.microsoft.com/office/drawing/2014/chart" uri="{C3380CC4-5D6E-409C-BE32-E72D297353CC}">
              <c16:uniqueId val="{00000000-3FA5-1A43-AA4B-DA1BDB98C5E5}"/>
            </c:ext>
          </c:extLst>
        </c:ser>
        <c:ser>
          <c:idx val="1"/>
          <c:order val="1"/>
          <c:tx>
            <c:strRef>
              <c:f>'RIFvMIF (Detailed)'!$G$4</c:f>
              <c:strCache>
                <c:ptCount val="1"/>
                <c:pt idx="0">
                  <c:v>Transit</c:v>
                </c:pt>
              </c:strCache>
            </c:strRef>
          </c:tx>
          <c:spPr>
            <a:solidFill>
              <a:schemeClr val="accent5"/>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'RIFvMIF (Detailed)'!$G$5:$G$8</c:f>
              <c:numCache>
                <c:formatCode>"$"#,##0</c:formatCode>
                <c:ptCount val="4"/>
                <c:pt idx="0">
                  <c:v>1584.0785281900839</c:v>
                </c:pt>
                <c:pt idx="1">
                  <c:v>1706.5044396130345</c:v>
                </c:pt>
                <c:pt idx="2">
                  <c:v>975.91493004221707</c:v>
                </c:pt>
                <c:pt idx="3">
                  <c:v>1527.5477625441074</c:v>
                </c:pt>
              </c:numCache>
            </c:numRef>
          </c:val>
          <c:extLst>
            <c:ext xmlns:c16="http://schemas.microsoft.com/office/drawing/2014/chart" uri="{C3380CC4-5D6E-409C-BE32-E72D297353CC}">
              <c16:uniqueId val="{00000001-3FA5-1A43-AA4B-DA1BDB98C5E5}"/>
            </c:ext>
          </c:extLst>
        </c:ser>
        <c:ser>
          <c:idx val="2"/>
          <c:order val="2"/>
          <c:tx>
            <c:strRef>
              <c:f>'RIFvMIF (Detailed)'!$H$4</c:f>
              <c:strCache>
                <c:ptCount val="1"/>
                <c:pt idx="0">
                  <c:v>Walk Bike</c:v>
                </c:pt>
              </c:strCache>
            </c:strRef>
          </c:tx>
          <c:spPr>
            <a:solidFill>
              <a:schemeClr val="accent4"/>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'RIFvMIF (Detailed)'!$H$5:$H$8</c:f>
              <c:numCache>
                <c:formatCode>"$"#,##0</c:formatCode>
                <c:ptCount val="4"/>
                <c:pt idx="0">
                  <c:v>110.50661530115225</c:v>
                </c:pt>
                <c:pt idx="1">
                  <c:v>73.462901705404533</c:v>
                </c:pt>
                <c:pt idx="2">
                  <c:v>44.474496941823112</c:v>
                </c:pt>
                <c:pt idx="3">
                  <c:v>42.390266636781412</c:v>
                </c:pt>
              </c:numCache>
            </c:numRef>
          </c:val>
          <c:extLst>
            <c:ext xmlns:c16="http://schemas.microsoft.com/office/drawing/2014/chart" uri="{C3380CC4-5D6E-409C-BE32-E72D297353CC}">
              <c16:uniqueId val="{00000002-3FA5-1A43-AA4B-DA1BDB98C5E5}"/>
            </c:ext>
          </c:extLst>
        </c:ser>
        <c:ser>
          <c:idx val="3"/>
          <c:order val="3"/>
          <c:tx>
            <c:strRef>
              <c:f>[1]Fee_Charts!#REF!</c:f>
              <c:strCache>
                <c:ptCount val="1"/>
                <c:pt idx="0">
                  <c:v>#REF!</c:v>
                </c:pt>
              </c:strCache>
            </c:strRef>
          </c:tx>
          <c:spPr>
            <a:solidFill>
              <a:schemeClr val="accent6">
                <a:lumMod val="60000"/>
              </a:schemeClr>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[1]Fee_Charts!#REF!</c:f>
              <c:numCache>
                <c:formatCode>General</c:formatCode>
                <c:ptCount val="1"/>
                <c:pt idx="0">
                  <c:v>1</c:v>
                </c:pt>
              </c:numCache>
            </c:numRef>
          </c:val>
          <c:extLst>
            <c:ext xmlns:c16="http://schemas.microsoft.com/office/drawing/2014/chart" uri="{C3380CC4-5D6E-409C-BE32-E72D297353CC}">
              <c16:uniqueId val="{00000003-3FA5-1A43-AA4B-DA1BDB98C5E5}"/>
            </c:ext>
          </c:extLst>
        </c:ser>
        <c:dLbls>
          <c:showLegendKey val="0"/>
          <c:showVal val="0"/>
          <c:showCatName val="0"/>
          <c:showSerName val="0"/>
          <c:showPercent val="0"/>
          <c:showBubbleSize val="0"/>
        </c:dLbls>
        <c:gapWidth val="150"/>
        <c:overlap val="100"/>
        <c:axId val="1254180047"/>
        <c:axId val="1254177551"/>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SMART</a:t>
            </a:r>
            <a:r>
              <a:rPr lang="en-US" baseline="0"/>
              <a:t> Plan Out Fee by Ring and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'RIFvMIF (Detailed)'!$F$4</c:f>
              <c:strCache>
                <c:ptCount val="1"/>
                <c:pt idx="0">
                  <c:v>Road</c:v>
                </c:pt>
              </c:strCache>
            </c:strRef>
          </c:tx>
          <c:spPr>
            <a:solidFill>
              <a:schemeClr val="accent1"/>
            </a:solidFill>
            <a:ln>
              <a:noFill/>
            </a:ln>
            <a:effectLst/>
          </c:spPr>
          <c:invertIfNegative val="0"/>
          <c:cat>
            <c:strRef>
              <c:f>'RIFvMIF (Detailed)'!$D$8:$D$11</c:f>
              <c:strCache>
                <c:ptCount val="4"/>
                <c:pt idx="0">
                  <c:v>Ring 4 In SMART Plan</c:v>
                </c:pt>
                <c:pt idx="1">
                  <c:v>Ring 2 Out SMART Plan</c:v>
                </c:pt>
                <c:pt idx="2">
                  <c:v>Ring 3 Out SMART Plan</c:v>
                </c:pt>
                <c:pt idx="3">
                  <c:v>Ring 4 Out SMART Plan</c:v>
                </c:pt>
              </c:strCache>
            </c:strRef>
          </c:cat>
          <c:val>
            <c:numRef>
              <c:f>'RIFvMIF (Detailed)'!$F$8:$F$11</c:f>
              <c:numCache>
                <c:formatCode>"$"#,##0</c:formatCode>
                <c:ptCount val="4"/>
                <c:pt idx="0">
                  <c:v>7980.1108238479956</c:v>
                </c:pt>
                <c:pt idx="1">
                  <c:v>8549.2101811085904</c:v>
                </c:pt>
                <c:pt idx="2">
                  <c:v>9487.733920890234</c:v>
                </c:pt>
                <c:pt idx="3">
                  <c:v>9787.1888099722273</c:v>
                </c:pt>
              </c:numCache>
            </c:numRef>
          </c:val>
          <c:extLst>
            <c:ext xmlns:c16="http://schemas.microsoft.com/office/drawing/2014/chart" uri="{C3380CC4-5D6E-409C-BE32-E72D297353CC}">
              <c16:uniqueId val="{00000000-9AB4-0D4E-AF71-A99D286919C9}"/>
            </c:ext>
          </c:extLst>
        </c:ser>
        <c:ser>
          <c:idx val="1"/>
          <c:order val="1"/>
          <c:tx>
            <c:strRef>
              <c:f>'RIFvMIF (Detailed)'!$G$4</c:f>
              <c:strCache>
                <c:ptCount val="1"/>
                <c:pt idx="0">
                  <c:v>Transit</c:v>
                </c:pt>
              </c:strCache>
            </c:strRef>
          </c:tx>
          <c:spPr>
            <a:solidFill>
              <a:schemeClr val="accent2"/>
            </a:solidFill>
            <a:ln>
              <a:noFill/>
            </a:ln>
            <a:effectLst/>
          </c:spPr>
          <c:invertIfNegative val="0"/>
          <c:cat>
            <c:strRef>
              <c:f>'RIFvMIF (Detailed)'!$D$8:$D$11</c:f>
              <c:strCache>
                <c:ptCount val="4"/>
                <c:pt idx="0">
                  <c:v>Ring 4 In SMART Plan</c:v>
                </c:pt>
                <c:pt idx="1">
                  <c:v>Ring 2 Out SMART Plan</c:v>
                </c:pt>
                <c:pt idx="2">
                  <c:v>Ring 3 Out SMART Plan</c:v>
                </c:pt>
                <c:pt idx="3">
                  <c:v>Ring 4 Out SMART Plan</c:v>
                </c:pt>
              </c:strCache>
            </c:strRef>
          </c:cat>
          <c:val>
            <c:numRef>
              <c:f>'RIFvMIF (Detailed)'!$G$8:$G$11</c:f>
              <c:numCache>
                <c:formatCode>"$"#,##0</c:formatCode>
                <c:ptCount val="4"/>
                <c:pt idx="0">
                  <c:v>1527.5477625441074</c:v>
                </c:pt>
                <c:pt idx="1">
                  <c:v>433.83739163209788</c:v>
                </c:pt>
                <c:pt idx="2">
                  <c:v>429.36138614072826</c:v>
                </c:pt>
                <c:pt idx="3">
                  <c:v>607.34970997571668</c:v>
                </c:pt>
              </c:numCache>
            </c:numRef>
          </c:val>
          <c:extLst>
            <c:ext xmlns:c16="http://schemas.microsoft.com/office/drawing/2014/chart" uri="{C3380CC4-5D6E-409C-BE32-E72D297353CC}">
              <c16:uniqueId val="{00000001-9AB4-0D4E-AF71-A99D286919C9}"/>
            </c:ext>
          </c:extLst>
        </c:ser>
        <c:ser>
          <c:idx val="2"/>
          <c:order val="2"/>
          <c:tx>
            <c:strRef>
              <c:f>'RIFvMIF (Detailed)'!$H$4</c:f>
              <c:strCache>
                <c:ptCount val="1"/>
                <c:pt idx="0">
                  <c:v>Walk Bike</c:v>
                </c:pt>
              </c:strCache>
            </c:strRef>
          </c:tx>
          <c:spPr>
            <a:solidFill>
              <a:schemeClr val="accent3"/>
            </a:solidFill>
            <a:ln>
              <a:noFill/>
            </a:ln>
            <a:effectLst/>
          </c:spPr>
          <c:invertIfNegative val="0"/>
          <c:cat>
            <c:strRef>
              <c:f>'RIFvMIF (Detailed)'!$D$8:$D$11</c:f>
              <c:strCache>
                <c:ptCount val="4"/>
                <c:pt idx="0">
                  <c:v>Ring 4 In SMART Plan</c:v>
                </c:pt>
                <c:pt idx="1">
                  <c:v>Ring 2 Out SMART Plan</c:v>
                </c:pt>
                <c:pt idx="2">
                  <c:v>Ring 3 Out SMART Plan</c:v>
                </c:pt>
                <c:pt idx="3">
                  <c:v>Ring 4 Out SMART Plan</c:v>
                </c:pt>
              </c:strCache>
            </c:strRef>
          </c:cat>
          <c:val>
            <c:numRef>
              <c:f>'RIFvMIF (Detailed)'!$H$8:$H$11</c:f>
              <c:numCache>
                <c:formatCode>"$"#,##0</c:formatCode>
                <c:ptCount val="4"/>
                <c:pt idx="0">
                  <c:v>42.390266636781412</c:v>
                </c:pt>
                <c:pt idx="1">
                  <c:v>70.17684694915144</c:v>
                </c:pt>
                <c:pt idx="2">
                  <c:v>41.181568454185559</c:v>
                </c:pt>
                <c:pt idx="3">
                  <c:v>38.850955490641837</c:v>
                </c:pt>
              </c:numCache>
            </c:numRef>
          </c:val>
          <c:extLst>
            <c:ext xmlns:c16="http://schemas.microsoft.com/office/drawing/2014/chart" uri="{C3380CC4-5D6E-409C-BE32-E72D297353CC}">
              <c16:uniqueId val="{00000002-9AB4-0D4E-AF71-A99D286919C9}"/>
            </c:ext>
          </c:extLst>
        </c:ser>
        <c:dLbls>
          <c:showLegendKey val="0"/>
          <c:showVal val="0"/>
          <c:showCatName val="0"/>
          <c:showSerName val="0"/>
          <c:showPercent val="0"/>
          <c:showBubbleSize val="0"/>
        </c:dLbls>
        <c:gapWidth val="150"/>
        <c:overlap val="100"/>
        <c:axId val="1254180047"/>
        <c:axId val="1254177551"/>
        <c:extLst>
          <c:ext xmlns:c15="http://schemas.microsoft.com/office/drawing/2012/chart" uri="{02D57815-91ED-43cb-92C2-25804820EDAC}">
            <c15:filteredBarSeries>
              <c15:ser>
                <c:idx val="3"/>
                <c:order val="3"/>
                <c:tx>
                  <c:strRef>
                    <c:extLst>
                      <c:ext uri="{02D57815-91ED-43cb-92C2-25804820EDAC}">
                        <c15:formulaRef>
                          <c15:sqref>[1]Fee_Charts!#REF!</c15:sqref>
                        </c15:formulaRef>
                      </c:ext>
                    </c:extLst>
                    <c:strCache>
                      <c:ptCount val="1"/>
                      <c:pt idx="0">
                        <c:v>#REF!</c:v>
                      </c:pt>
                    </c:strCache>
                  </c:strRef>
                </c:tx>
                <c:spPr>
                  <a:solidFill>
                    <a:schemeClr val="accent4"/>
                  </a:solidFill>
                  <a:ln>
                    <a:noFill/>
                  </a:ln>
                  <a:effectLst/>
                </c:spPr>
                <c:invertIfNegative val="0"/>
                <c:cat>
                  <c:strRef>
                    <c:extLst>
                      <c:ext uri="{02D57815-91ED-43cb-92C2-25804820EDAC}">
                        <c15:formulaRef>
                          <c15:sqref>'RIFvMIF (Simple)'!$D$9:$D$12</c15:sqref>
                        </c15:formulaRef>
                      </c:ext>
                    </c:extLst>
                    <c:strCache>
                      <c:ptCount val="4"/>
                      <c:pt idx="0">
                        <c:v>Ring 1 Out</c:v>
                      </c:pt>
                      <c:pt idx="1">
                        <c:v>Ring 2 Out</c:v>
                      </c:pt>
                      <c:pt idx="2">
                        <c:v>Ring 3 Out</c:v>
                      </c:pt>
                      <c:pt idx="3">
                        <c:v>Ring 4 Out</c:v>
                      </c:pt>
                    </c:strCache>
                  </c:strRef>
                </c:cat>
                <c:val>
                  <c:numRef>
                    <c:extLst>
                      <c:ext uri="{02D57815-91ED-43cb-92C2-25804820EDAC}">
                        <c15:formulaRef>
                          <c15:sqref>[1]Fee_Charts!#REF!</c15:sqref>
                        </c15:formulaRef>
                      </c:ext>
                    </c:extLst>
                    <c:numCache>
                      <c:formatCode>General</c:formatCode>
                      <c:ptCount val="1"/>
                      <c:pt idx="0">
                        <c:v>1</c:v>
                      </c:pt>
                    </c:numCache>
                  </c:numRef>
                </c:val>
                <c:extLst>
                  <c:ext xmlns:c16="http://schemas.microsoft.com/office/drawing/2014/chart" uri="{C3380CC4-5D6E-409C-BE32-E72D297353CC}">
                    <c16:uniqueId val="{00000003-9AB4-0D4E-AF71-A99D286919C9}"/>
                  </c:ext>
                </c:extLst>
              </c15:ser>
            </c15:filteredBarSeries>
          </c:ext>
        </c:extLst>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Multifamily Dwelling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(Detailed)'!$M$4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(Detailed)'!$M$5:$M$11</c:f>
              <c:numCache>
                <c:formatCode>"$"#,##0</c:formatCode>
                <c:ptCount val="7"/>
                <c:pt idx="0">
                  <c:v>6081.9722310470224</c:v>
                </c:pt>
                <c:pt idx="1">
                  <c:v>6686.6880444924582</c:v>
                </c:pt>
                <c:pt idx="2">
                  <c:v>7148.2355935418755</c:v>
                </c:pt>
                <c:pt idx="3">
                  <c:v>6187.9672913736586</c:v>
                </c:pt>
                <c:pt idx="4">
                  <c:v>6629.2604370460704</c:v>
                </c:pt>
                <c:pt idx="5">
                  <c:v>7357.0140149275985</c:v>
                </c:pt>
                <c:pt idx="6">
                  <c:v>7589.2184416310083</c:v>
                </c:pt>
              </c:numCache>
            </c:numRef>
          </c:val>
          <c:extLst>
            <c:ext xmlns:c16="http://schemas.microsoft.com/office/drawing/2014/chart" uri="{C3380CC4-5D6E-409C-BE32-E72D297353CC}">
              <c16:uniqueId val="{00000000-1844-1941-BD37-5B1F1E1F8007}"/>
            </c:ext>
          </c:extLst>
        </c:ser>
        <c:ser>
          <c:idx val="2"/>
          <c:order val="2"/>
          <c:tx>
            <c:strRef>
              <c:f>'RIFvMIF (Detailed)'!$N$4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(Detailed)'!$N$5:$N$11</c:f>
              <c:numCache>
                <c:formatCode>"$"#,##0</c:formatCode>
                <c:ptCount val="7"/>
                <c:pt idx="0">
                  <c:v>1228.3320790626501</c:v>
                </c:pt>
                <c:pt idx="1">
                  <c:v>1323.2640358016329</c:v>
                </c:pt>
                <c:pt idx="2">
                  <c:v>756.74759405815985</c:v>
                </c:pt>
                <c:pt idx="3">
                  <c:v>1184.4967819727617</c:v>
                </c:pt>
                <c:pt idx="4">
                  <c:v>336.40780791810988</c:v>
                </c:pt>
                <c:pt idx="5">
                  <c:v>332.93700704980205</c:v>
                </c:pt>
                <c:pt idx="6">
                  <c:v>470.95337680320415</c:v>
                </c:pt>
              </c:numCache>
            </c:numRef>
          </c:val>
          <c:extLst>
            <c:ext xmlns:c16="http://schemas.microsoft.com/office/drawing/2014/chart" uri="{C3380CC4-5D6E-409C-BE32-E72D297353CC}">
              <c16:uniqueId val="{00000001-1844-1941-BD37-5B1F1E1F8007}"/>
            </c:ext>
          </c:extLst>
        </c:ser>
        <c:ser>
          <c:idx val="3"/>
          <c:order val="3"/>
          <c:tx>
            <c:strRef>
              <c:f>'RIFvMIF (Detailed)'!$O$4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(Detailed)'!$O$5:$O$11</c:f>
              <c:numCache>
                <c:formatCode>"$"#,##0</c:formatCode>
                <c:ptCount val="7"/>
                <c:pt idx="0">
                  <c:v>85.689451695385017</c:v>
                </c:pt>
                <c:pt idx="1">
                  <c:v>56.964877169868785</c:v>
                </c:pt>
                <c:pt idx="2">
                  <c:v>34.486580255735724</c:v>
                </c:pt>
                <c:pt idx="3">
                  <c:v>32.870418620894064</c:v>
                </c:pt>
                <c:pt idx="4">
                  <c:v>54.416792337689479</c:v>
                </c:pt>
                <c:pt idx="5">
                  <c:v>31.93316536913542</c:v>
                </c:pt>
                <c:pt idx="6">
                  <c:v>30.125952774523125</c:v>
                </c:pt>
              </c:numCache>
            </c:numRef>
          </c:val>
          <c:extLst>
            <c:ext xmlns:c16="http://schemas.microsoft.com/office/drawing/2014/chart" uri="{C3380CC4-5D6E-409C-BE32-E72D297353CC}">
              <c16:uniqueId val="{00000002-1844-1941-BD37-5B1F1E1F8007}"/>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(Detailed)'!$L$4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(Detailed)'!$L$5:$L$11</c:f>
              <c:numCache>
                <c:formatCode>"$"#,##0</c:formatCode>
                <c:ptCount val="7"/>
                <c:pt idx="0">
                  <c:v>6701.09</c:v>
                </c:pt>
                <c:pt idx="1">
                  <c:v>6701.09</c:v>
                </c:pt>
                <c:pt idx="2">
                  <c:v>6701.09</c:v>
                </c:pt>
                <c:pt idx="3">
                  <c:v>6701.09</c:v>
                </c:pt>
                <c:pt idx="4">
                  <c:v>6701.09</c:v>
                </c:pt>
                <c:pt idx="5">
                  <c:v>6701.09</c:v>
                </c:pt>
                <c:pt idx="6">
                  <c:v>6701.09</c:v>
                </c:pt>
              </c:numCache>
            </c:numRef>
          </c:val>
          <c:smooth val="0"/>
          <c:extLst>
            <c:ext xmlns:c16="http://schemas.microsoft.com/office/drawing/2014/chart" uri="{C3380CC4-5D6E-409C-BE32-E72D297353CC}">
              <c16:uniqueId val="{00000003-1844-1941-BD37-5B1F1E1F8007}"/>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Office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(Detailed)'!$T$4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(Detailed)'!$T$5:$T$11</c:f>
              <c:numCache>
                <c:formatCode>"$"#,##0</c:formatCode>
                <c:ptCount val="7"/>
                <c:pt idx="0">
                  <c:v>9581.8028319390942</c:v>
                </c:pt>
                <c:pt idx="1">
                  <c:v>12867.107939220752</c:v>
                </c:pt>
                <c:pt idx="2">
                  <c:v>13881.405656956053</c:v>
                </c:pt>
                <c:pt idx="3">
                  <c:v>12056.609100881562</c:v>
                </c:pt>
                <c:pt idx="4">
                  <c:v>12776.019333675631</c:v>
                </c:pt>
                <c:pt idx="5">
                  <c:v>14211.781616053475</c:v>
                </c:pt>
                <c:pt idx="6">
                  <c:v>14637.596087912672</c:v>
                </c:pt>
              </c:numCache>
            </c:numRef>
          </c:val>
          <c:extLst>
            <c:ext xmlns:c16="http://schemas.microsoft.com/office/drawing/2014/chart" uri="{C3380CC4-5D6E-409C-BE32-E72D297353CC}">
              <c16:uniqueId val="{00000000-C676-824A-80C6-1FDFF3A8C120}"/>
            </c:ext>
          </c:extLst>
        </c:ser>
        <c:ser>
          <c:idx val="2"/>
          <c:order val="2"/>
          <c:tx>
            <c:strRef>
              <c:f>'RIFvMIF (Detailed)'!$U$4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(Detailed)'!$U$5:$U$11</c:f>
              <c:numCache>
                <c:formatCode>"$"#,##0</c:formatCode>
                <c:ptCount val="7"/>
                <c:pt idx="0">
                  <c:v>3258.5317003895379</c:v>
                </c:pt>
                <c:pt idx="1">
                  <c:v>2539.0502810276685</c:v>
                </c:pt>
                <c:pt idx="2">
                  <c:v>1485.8622356916092</c:v>
                </c:pt>
                <c:pt idx="3">
                  <c:v>2367.3360263092295</c:v>
                </c:pt>
                <c:pt idx="4">
                  <c:v>648.00036339396343</c:v>
                </c:pt>
                <c:pt idx="5">
                  <c:v>645.30449782889559</c:v>
                </c:pt>
                <c:pt idx="6">
                  <c:v>935.93426620655282</c:v>
                </c:pt>
              </c:numCache>
            </c:numRef>
          </c:val>
          <c:extLst>
            <c:ext xmlns:c16="http://schemas.microsoft.com/office/drawing/2014/chart" uri="{C3380CC4-5D6E-409C-BE32-E72D297353CC}">
              <c16:uniqueId val="{00000001-C676-824A-80C6-1FDFF3A8C120}"/>
            </c:ext>
          </c:extLst>
        </c:ser>
        <c:ser>
          <c:idx val="3"/>
          <c:order val="3"/>
          <c:tx>
            <c:strRef>
              <c:f>'RIFvMIF (Detailed)'!$V$4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(Detailed)'!$V$5:$V$11</c:f>
              <c:numCache>
                <c:formatCode>"$"#,##0</c:formatCode>
                <c:ptCount val="7"/>
                <c:pt idx="0">
                  <c:v>204.72483355632085</c:v>
                </c:pt>
                <c:pt idx="1">
                  <c:v>109.70941100037857</c:v>
                </c:pt>
                <c:pt idx="2">
                  <c:v>66.708731190167327</c:v>
                </c:pt>
                <c:pt idx="3">
                  <c:v>63.952376738651857</c:v>
                </c:pt>
                <c:pt idx="4">
                  <c:v>105.48819702380446</c:v>
                </c:pt>
                <c:pt idx="5">
                  <c:v>61.597345057530191</c:v>
                </c:pt>
                <c:pt idx="6">
                  <c:v>58.021850915086219</c:v>
                </c:pt>
              </c:numCache>
            </c:numRef>
          </c:val>
          <c:extLst>
            <c:ext xmlns:c16="http://schemas.microsoft.com/office/drawing/2014/chart" uri="{C3380CC4-5D6E-409C-BE32-E72D297353CC}">
              <c16:uniqueId val="{00000002-C676-824A-80C6-1FDFF3A8C120}"/>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(Detailed)'!$S$4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(Detailed)'!$S$5:$S$11</c:f>
              <c:numCache>
                <c:formatCode>"$"#,##0</c:formatCode>
                <c:ptCount val="7"/>
                <c:pt idx="0">
                  <c:v>13259.2</c:v>
                </c:pt>
                <c:pt idx="1">
                  <c:v>13259.2</c:v>
                </c:pt>
                <c:pt idx="2">
                  <c:v>13259.2</c:v>
                </c:pt>
                <c:pt idx="3">
                  <c:v>13259.2</c:v>
                </c:pt>
                <c:pt idx="4">
                  <c:v>13259.2</c:v>
                </c:pt>
                <c:pt idx="5">
                  <c:v>13259.2</c:v>
                </c:pt>
                <c:pt idx="6">
                  <c:v>13259.2</c:v>
                </c:pt>
              </c:numCache>
            </c:numRef>
          </c:val>
          <c:smooth val="0"/>
          <c:extLst>
            <c:ext xmlns:c16="http://schemas.microsoft.com/office/drawing/2014/chart" uri="{C3380CC4-5D6E-409C-BE32-E72D297353CC}">
              <c16:uniqueId val="{00000003-C676-824A-80C6-1FDFF3A8C120}"/>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Retail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(Detailed)'!$AA$4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(Detailed)'!$AA$5:$AA$11</c:f>
              <c:numCache>
                <c:formatCode>"$"#,##0</c:formatCode>
                <c:ptCount val="7"/>
                <c:pt idx="0">
                  <c:v>4636.941654720802</c:v>
                </c:pt>
                <c:pt idx="1">
                  <c:v>6226.8061476158637</c:v>
                </c:pt>
                <c:pt idx="2">
                  <c:v>6717.6573392076716</c:v>
                </c:pt>
                <c:pt idx="3">
                  <c:v>5834.5797690819145</c:v>
                </c:pt>
                <c:pt idx="4">
                  <c:v>8289.3554833450817</c:v>
                </c:pt>
                <c:pt idx="5">
                  <c:v>6877.5368601419523</c:v>
                </c:pt>
                <c:pt idx="6">
                  <c:v>7083.6021378750038</c:v>
                </c:pt>
              </c:numCache>
            </c:numRef>
          </c:val>
          <c:extLst>
            <c:ext xmlns:c16="http://schemas.microsoft.com/office/drawing/2014/chart" uri="{C3380CC4-5D6E-409C-BE32-E72D297353CC}">
              <c16:uniqueId val="{00000000-F74D-9F41-B7C2-695A5DC58E64}"/>
            </c:ext>
          </c:extLst>
        </c:ser>
        <c:ser>
          <c:idx val="2"/>
          <c:order val="2"/>
          <c:tx>
            <c:strRef>
              <c:f>'RIFvMIF (Detailed)'!$AB$4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(Detailed)'!$AB$5:$AB$11</c:f>
              <c:numCache>
                <c:formatCode>"$"#,##0</c:formatCode>
                <c:ptCount val="7"/>
                <c:pt idx="0">
                  <c:v>1576.907982744066</c:v>
                </c:pt>
                <c:pt idx="1">
                  <c:v>1228.7278519532151</c:v>
                </c:pt>
                <c:pt idx="2">
                  <c:v>719.05638372029443</c:v>
                </c:pt>
                <c:pt idx="3">
                  <c:v>1145.6298176501928</c:v>
                </c:pt>
                <c:pt idx="4">
                  <c:v>420.43654014759443</c:v>
                </c:pt>
                <c:pt idx="5">
                  <c:v>312.28353979351795</c:v>
                </c:pt>
                <c:pt idx="6">
                  <c:v>452.92860447801985</c:v>
                </c:pt>
              </c:numCache>
            </c:numRef>
          </c:val>
          <c:extLst>
            <c:ext xmlns:c16="http://schemas.microsoft.com/office/drawing/2014/chart" uri="{C3380CC4-5D6E-409C-BE32-E72D297353CC}">
              <c16:uniqueId val="{00000001-F74D-9F41-B7C2-695A5DC58E64}"/>
            </c:ext>
          </c:extLst>
        </c:ser>
        <c:ser>
          <c:idx val="3"/>
          <c:order val="3"/>
          <c:tx>
            <c:strRef>
              <c:f>'RIFvMIF (Detailed)'!$AC$4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(Detailed)'!$AC$5:$AC$11</c:f>
              <c:numCache>
                <c:formatCode>"$"#,##0</c:formatCode>
                <c:ptCount val="7"/>
                <c:pt idx="0">
                  <c:v>99.072911969007336</c:v>
                </c:pt>
                <c:pt idx="1">
                  <c:v>53.091902088282673</c:v>
                </c:pt>
                <c:pt idx="2">
                  <c:v>32.282494204345973</c:v>
                </c:pt>
                <c:pt idx="3">
                  <c:v>30.948605895894872</c:v>
                </c:pt>
                <c:pt idx="4">
                  <c:v>68.443005727347199</c:v>
                </c:pt>
                <c:pt idx="5">
                  <c:v>29.80893054545038</c:v>
                </c:pt>
                <c:pt idx="6">
                  <c:v>28.07863427280693</c:v>
                </c:pt>
              </c:numCache>
            </c:numRef>
          </c:val>
          <c:extLst>
            <c:ext xmlns:c16="http://schemas.microsoft.com/office/drawing/2014/chart" uri="{C3380CC4-5D6E-409C-BE32-E72D297353CC}">
              <c16:uniqueId val="{00000002-F74D-9F41-B7C2-695A5DC58E64}"/>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(Detailed)'!$Z$4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(Detailed)'!$Z$5:$Z$11</c:f>
              <c:numCache>
                <c:formatCode>"$"#,##0</c:formatCode>
                <c:ptCount val="7"/>
                <c:pt idx="0">
                  <c:v>14048.1</c:v>
                </c:pt>
                <c:pt idx="1">
                  <c:v>14048.1</c:v>
                </c:pt>
                <c:pt idx="2">
                  <c:v>14155</c:v>
                </c:pt>
                <c:pt idx="3">
                  <c:v>14155</c:v>
                </c:pt>
                <c:pt idx="4">
                  <c:v>14048.1</c:v>
                </c:pt>
                <c:pt idx="5">
                  <c:v>14155</c:v>
                </c:pt>
                <c:pt idx="6">
                  <c:v>14155</c:v>
                </c:pt>
              </c:numCache>
            </c:numRef>
          </c:val>
          <c:smooth val="0"/>
          <c:extLst>
            <c:ext xmlns:c16="http://schemas.microsoft.com/office/drawing/2014/chart" uri="{C3380CC4-5D6E-409C-BE32-E72D297353CC}">
              <c16:uniqueId val="{00000003-F74D-9F41-B7C2-695A5DC58E64}"/>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0</xdr:col>
      <xdr:colOff>250825</xdr:colOff>
      <xdr:row>0</xdr:row>
      <xdr:rowOff>38100</xdr:rowOff>
    </xdr:from>
    <xdr:to>
      <xdr:col>13</xdr:col>
      <xdr:colOff>450850</xdr:colOff>
      <xdr:row>36</xdr:row>
      <xdr:rowOff>187325</xdr:rowOff>
    </xdr:to>
    <xdr:pic>
      <xdr:nvPicPr>
        <xdr:cNvPr id="3" name="Picture 2">
          <a:extLst>
            <a:ext uri="{FF2B5EF4-FFF2-40B4-BE49-F238E27FC236}">
              <a16:creationId xmlns:a16="http://schemas.microsoft.com/office/drawing/2014/main" id="{5E70E4FF-09FF-47D7-875C-CDE1897A9E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50825" y="38100"/>
          <a:ext cx="7464425" cy="74644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23813</xdr:colOff>
      <xdr:row>17</xdr:row>
      <xdr:rowOff>34018</xdr:rowOff>
    </xdr:from>
    <xdr:to>
      <xdr:col>9</xdr:col>
      <xdr:colOff>30617</xdr:colOff>
      <xdr:row>32</xdr:row>
      <xdr:rowOff>62593</xdr:rowOff>
    </xdr:to>
    <xdr:graphicFrame macro="">
      <xdr:nvGraphicFramePr>
        <xdr:cNvPr id="4" name="Chart 1">
          <a:extLst>
            <a:ext uri="{FF2B5EF4-FFF2-40B4-BE49-F238E27FC236}">
              <a16:creationId xmlns:a16="http://schemas.microsoft.com/office/drawing/2014/main" id="{7AEAE329-2E69-42A3-A725-DA6F48D199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34</xdr:row>
      <xdr:rowOff>0</xdr:rowOff>
    </xdr:from>
    <xdr:to>
      <xdr:col>9</xdr:col>
      <xdr:colOff>385762</xdr:colOff>
      <xdr:row>49</xdr:row>
      <xdr:rowOff>28575</xdr:rowOff>
    </xdr:to>
    <xdr:graphicFrame macro="">
      <xdr:nvGraphicFramePr>
        <xdr:cNvPr id="7" name="Chart 2">
          <a:extLst>
            <a:ext uri="{FF2B5EF4-FFF2-40B4-BE49-F238E27FC236}">
              <a16:creationId xmlns:a16="http://schemas.microsoft.com/office/drawing/2014/main" id="{2CAC5685-4BD9-4FE0-AB4E-B9791DB6D8F1}"/>
            </a:ext>
            <a:ext uri="{147F2762-F138-4A5C-976F-8EAC2B608ADB}">
              <a16:predDERef xmlns:a16="http://schemas.microsoft.com/office/drawing/2014/main" pred="{7AEAE329-2E69-42A3-A725-DA6F48D199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51</xdr:row>
      <xdr:rowOff>0</xdr:rowOff>
    </xdr:from>
    <xdr:to>
      <xdr:col>9</xdr:col>
      <xdr:colOff>385762</xdr:colOff>
      <xdr:row>66</xdr:row>
      <xdr:rowOff>28575</xdr:rowOff>
    </xdr:to>
    <xdr:graphicFrame macro="">
      <xdr:nvGraphicFramePr>
        <xdr:cNvPr id="6" name="Chart 3">
          <a:extLst>
            <a:ext uri="{FF2B5EF4-FFF2-40B4-BE49-F238E27FC236}">
              <a16:creationId xmlns:a16="http://schemas.microsoft.com/office/drawing/2014/main" id="{FE488972-8933-4EE4-94B2-F2EA31F6E184}"/>
            </a:ext>
            <a:ext uri="{147F2762-F138-4A5C-976F-8EAC2B608ADB}">
              <a16:predDERef xmlns:a16="http://schemas.microsoft.com/office/drawing/2014/main" pred="{2CAC5685-4BD9-4FE0-AB4E-B9791DB6D8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533400</xdr:colOff>
      <xdr:row>38</xdr:row>
      <xdr:rowOff>138113</xdr:rowOff>
    </xdr:from>
    <xdr:to>
      <xdr:col>9</xdr:col>
      <xdr:colOff>209550</xdr:colOff>
      <xdr:row>38</xdr:row>
      <xdr:rowOff>138113</xdr:rowOff>
    </xdr:to>
    <xdr:cxnSp macro="">
      <xdr:nvCxnSpPr>
        <xdr:cNvPr id="9" name="Straight Connector 9">
          <a:extLst>
            <a:ext uri="{FF2B5EF4-FFF2-40B4-BE49-F238E27FC236}">
              <a16:creationId xmlns:a16="http://schemas.microsoft.com/office/drawing/2014/main" id="{45638487-10D7-4354-9D4D-629A81585029}"/>
            </a:ext>
          </a:extLst>
        </xdr:cNvPr>
        <xdr:cNvCxnSpPr/>
      </xdr:nvCxnSpPr>
      <xdr:spPr>
        <a:xfrm>
          <a:off x="2476500" y="7015163"/>
          <a:ext cx="3862388"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585787</xdr:colOff>
      <xdr:row>55</xdr:row>
      <xdr:rowOff>133351</xdr:rowOff>
    </xdr:from>
    <xdr:to>
      <xdr:col>9</xdr:col>
      <xdr:colOff>261937</xdr:colOff>
      <xdr:row>55</xdr:row>
      <xdr:rowOff>133351</xdr:rowOff>
    </xdr:to>
    <xdr:cxnSp macro="">
      <xdr:nvCxnSpPr>
        <xdr:cNvPr id="12" name="Straight Connector 10">
          <a:extLst>
            <a:ext uri="{FF2B5EF4-FFF2-40B4-BE49-F238E27FC236}">
              <a16:creationId xmlns:a16="http://schemas.microsoft.com/office/drawing/2014/main" id="{D49E75C3-1CB3-4776-A240-05DC456FD9C6}"/>
            </a:ext>
          </a:extLst>
        </xdr:cNvPr>
        <xdr:cNvCxnSpPr/>
      </xdr:nvCxnSpPr>
      <xdr:spPr>
        <a:xfrm>
          <a:off x="2528887" y="10086976"/>
          <a:ext cx="3862388"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17</xdr:row>
      <xdr:rowOff>30616</xdr:rowOff>
    </xdr:from>
    <xdr:to>
      <xdr:col>16</xdr:col>
      <xdr:colOff>537482</xdr:colOff>
      <xdr:row>32</xdr:row>
      <xdr:rowOff>59191</xdr:rowOff>
    </xdr:to>
    <xdr:graphicFrame macro="">
      <xdr:nvGraphicFramePr>
        <xdr:cNvPr id="10" name="Chart 1">
          <a:extLst>
            <a:ext uri="{FF2B5EF4-FFF2-40B4-BE49-F238E27FC236}">
              <a16:creationId xmlns:a16="http://schemas.microsoft.com/office/drawing/2014/main" id="{A7001C44-31DA-42A9-A5A0-5D20DA40B2E7}"/>
            </a:ext>
            <a:ext uri="{147F2762-F138-4A5C-976F-8EAC2B608ADB}">
              <a16:predDERef xmlns:a16="http://schemas.microsoft.com/office/drawing/2014/main" pred="{D49E75C3-1CB3-4776-A240-05DC456FD9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462644</xdr:colOff>
      <xdr:row>15</xdr:row>
      <xdr:rowOff>176892</xdr:rowOff>
    </xdr:from>
    <xdr:to>
      <xdr:col>23</xdr:col>
      <xdr:colOff>632732</xdr:colOff>
      <xdr:row>31</xdr:row>
      <xdr:rowOff>25173</xdr:rowOff>
    </xdr:to>
    <xdr:graphicFrame macro="">
      <xdr:nvGraphicFramePr>
        <xdr:cNvPr id="11" name="Chart 1">
          <a:extLst>
            <a:ext uri="{FF2B5EF4-FFF2-40B4-BE49-F238E27FC236}">
              <a16:creationId xmlns:a16="http://schemas.microsoft.com/office/drawing/2014/main" id="{53E56B39-7BD7-4C8D-A5BC-1B0F4959EA43}"/>
            </a:ext>
            <a:ext uri="{147F2762-F138-4A5C-976F-8EAC2B608ADB}">
              <a16:predDERef xmlns:a16="http://schemas.microsoft.com/office/drawing/2014/main" pred="{A7001C44-31DA-42A9-A5A0-5D20DA40B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268739</xdr:colOff>
      <xdr:row>16</xdr:row>
      <xdr:rowOff>57831</xdr:rowOff>
    </xdr:from>
    <xdr:to>
      <xdr:col>32</xdr:col>
      <xdr:colOff>636133</xdr:colOff>
      <xdr:row>31</xdr:row>
      <xdr:rowOff>86406</xdr:rowOff>
    </xdr:to>
    <xdr:graphicFrame macro="">
      <xdr:nvGraphicFramePr>
        <xdr:cNvPr id="13" name="Chart 1">
          <a:extLst>
            <a:ext uri="{FF2B5EF4-FFF2-40B4-BE49-F238E27FC236}">
              <a16:creationId xmlns:a16="http://schemas.microsoft.com/office/drawing/2014/main" id="{9AD6B87A-EB7C-47CA-A497-3103234D4411}"/>
            </a:ext>
            <a:ext uri="{147F2762-F138-4A5C-976F-8EAC2B608ADB}">
              <a16:predDERef xmlns:a16="http://schemas.microsoft.com/office/drawing/2014/main" pred="{53E56B39-7BD7-4C8D-A5BC-1B0F4959EA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23813</xdr:colOff>
      <xdr:row>13</xdr:row>
      <xdr:rowOff>34018</xdr:rowOff>
    </xdr:from>
    <xdr:to>
      <xdr:col>9</xdr:col>
      <xdr:colOff>30617</xdr:colOff>
      <xdr:row>28</xdr:row>
      <xdr:rowOff>62593</xdr:rowOff>
    </xdr:to>
    <xdr:graphicFrame macro="">
      <xdr:nvGraphicFramePr>
        <xdr:cNvPr id="10" name="Chart 1">
          <a:extLst>
            <a:ext uri="{FF2B5EF4-FFF2-40B4-BE49-F238E27FC236}">
              <a16:creationId xmlns:a16="http://schemas.microsoft.com/office/drawing/2014/main" id="{B681BF33-BD48-CF41-A697-A2ED71EB0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30</xdr:row>
      <xdr:rowOff>0</xdr:rowOff>
    </xdr:from>
    <xdr:to>
      <xdr:col>9</xdr:col>
      <xdr:colOff>385762</xdr:colOff>
      <xdr:row>45</xdr:row>
      <xdr:rowOff>28575</xdr:rowOff>
    </xdr:to>
    <xdr:graphicFrame macro="">
      <xdr:nvGraphicFramePr>
        <xdr:cNvPr id="14" name="Chart 2">
          <a:extLst>
            <a:ext uri="{FF2B5EF4-FFF2-40B4-BE49-F238E27FC236}">
              <a16:creationId xmlns:a16="http://schemas.microsoft.com/office/drawing/2014/main" id="{9D3A463D-4EDF-604E-A8DB-AE3EEEDB1D2E}"/>
            </a:ext>
            <a:ext uri="{147F2762-F138-4A5C-976F-8EAC2B608ADB}">
              <a16:predDERef xmlns:a16="http://schemas.microsoft.com/office/drawing/2014/main" pred="{B681BF33-BD48-CF41-A697-A2ED71EB0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47</xdr:row>
      <xdr:rowOff>0</xdr:rowOff>
    </xdr:from>
    <xdr:to>
      <xdr:col>9</xdr:col>
      <xdr:colOff>385762</xdr:colOff>
      <xdr:row>62</xdr:row>
      <xdr:rowOff>28575</xdr:rowOff>
    </xdr:to>
    <xdr:graphicFrame macro="">
      <xdr:nvGraphicFramePr>
        <xdr:cNvPr id="4" name="Chart 3">
          <a:extLst>
            <a:ext uri="{FF2B5EF4-FFF2-40B4-BE49-F238E27FC236}">
              <a16:creationId xmlns:a16="http://schemas.microsoft.com/office/drawing/2014/main" id="{436C886B-7322-E84F-A34C-24100089F381}"/>
            </a:ext>
            <a:ext uri="{147F2762-F138-4A5C-976F-8EAC2B608ADB}">
              <a16:predDERef xmlns:a16="http://schemas.microsoft.com/office/drawing/2014/main" pred="{9D3A463D-4EDF-604E-A8DB-AE3EEEDB1D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533400</xdr:colOff>
      <xdr:row>34</xdr:row>
      <xdr:rowOff>138113</xdr:rowOff>
    </xdr:from>
    <xdr:to>
      <xdr:col>9</xdr:col>
      <xdr:colOff>209550</xdr:colOff>
      <xdr:row>34</xdr:row>
      <xdr:rowOff>138113</xdr:rowOff>
    </xdr:to>
    <xdr:cxnSp macro="">
      <xdr:nvCxnSpPr>
        <xdr:cNvPr id="5" name="Straight Connector 9">
          <a:extLst>
            <a:ext uri="{FF2B5EF4-FFF2-40B4-BE49-F238E27FC236}">
              <a16:creationId xmlns:a16="http://schemas.microsoft.com/office/drawing/2014/main" id="{FA839CBC-2D7B-8F42-BAC1-BA652AF3E943}"/>
            </a:ext>
          </a:extLst>
        </xdr:cNvPr>
        <xdr:cNvCxnSpPr/>
      </xdr:nvCxnSpPr>
      <xdr:spPr>
        <a:xfrm>
          <a:off x="2247900" y="8075613"/>
          <a:ext cx="3536950"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585787</xdr:colOff>
      <xdr:row>51</xdr:row>
      <xdr:rowOff>133351</xdr:rowOff>
    </xdr:from>
    <xdr:to>
      <xdr:col>9</xdr:col>
      <xdr:colOff>261937</xdr:colOff>
      <xdr:row>51</xdr:row>
      <xdr:rowOff>133351</xdr:rowOff>
    </xdr:to>
    <xdr:cxnSp macro="">
      <xdr:nvCxnSpPr>
        <xdr:cNvPr id="6" name="Straight Connector 10">
          <a:extLst>
            <a:ext uri="{FF2B5EF4-FFF2-40B4-BE49-F238E27FC236}">
              <a16:creationId xmlns:a16="http://schemas.microsoft.com/office/drawing/2014/main" id="{A99FC3DD-40BB-5341-A0C9-9CD1C11C73B4}"/>
            </a:ext>
          </a:extLst>
        </xdr:cNvPr>
        <xdr:cNvCxnSpPr/>
      </xdr:nvCxnSpPr>
      <xdr:spPr>
        <a:xfrm>
          <a:off x="2300287" y="11525251"/>
          <a:ext cx="3536950"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11906</xdr:colOff>
      <xdr:row>13</xdr:row>
      <xdr:rowOff>20834</xdr:rowOff>
    </xdr:from>
    <xdr:to>
      <xdr:col>16</xdr:col>
      <xdr:colOff>14882</xdr:colOff>
      <xdr:row>28</xdr:row>
      <xdr:rowOff>56553</xdr:rowOff>
    </xdr:to>
    <xdr:graphicFrame macro="">
      <xdr:nvGraphicFramePr>
        <xdr:cNvPr id="11" name="Chart 1">
          <a:extLst>
            <a:ext uri="{FF2B5EF4-FFF2-40B4-BE49-F238E27FC236}">
              <a16:creationId xmlns:a16="http://schemas.microsoft.com/office/drawing/2014/main" id="{AB38EEC3-4C76-9643-BEDB-C4E2CBE06EF6}"/>
            </a:ext>
            <a:ext uri="{147F2762-F138-4A5C-976F-8EAC2B608ADB}">
              <a16:predDERef xmlns:a16="http://schemas.microsoft.com/office/drawing/2014/main" pred="{A99FC3DD-40BB-5341-A0C9-9CD1C11C73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7230</xdr:colOff>
      <xdr:row>13</xdr:row>
      <xdr:rowOff>28068</xdr:rowOff>
    </xdr:from>
    <xdr:to>
      <xdr:col>23</xdr:col>
      <xdr:colOff>29765</xdr:colOff>
      <xdr:row>28</xdr:row>
      <xdr:rowOff>66849</xdr:rowOff>
    </xdr:to>
    <xdr:graphicFrame macro="">
      <xdr:nvGraphicFramePr>
        <xdr:cNvPr id="12" name="Chart 1">
          <a:extLst>
            <a:ext uri="{FF2B5EF4-FFF2-40B4-BE49-F238E27FC236}">
              <a16:creationId xmlns:a16="http://schemas.microsoft.com/office/drawing/2014/main" id="{4813305A-74F4-4C40-A186-3E0E50A2EE07}"/>
            </a:ext>
            <a:ext uri="{147F2762-F138-4A5C-976F-8EAC2B608ADB}">
              <a16:predDERef xmlns:a16="http://schemas.microsoft.com/office/drawing/2014/main" pred="{AB38EEC3-4C76-9643-BEDB-C4E2CBE06E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637436</xdr:colOff>
      <xdr:row>13</xdr:row>
      <xdr:rowOff>24891</xdr:rowOff>
    </xdr:from>
    <xdr:to>
      <xdr:col>30</xdr:col>
      <xdr:colOff>8930</xdr:colOff>
      <xdr:row>28</xdr:row>
      <xdr:rowOff>80367</xdr:rowOff>
    </xdr:to>
    <xdr:graphicFrame macro="">
      <xdr:nvGraphicFramePr>
        <xdr:cNvPr id="13" name="Chart 1">
          <a:extLst>
            <a:ext uri="{FF2B5EF4-FFF2-40B4-BE49-F238E27FC236}">
              <a16:creationId xmlns:a16="http://schemas.microsoft.com/office/drawing/2014/main" id="{0E51A8F2-069B-A64C-BA9D-31C9F2A83E4B}"/>
            </a:ext>
            <a:ext uri="{147F2762-F138-4A5C-976F-8EAC2B608ADB}">
              <a16:predDERef xmlns:a16="http://schemas.microsoft.com/office/drawing/2014/main" pred="{4813305A-74F4-4C40-A186-3E0E50A2EE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Kohl Malo" id="{FFAEEE89-89D6-4B2C-BE3C-DACF2DA816BF}" userId="Kohl Malo" providerId="None"/>
  <person displayName="Kohl Malo" id="{A0C374B6-3FFB-4865-81B6-0037A974B202}" userId="kmalo@citiesthatwork.com" providerId="PeoplePicker"/>
  <person displayName="Dan Hardy" id="{B26C6440-E89B-4737-A119-57B5358FB853}" userId="dhardy@citiesthatwork.com" providerId="PeoplePicker"/>
  <person displayName="Joel Lehman" id="{9EACD22F-549E-47AB-B917-80FCEDC38897}" userId="JLehman@citiesthatwork.com" providerId="PeoplePicker"/>
  <person displayName="Kohl Malo" id="{F4BEBB54-9035-412B-8E9C-3980D46EB9D4}" userId="S::kmalo@citiesthatwork.com::f4224ec3-b955-430b-8ace-bf7447848735" providerId="AD"/>
  <person displayName="Chris Sinclair" id="{B35C26A9-95EF-48D8-876D-96EEE8001604}" userId="S::csinclair@citiesthatwork.com::73d29c84-efae-458f-a30e-cf31c804178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M4" dT="2021-03-31T16:17:15.06" personId="{B35C26A9-95EF-48D8-876D-96EEE8001604}" id="{0A50E3F4-141C-4E0C-81B7-9B924D6B5F7B}" done="1">
    <text>@Kohl Malo update with latest map</text>
    <mentions>
      <mention mentionpersonId="{A0C374B6-3FFB-4865-81B6-0037A974B202}" mentionId="{18D3A4ED-F6FD-4C39-B09D-66A9ED6B7B92}" startIndex="0" length="10"/>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G6" dT="2021-02-03T19:19:49.54" personId="{B35C26A9-95EF-48D8-876D-96EEE8001604}" id="{36808A60-1F2F-4507-AD30-E9040D217E43}">
    <text>@Joel Lehman please check and update if needed</text>
    <mentions>
      <mention mentionpersonId="{9EACD22F-549E-47AB-B917-80FCEDC38897}" mentionId="{FEEF71C8-F326-4DDC-AB57-4D51825F26B9}" startIndex="0" length="12"/>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117" dT="2020-09-01T15:45:01.12" personId="{FFAEEE89-89D6-4B2C-BE3C-DACF2DA816BF}" id="{3F5B0376-E55D-4D1A-A457-D14A3F41C61E}">
    <text>WITH drive through</text>
  </threadedComment>
</ThreadedComments>
</file>

<file path=xl/threadedComments/threadedComment4.xml><?xml version="1.0" encoding="utf-8"?>
<ThreadedComments xmlns="http://schemas.microsoft.com/office/spreadsheetml/2018/threadedcomments" xmlns:x="http://schemas.openxmlformats.org/spreadsheetml/2006/main">
  <threadedComment ref="K7" dT="2021-02-03T19:01:14.00" personId="{B35C26A9-95EF-48D8-876D-96EEE8001604}" id="{49FAE089-F6C1-4FDA-ACE7-FECF7C95296F}">
    <text>@Dan Hardy and @Joel Lehman  please update and document sources</text>
    <mentions>
      <mention mentionpersonId="{B26C6440-E89B-4737-A119-57B5358FB853}" mentionId="{576EE195-2771-4F35-89C0-C2BFBAF21466}" startIndex="0" length="10"/>
      <mention mentionpersonId="{9EACD22F-549E-47AB-B917-80FCEDC38897}" mentionId="{47681D8E-D29E-402F-BDF5-15DE044B5C4D}" startIndex="15" length="12"/>
    </mentions>
  </threadedComment>
  <threadedComment ref="S7" dT="2021-02-03T19:01:14.00" personId="{B35C26A9-95EF-48D8-876D-96EEE8001604}" id="{63DBE38C-57B9-4699-8050-ABB79773529D}">
    <text>@Dan Hardy and @Joel Lehman  please update and document sources</text>
    <mentions>
      <mention mentionpersonId="{B26C6440-E89B-4737-A119-57B5358FB853}" mentionId="{AA2B97DA-2611-427B-8015-237B48B6234B}" startIndex="0" length="10"/>
      <mention mentionpersonId="{9EACD22F-549E-47AB-B917-80FCEDC38897}" mentionId="{6B22874A-8F92-4340-B50C-857D2FA763DF}" startIndex="15" length="12"/>
    </mentions>
  </threadedComment>
  <threadedComment ref="W7" dT="2021-02-03T19:01:14.00" personId="{B35C26A9-95EF-48D8-876D-96EEE8001604}" id="{A661E8A7-FDFC-4B7C-A28F-75A681FF1992}">
    <text>@Dan Hardy and @Joel Lehman  please update and document sources</text>
    <mentions>
      <mention mentionpersonId="{B26C6440-E89B-4737-A119-57B5358FB853}" mentionId="{60A9B225-58EF-4C3A-9BA4-F89362AEC085}" startIndex="0" length="10"/>
      <mention mentionpersonId="{9EACD22F-549E-47AB-B917-80FCEDC38897}" mentionId="{2F4297F0-E595-40A8-8ACB-86B02D9D04C4}" startIndex="15" length="12"/>
    </mentions>
  </threadedComment>
  <threadedComment ref="AA7" dT="2021-02-03T19:01:14.00" personId="{B35C26A9-95EF-48D8-876D-96EEE8001604}" id="{919EED1A-DC9C-4786-A3DE-E2F14864024B}">
    <text>@Dan Hardy and @Joel Lehman  please update and document sources</text>
    <mentions>
      <mention mentionpersonId="{B26C6440-E89B-4737-A119-57B5358FB853}" mentionId="{ACB97620-2A29-49F5-8C80-C88E67CC14C6}" startIndex="0" length="10"/>
      <mention mentionpersonId="{9EACD22F-549E-47AB-B917-80FCEDC38897}" mentionId="{EC19CD3A-218A-4159-B2C6-F68A7F4FBB6E}" startIndex="15" length="12"/>
    </mentions>
  </threadedComment>
  <threadedComment ref="E11" dT="2021-02-03T19:00:49.86" personId="{B35C26A9-95EF-48D8-876D-96EEE8001604}" id="{FEF5DD58-16AF-46AB-85FD-1655881604CB}">
    <text>@Kohl Malo please update as needed</text>
    <mentions>
      <mention mentionpersonId="{A0C374B6-3FFB-4865-81B6-0037A974B202}" mentionId="{799BE7D5-E801-48A6-B7BD-54F7269C1B63}" startIndex="0" length="10"/>
    </mentions>
  </threadedComment>
  <threadedComment ref="E11" dT="2021-02-04T17:35:12.06" personId="{F4BEBB54-9035-412B-8E9C-3980D46EB9D4}" id="{219408AB-C42A-4EB0-87EC-C6ED932C990E}" parentId="{FEF5DD58-16AF-46AB-85FD-1655881604CB}">
    <text>https://appriver3651006727.sharepoint.com/:w:/r/sites/MiamiDadeCo/_layouts/15/Doc.aspx?sourcedoc=%7B068D80B4-B829-4BFB-958E-FB215CAA9AC7%7D&amp;file=CTS%20Task%201_Final.docx&amp;action=default&amp;mobileredirect=true</text>
  </threadedComment>
  <threadedComment ref="E11" dT="2021-02-05T16:24:18.89" personId="{FFAEEE89-89D6-4B2C-BE3C-DACF2DA816BF}" id="{C96FCFCD-B19C-4FD9-88BB-6A42117C884E}" parentId="{FEF5DD58-16AF-46AB-85FD-1655881604CB}">
    <text>FDOT LRE 8.057$M</text>
  </threadedComment>
</ThreadedComments>
</file>

<file path=xl/threadedComments/threadedComment5.xml><?xml version="1.0" encoding="utf-8"?>
<ThreadedComments xmlns="http://schemas.microsoft.com/office/spreadsheetml/2018/threadedcomments" xmlns:x="http://schemas.openxmlformats.org/spreadsheetml/2006/main">
  <threadedComment ref="B3" dT="2021-02-03T19:04:01.96" personId="{B35C26A9-95EF-48D8-876D-96EEE8001604}" id="{562FDF50-805C-40E6-9A30-8A1F84CDDCAD}">
    <text>@Kohl Malo please check against CTS tech memo</text>
    <mentions>
      <mention mentionpersonId="{A0C374B6-3FFB-4865-81B6-0037A974B202}" mentionId="{15A69948-2A3C-4D43-AA7B-6D02861D6C01}" startIndex="0" length="10"/>
    </mentions>
  </threadedComment>
  <threadedComment ref="R3" dT="2021-03-30T20:52:19.07" personId="{FFAEEE89-89D6-4B2C-BE3C-DACF2DA816BF}" id="{357CB1A7-D834-434B-AB36-859E864736CF}">
    <text>Before 3/30, the funded value was 53%, but that did not include the "part unfunded" in the calculation.</text>
  </threadedComment>
  <threadedComment ref="AA9" dT="2021-02-03T19:10:43.69" personId="{B35C26A9-95EF-48D8-876D-96EEE8001604}" id="{E26FB289-0C39-4201-AAAB-4CA6999D7A6B}">
    <text>@Dan Hardy @Joel Lehman  please update</text>
    <mentions>
      <mention mentionpersonId="{B26C6440-E89B-4737-A119-57B5358FB853}" mentionId="{8669F8AC-AC1F-4D7F-98D6-6D8CE290FC62}" startIndex="0" length="10"/>
      <mention mentionpersonId="{9EACD22F-549E-47AB-B917-80FCEDC38897}" mentionId="{F9250232-1FD7-4C70-BDA4-28AFC0DA5B20}" startIndex="11" length="12"/>
    </mentions>
  </threadedComment>
  <threadedComment ref="AA9" dT="2021-03-24T20:00:45.04" personId="{FFAEEE89-89D6-4B2C-BE3C-DACF2DA816BF}" id="{92FBE7EA-4CF2-4E42-9DA9-A6D9203C8F45}" parentId="{E26FB289-0C39-4201-AAAB-4CA6999D7A6B}">
    <text>40
40
20
before</text>
  </threadedComment>
  <threadedComment ref="AC10" dT="2021-03-24T20:01:40.73" personId="{FFAEEE89-89D6-4B2C-BE3C-DACF2DA816BF}" id="{112E30C6-C522-4280-A111-BF27A4662EE9}">
    <text>40
20
40
before</text>
  </threadedComment>
</ThreadedComments>
</file>

<file path=xl/threadedComments/threadedComment6.xml><?xml version="1.0" encoding="utf-8"?>
<ThreadedComments xmlns="http://schemas.microsoft.com/office/spreadsheetml/2018/threadedcomments" xmlns:x="http://schemas.openxmlformats.org/spreadsheetml/2006/main">
  <threadedComment ref="J3" dT="2021-02-17T17:31:59.94" personId="{FFAEEE89-89D6-4B2C-BE3C-DACF2DA816BF}" id="{73F00812-374C-44D4-9C15-E90EA696F08D}">
    <text>Check original GIS geo's for lengths / both sides of the street question</text>
  </threadedComment>
</ThreadedComments>
</file>

<file path=xl/threadedComments/threadedComment7.xml><?xml version="1.0" encoding="utf-8"?>
<ThreadedComments xmlns="http://schemas.microsoft.com/office/spreadsheetml/2018/threadedcomments" xmlns:x="http://schemas.openxmlformats.org/spreadsheetml/2006/main">
  <threadedComment ref="F66" dT="2020-08-19T16:53:08.20" personId="{FFAEEE89-89D6-4B2C-BE3C-DACF2DA816BF}" id="{F42A5C4A-0849-4DF8-B5E1-01653C531859}">
    <text>This is the function from #710 with the median GSF (column A)</text>
  </threadedComment>
  <threadedComment ref="F66" dT="2020-08-19T18:51:24.15" personId="{FFAEEE89-89D6-4B2C-BE3C-DACF2DA816BF}" id="{21F695C6-C02D-4667-885E-4D345B82E28A}" parentId="{F42A5C4A-0849-4DF8-B5E1-01653C531859}">
    <text>Ln(T) = .97 Ln(X) + 2.50</text>
  </threadedComment>
  <threadedComment ref="F104" dT="2020-09-01T15:20:48.11" personId="{FFAEEE89-89D6-4B2C-BE3C-DACF2DA816BF}" id="{3352CC1D-26DE-411C-B4F3-1C8900E9E6A3}">
    <text>ln(t) = 0.68(ln(x)) + 5.57</text>
  </threadedComment>
  <threadedComment ref="F104" dT="2020-09-01T16:25:47.16" personId="{FFAEEE89-89D6-4B2C-BE3C-DACF2DA816BF}" id="{97208A1F-EF56-4152-A6E8-F49E20D22828}" parentId="{3352CC1D-26DE-411C-B4F3-1C8900E9E6A3}">
    <text>@Dan Hardy the EXP function seems to result in numbers too high, esp. compared to the function used without the EXP container.</text>
    <mentions>
      <mention mentionpersonId="{B26C6440-E89B-4737-A119-57B5358FB853}" mentionId="{AAE8B415-6031-484B-B77A-B1E6956A8E87}" startIndex="0" length="10"/>
    </mentions>
  </threadedComment>
  <threadedComment ref="B136" dT="2020-09-01T15:45:01.12" personId="{FFAEEE89-89D6-4B2C-BE3C-DACF2DA816BF}" id="{58315FCD-8126-4C50-A17E-45DB1470AF48}">
    <text>WITH drive through</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2.bin"/><Relationship Id="rId4" Type="http://schemas.microsoft.com/office/2017/10/relationships/threadedComment" Target="../threadedComments/threadedComment3.xml"/></Relationships>
</file>

<file path=xl/worksheets/_rels/sheet16.xml.rels><?xml version="1.0" encoding="UTF-8" standalone="yes"?>
<Relationships xmlns="http://schemas.openxmlformats.org/package/2006/relationships"><Relationship Id="rId1" Type="http://schemas.openxmlformats.org/officeDocument/2006/relationships/hyperlink" Target="../../../../:x:/s/MiamiDadeCo/EZP3rVeciKVLnJqnom7DpqoBGgUzVRpyq4JB5x6waPKZgw"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5.bin"/><Relationship Id="rId4" Type="http://schemas.microsoft.com/office/2017/10/relationships/threadedComment" Target="../threadedComments/threadedComment4.xm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x:/s/MiamiDadeCo/ESF2G-k3guJLp_l_tw_ri-UBFqzScinww8I2Zje4IxJe-g" TargetMode="External"/><Relationship Id="rId1" Type="http://schemas.openxmlformats.org/officeDocument/2006/relationships/hyperlink" Target="../../../../:x:/s/MiamiDadeCo/ESF2G-k3guJLp_l_tw_ri-UBFqzScinww8I2Zje4IxJe-g"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23.xml.rels><?xml version="1.0" encoding="UTF-8" standalone="yes"?>
<Relationships xmlns="http://schemas.openxmlformats.org/package/2006/relationships"><Relationship Id="rId3" Type="http://schemas.openxmlformats.org/officeDocument/2006/relationships/hyperlink" Target="https://www1.nyc.gov/assets/planning/download/pdf/plans/transportation/td_pedloschaptertwo.pdf" TargetMode="External"/><Relationship Id="rId7" Type="http://schemas.microsoft.com/office/2017/10/relationships/threadedComment" Target="../threadedComments/threadedComment6.xml"/><Relationship Id="rId2" Type="http://schemas.openxmlformats.org/officeDocument/2006/relationships/hyperlink" Target="http://www.pedbikeinfo.org/cms/downloads/Eval_SharedUsePaths_Final.pdf" TargetMode="External"/><Relationship Id="rId1" Type="http://schemas.openxmlformats.org/officeDocument/2006/relationships/hyperlink" Target="https://www.fhwa.dot.gov/publications/research/safety/pedbike/98108/chapter2.cfm" TargetMode="External"/><Relationship Id="rId6" Type="http://schemas.openxmlformats.org/officeDocument/2006/relationships/comments" Target="../comments6.xml"/><Relationship Id="rId5" Type="http://schemas.openxmlformats.org/officeDocument/2006/relationships/vmlDrawing" Target="../drawings/vmlDrawing6.vml"/><Relationship Id="rId4"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8.bin"/><Relationship Id="rId4" Type="http://schemas.microsoft.com/office/2017/10/relationships/threadedComment" Target="../threadedComments/threadedComment7.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4BA0C-2AD2-4FC8-8F4D-517E31566F93}">
  <sheetPr>
    <tabColor theme="3"/>
  </sheetPr>
  <dimension ref="B1:G30"/>
  <sheetViews>
    <sheetView workbookViewId="0">
      <selection activeCell="B1" sqref="B1"/>
    </sheetView>
  </sheetViews>
  <sheetFormatPr defaultColWidth="9" defaultRowHeight="18.75" x14ac:dyDescent="0.3"/>
  <cols>
    <col min="1" max="1" width="9" style="237"/>
    <col min="2" max="2" width="17.5703125" style="237" customWidth="1"/>
    <col min="3" max="3" width="34.5703125" style="237" customWidth="1"/>
    <col min="4" max="4" width="94.5703125" style="237" customWidth="1"/>
    <col min="5" max="16384" width="9" style="237"/>
  </cols>
  <sheetData>
    <row r="1" spans="2:7" ht="26.25" x14ac:dyDescent="0.4">
      <c r="B1" s="644" t="s">
        <v>0</v>
      </c>
    </row>
    <row r="2" spans="2:7" x14ac:dyDescent="0.3">
      <c r="G2" s="238"/>
    </row>
    <row r="3" spans="2:7" x14ac:dyDescent="0.3">
      <c r="G3" s="238"/>
    </row>
    <row r="4" spans="2:7" x14ac:dyDescent="0.3">
      <c r="G4" s="238"/>
    </row>
    <row r="5" spans="2:7" x14ac:dyDescent="0.3">
      <c r="B5" s="239" t="s">
        <v>1</v>
      </c>
      <c r="C5" s="239" t="s">
        <v>2</v>
      </c>
      <c r="D5" s="240" t="s">
        <v>3</v>
      </c>
      <c r="G5" s="238"/>
    </row>
    <row r="6" spans="2:7" x14ac:dyDescent="0.3">
      <c r="B6" s="757" t="s">
        <v>4</v>
      </c>
      <c r="C6" s="252" t="s">
        <v>5</v>
      </c>
      <c r="D6" s="252" t="s">
        <v>6</v>
      </c>
      <c r="G6" s="238"/>
    </row>
    <row r="7" spans="2:7" x14ac:dyDescent="0.3">
      <c r="B7" s="758"/>
      <c r="C7" s="253" t="s">
        <v>7</v>
      </c>
      <c r="D7" s="253" t="s">
        <v>8</v>
      </c>
      <c r="G7" s="238"/>
    </row>
    <row r="8" spans="2:7" x14ac:dyDescent="0.3">
      <c r="B8" s="759" t="s">
        <v>9</v>
      </c>
      <c r="C8" s="254" t="s">
        <v>10</v>
      </c>
      <c r="D8" s="254" t="s">
        <v>11</v>
      </c>
      <c r="G8" s="238"/>
    </row>
    <row r="9" spans="2:7" x14ac:dyDescent="0.3">
      <c r="B9" s="760"/>
      <c r="C9" s="255" t="s">
        <v>12</v>
      </c>
      <c r="D9" s="255" t="s">
        <v>13</v>
      </c>
      <c r="G9" s="238"/>
    </row>
    <row r="10" spans="2:7" x14ac:dyDescent="0.3">
      <c r="B10" s="761" t="s">
        <v>14</v>
      </c>
      <c r="C10" s="256" t="s">
        <v>15</v>
      </c>
      <c r="D10" s="256" t="s">
        <v>16</v>
      </c>
      <c r="G10" s="238"/>
    </row>
    <row r="11" spans="2:7" x14ac:dyDescent="0.3">
      <c r="B11" s="762"/>
      <c r="C11" s="257" t="s">
        <v>17</v>
      </c>
      <c r="D11" s="257" t="s">
        <v>18</v>
      </c>
      <c r="G11" s="238"/>
    </row>
    <row r="12" spans="2:7" x14ac:dyDescent="0.3">
      <c r="B12" s="762"/>
      <c r="C12" s="257" t="s">
        <v>19</v>
      </c>
      <c r="D12" s="257" t="s">
        <v>16</v>
      </c>
      <c r="G12" s="238"/>
    </row>
    <row r="13" spans="2:7" x14ac:dyDescent="0.3">
      <c r="B13" s="762"/>
      <c r="C13" s="257" t="s">
        <v>20</v>
      </c>
      <c r="D13" s="257" t="s">
        <v>18</v>
      </c>
      <c r="G13" s="238"/>
    </row>
    <row r="14" spans="2:7" x14ac:dyDescent="0.3">
      <c r="B14" s="762"/>
      <c r="C14" s="257" t="s">
        <v>21</v>
      </c>
      <c r="D14" s="257" t="s">
        <v>16</v>
      </c>
      <c r="G14" s="238"/>
    </row>
    <row r="15" spans="2:7" x14ac:dyDescent="0.3">
      <c r="B15" s="762"/>
      <c r="C15" s="257" t="s">
        <v>22</v>
      </c>
      <c r="D15" s="257" t="s">
        <v>18</v>
      </c>
      <c r="G15" s="238"/>
    </row>
    <row r="16" spans="2:7" x14ac:dyDescent="0.3">
      <c r="B16" s="762"/>
      <c r="C16" s="257" t="s">
        <v>23</v>
      </c>
      <c r="D16" s="257" t="s">
        <v>16</v>
      </c>
      <c r="G16" s="238"/>
    </row>
    <row r="17" spans="2:7" x14ac:dyDescent="0.3">
      <c r="B17" s="763"/>
      <c r="C17" s="258" t="s">
        <v>24</v>
      </c>
      <c r="D17" s="258" t="s">
        <v>18</v>
      </c>
      <c r="G17" s="238"/>
    </row>
    <row r="18" spans="2:7" x14ac:dyDescent="0.3">
      <c r="B18" s="764" t="s">
        <v>25</v>
      </c>
      <c r="C18" s="259" t="s">
        <v>26</v>
      </c>
      <c r="D18" s="259" t="s">
        <v>27</v>
      </c>
      <c r="G18" s="238"/>
    </row>
    <row r="19" spans="2:7" x14ac:dyDescent="0.3">
      <c r="B19" s="765"/>
      <c r="C19" s="260" t="s">
        <v>28</v>
      </c>
      <c r="D19" s="260" t="s">
        <v>29</v>
      </c>
      <c r="G19" s="238"/>
    </row>
    <row r="20" spans="2:7" x14ac:dyDescent="0.3">
      <c r="B20" s="765"/>
      <c r="C20" s="260" t="s">
        <v>30</v>
      </c>
      <c r="D20" s="260" t="s">
        <v>31</v>
      </c>
      <c r="G20" s="238"/>
    </row>
    <row r="21" spans="2:7" x14ac:dyDescent="0.3">
      <c r="B21" s="765"/>
      <c r="C21" s="260" t="s">
        <v>32</v>
      </c>
      <c r="D21" s="260" t="s">
        <v>33</v>
      </c>
      <c r="G21" s="238"/>
    </row>
    <row r="22" spans="2:7" x14ac:dyDescent="0.3">
      <c r="B22" s="765"/>
      <c r="C22" s="260" t="s">
        <v>34</v>
      </c>
      <c r="D22" s="260" t="s">
        <v>35</v>
      </c>
      <c r="G22" s="238"/>
    </row>
    <row r="23" spans="2:7" ht="18" customHeight="1" x14ac:dyDescent="0.3">
      <c r="B23" s="766" t="s">
        <v>36</v>
      </c>
      <c r="C23" s="250" t="s">
        <v>37</v>
      </c>
      <c r="D23" s="250" t="s">
        <v>38</v>
      </c>
      <c r="G23" s="238"/>
    </row>
    <row r="24" spans="2:7" x14ac:dyDescent="0.3">
      <c r="B24" s="767"/>
      <c r="C24" s="251" t="s">
        <v>39</v>
      </c>
      <c r="D24" s="251" t="s">
        <v>40</v>
      </c>
      <c r="G24" s="238"/>
    </row>
    <row r="25" spans="2:7" x14ac:dyDescent="0.3">
      <c r="B25" s="767"/>
      <c r="C25" s="251" t="s">
        <v>41</v>
      </c>
      <c r="D25" s="251" t="s">
        <v>42</v>
      </c>
      <c r="G25" s="238"/>
    </row>
    <row r="26" spans="2:7" x14ac:dyDescent="0.3">
      <c r="B26" s="755" t="s">
        <v>43</v>
      </c>
      <c r="C26" s="248" t="s">
        <v>44</v>
      </c>
      <c r="D26" s="248" t="s">
        <v>45</v>
      </c>
      <c r="G26" s="238"/>
    </row>
    <row r="27" spans="2:7" x14ac:dyDescent="0.3">
      <c r="B27" s="755"/>
      <c r="C27" s="248" t="s">
        <v>46</v>
      </c>
      <c r="D27" s="248" t="s">
        <v>47</v>
      </c>
      <c r="G27" s="238"/>
    </row>
    <row r="28" spans="2:7" x14ac:dyDescent="0.3">
      <c r="B28" s="755"/>
      <c r="C28" s="248" t="s">
        <v>48</v>
      </c>
      <c r="D28" s="248" t="s">
        <v>49</v>
      </c>
      <c r="G28" s="238"/>
    </row>
    <row r="29" spans="2:7" x14ac:dyDescent="0.3">
      <c r="B29" s="755"/>
      <c r="C29" s="248" t="s">
        <v>50</v>
      </c>
      <c r="D29" s="248" t="s">
        <v>51</v>
      </c>
      <c r="G29" s="238"/>
    </row>
    <row r="30" spans="2:7" x14ac:dyDescent="0.3">
      <c r="B30" s="756"/>
      <c r="C30" s="249"/>
      <c r="D30" s="249"/>
      <c r="G30" s="238"/>
    </row>
  </sheetData>
  <mergeCells count="6">
    <mergeCell ref="B26:B30"/>
    <mergeCell ref="B6:B7"/>
    <mergeCell ref="B8:B9"/>
    <mergeCell ref="B10:B17"/>
    <mergeCell ref="B18:B22"/>
    <mergeCell ref="B23:B25"/>
  </mergeCells>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95097-7F24-4E53-8D10-7E733E7D33BE}">
  <sheetPr>
    <tabColor theme="3"/>
  </sheetPr>
  <dimension ref="M4"/>
  <sheetViews>
    <sheetView workbookViewId="0">
      <selection activeCell="L41" sqref="L41"/>
    </sheetView>
  </sheetViews>
  <sheetFormatPr defaultColWidth="8.85546875" defaultRowHeight="15.75" x14ac:dyDescent="0.25"/>
  <cols>
    <col min="1" max="16384" width="8.85546875" style="261"/>
  </cols>
  <sheetData>
    <row r="4" spans="13:13" x14ac:dyDescent="0.25"/>
  </sheetData>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14EBE-6794-4A61-A082-5D9DCDD46B80}">
  <sheetPr>
    <tabColor theme="9" tint="-0.249977111117893"/>
  </sheetPr>
  <dimension ref="A1:AG43"/>
  <sheetViews>
    <sheetView workbookViewId="0">
      <selection activeCell="F43" sqref="F43"/>
    </sheetView>
  </sheetViews>
  <sheetFormatPr defaultColWidth="4.42578125" defaultRowHeight="15.75" x14ac:dyDescent="0.25"/>
  <cols>
    <col min="1" max="1" width="4.42578125" style="11"/>
    <col min="2" max="2" width="13.42578125" style="10" customWidth="1"/>
    <col min="3" max="3" width="31.5703125" style="11" customWidth="1"/>
    <col min="4" max="5" width="13.5703125" style="34" customWidth="1"/>
    <col min="6" max="6" width="12.85546875" style="34" customWidth="1"/>
    <col min="7" max="7" width="12.85546875" style="69" customWidth="1"/>
    <col min="8" max="8" width="12.85546875" style="13" customWidth="1"/>
    <col min="9" max="9" width="12.85546875" style="11" customWidth="1"/>
    <col min="10" max="10" width="11.5703125" style="11" customWidth="1"/>
    <col min="11" max="11" width="11.5703125" style="69" customWidth="1"/>
    <col min="12" max="13" width="11.5703125" style="12" customWidth="1"/>
    <col min="14" max="15" width="11.140625" style="12" customWidth="1"/>
    <col min="16" max="16" width="11" style="12" customWidth="1"/>
    <col min="17" max="17" width="9.140625" style="12" customWidth="1"/>
    <col min="18" max="18" width="10.5703125" style="11" customWidth="1"/>
    <col min="19" max="20" width="8.5703125" style="13" customWidth="1"/>
    <col min="21" max="21" width="8.5703125" style="14" customWidth="1"/>
    <col min="22" max="29" width="8.5703125" style="11" customWidth="1"/>
    <col min="30" max="31" width="4.42578125" style="11"/>
    <col min="32" max="32" width="5.42578125" style="11" customWidth="1"/>
    <col min="33" max="33" width="8.5703125" style="11" customWidth="1"/>
    <col min="34" max="16384" width="4.42578125" style="11"/>
  </cols>
  <sheetData>
    <row r="1" spans="1:33" x14ac:dyDescent="0.25">
      <c r="B1" s="10" t="s">
        <v>52</v>
      </c>
      <c r="D1" s="15" t="str">
        <f>+HYPERLINK(ContextAreas_Map!A1,"Context Area")</f>
        <v>Context Area</v>
      </c>
      <c r="E1" s="15" t="s">
        <v>53</v>
      </c>
      <c r="F1" s="16" t="s">
        <v>54</v>
      </c>
      <c r="G1" s="11"/>
      <c r="H1" s="11"/>
      <c r="J1" s="69"/>
    </row>
    <row r="2" spans="1:33" x14ac:dyDescent="0.25">
      <c r="A2" s="10"/>
      <c r="D2" s="10" t="s">
        <v>55</v>
      </c>
      <c r="E2" s="262">
        <v>1</v>
      </c>
      <c r="F2" s="262" t="s">
        <v>56</v>
      </c>
      <c r="G2" s="11"/>
      <c r="H2" s="11"/>
      <c r="J2" s="69"/>
    </row>
    <row r="3" spans="1:33" x14ac:dyDescent="0.25">
      <c r="A3" s="10"/>
      <c r="D3" s="10"/>
      <c r="E3" s="10"/>
      <c r="G3" s="11"/>
      <c r="H3" s="11"/>
      <c r="J3" s="69"/>
    </row>
    <row r="4" spans="1:33" x14ac:dyDescent="0.25">
      <c r="A4" s="10"/>
      <c r="D4" s="69"/>
      <c r="E4" s="69"/>
      <c r="F4" s="771" t="s">
        <v>57</v>
      </c>
      <c r="G4" s="771"/>
      <c r="H4" s="771"/>
      <c r="I4" s="771"/>
      <c r="J4" s="771"/>
      <c r="L4" s="25"/>
      <c r="M4" s="25"/>
      <c r="O4" s="25"/>
      <c r="P4" s="25"/>
      <c r="Q4" s="772" t="s">
        <v>58</v>
      </c>
      <c r="R4" s="772"/>
      <c r="S4" s="772"/>
      <c r="T4" s="772"/>
    </row>
    <row r="5" spans="1:33" x14ac:dyDescent="0.25">
      <c r="D5" s="15" t="s">
        <v>59</v>
      </c>
      <c r="E5" s="15"/>
      <c r="F5" s="15" t="s">
        <v>60</v>
      </c>
      <c r="G5" s="16" t="s">
        <v>61</v>
      </c>
      <c r="H5" s="15" t="s">
        <v>62</v>
      </c>
      <c r="I5" s="16" t="s">
        <v>63</v>
      </c>
      <c r="J5" s="16" t="s">
        <v>64</v>
      </c>
      <c r="L5" s="235" t="s">
        <v>65</v>
      </c>
      <c r="M5" s="235"/>
      <c r="O5" s="666"/>
      <c r="P5" s="667"/>
      <c r="Q5" s="17" t="s">
        <v>60</v>
      </c>
      <c r="R5" s="18" t="s">
        <v>61</v>
      </c>
      <c r="S5" s="773" t="s">
        <v>66</v>
      </c>
      <c r="T5" s="774"/>
    </row>
    <row r="6" spans="1:33" x14ac:dyDescent="0.25">
      <c r="D6" s="19" t="s">
        <v>67</v>
      </c>
      <c r="E6" s="19"/>
      <c r="F6" s="154">
        <f>'2045_24hr_all_productions'!$Q$39</f>
        <v>0.72495177066528282</v>
      </c>
      <c r="G6" s="154">
        <f>'2045_24hr_all_productions'!$S$39</f>
        <v>7.9468405555116819E-2</v>
      </c>
      <c r="H6" s="154">
        <f>'2045_24hr_all_productions'!$T$39</f>
        <v>0.14022044472523382</v>
      </c>
      <c r="I6" s="154">
        <f>'2045_24hr_all_productions'!$R$39</f>
        <v>5.5359379054366588E-2</v>
      </c>
      <c r="J6" s="154">
        <f>+H6+I6</f>
        <v>0.1955798237796004</v>
      </c>
      <c r="L6" s="21" t="s">
        <v>68</v>
      </c>
      <c r="M6" s="22">
        <f>ITECountywide!B4</f>
        <v>1.67</v>
      </c>
      <c r="O6" s="236" t="s">
        <v>69</v>
      </c>
      <c r="P6" s="668"/>
      <c r="Q6" s="669">
        <f>+RoadCapCost!L15</f>
        <v>261.71052631578948</v>
      </c>
      <c r="R6" s="669">
        <f>+TransitCapCost!AB13</f>
        <v>405.42115030277023</v>
      </c>
      <c r="S6" s="775">
        <f>+WalkBikeCapCost!$V$7</f>
        <v>37.9060089869281</v>
      </c>
      <c r="T6" s="776"/>
      <c r="Y6" s="20"/>
      <c r="Z6" s="20"/>
      <c r="AA6" s="20"/>
      <c r="AB6" s="20"/>
      <c r="AC6" s="20"/>
    </row>
    <row r="7" spans="1:33" x14ac:dyDescent="0.25">
      <c r="D7" s="19" t="s">
        <v>70</v>
      </c>
      <c r="E7" s="19"/>
      <c r="F7" s="154">
        <f>'2045_24hr_all_attractions'!$Q$35</f>
        <v>0.64373267284932234</v>
      </c>
      <c r="G7" s="154">
        <f>'2045_24hr_all_attractions'!$S$35</f>
        <v>0.10362046562246396</v>
      </c>
      <c r="H7" s="154">
        <f>'2045_24hr_all_attractions'!$T$35</f>
        <v>0.176430853234636</v>
      </c>
      <c r="I7" s="154">
        <f>'2045_24hr_all_attractions'!$R$35</f>
        <v>7.6216008293577636E-2</v>
      </c>
      <c r="J7" s="154">
        <f>+H7+I7</f>
        <v>0.25264686152821364</v>
      </c>
      <c r="L7" s="21" t="s">
        <v>71</v>
      </c>
      <c r="M7" s="22">
        <f>ITECountywide!B4</f>
        <v>1.67</v>
      </c>
      <c r="O7" s="144"/>
      <c r="P7" s="144"/>
      <c r="Q7" s="670"/>
      <c r="R7" s="145"/>
      <c r="S7" s="145"/>
      <c r="T7" s="146"/>
      <c r="Y7" s="20"/>
      <c r="Z7" s="20"/>
      <c r="AA7" s="20"/>
      <c r="AB7" s="20"/>
      <c r="AC7" s="20"/>
    </row>
    <row r="8" spans="1:33" x14ac:dyDescent="0.25">
      <c r="D8" s="19" t="s">
        <v>72</v>
      </c>
      <c r="E8" s="19"/>
      <c r="F8" s="116">
        <f>'2045_24hr_all_productions'!$M$39</f>
        <v>8.069603635288443</v>
      </c>
      <c r="G8" s="116">
        <f>'2045_24hr_all_productions'!$O$39</f>
        <v>5.7469378194207836</v>
      </c>
      <c r="H8" s="116">
        <f>'2045_24hr_all_productions'!$P$39</f>
        <v>0.83815592565773589</v>
      </c>
      <c r="I8" s="116">
        <f>'2045_24hr_all_productions'!$N$39</f>
        <v>4.0323313633584679</v>
      </c>
      <c r="J8" s="116">
        <f>+((H6/J6)*H8)+(I6/J6*I8)</f>
        <v>1.7422756114443934</v>
      </c>
      <c r="K8" s="67"/>
      <c r="N8" s="25"/>
      <c r="O8" s="25"/>
      <c r="P8" s="25"/>
      <c r="Q8" s="25"/>
      <c r="R8" s="20"/>
      <c r="S8" s="26"/>
      <c r="T8" s="26"/>
      <c r="U8" s="23"/>
      <c r="V8" s="20"/>
      <c r="W8" s="20"/>
      <c r="X8" s="20"/>
      <c r="Y8" s="20"/>
      <c r="Z8" s="20"/>
      <c r="AA8" s="20"/>
      <c r="AB8" s="20"/>
      <c r="AC8" s="20"/>
    </row>
    <row r="9" spans="1:33" x14ac:dyDescent="0.25">
      <c r="D9" s="19" t="s">
        <v>73</v>
      </c>
      <c r="E9" s="19"/>
      <c r="F9" s="116">
        <f>'2045_24hr_all_attractions'!$M$35</f>
        <v>7.4131598277332049</v>
      </c>
      <c r="G9" s="116">
        <f>'2045_24hr_all_attractions'!$O$35</f>
        <v>6.0539163403426963</v>
      </c>
      <c r="H9" s="116">
        <f>'2045_24hr_all_attractions'!$P$35</f>
        <v>0.8430772912179948</v>
      </c>
      <c r="I9" s="116">
        <f>'2045_24hr_all_attractions'!$N$35</f>
        <v>3.5791106324049857</v>
      </c>
      <c r="J9" s="116">
        <f>+((H7/J7)*H9)+(I7/J7*I9)</f>
        <v>1.6684567895503961</v>
      </c>
      <c r="K9" s="67"/>
      <c r="L9" s="25"/>
      <c r="M9" s="25"/>
      <c r="N9" s="25"/>
      <c r="O9" s="25"/>
      <c r="P9" s="25"/>
      <c r="Q9" s="25"/>
      <c r="R9" s="20"/>
      <c r="S9" s="26"/>
      <c r="T9" s="26"/>
      <c r="U9" s="23"/>
      <c r="V9" s="20"/>
      <c r="W9" s="20"/>
      <c r="X9" s="20"/>
      <c r="Y9" s="20"/>
      <c r="Z9" s="20"/>
      <c r="AA9" s="20"/>
      <c r="AB9" s="20"/>
      <c r="AC9" s="20"/>
    </row>
    <row r="10" spans="1:33" x14ac:dyDescent="0.25">
      <c r="D10" s="69"/>
      <c r="E10" s="69"/>
      <c r="F10" s="69"/>
      <c r="J10" s="20"/>
      <c r="K10" s="67"/>
      <c r="L10" s="25"/>
      <c r="M10" s="25"/>
      <c r="N10" s="25"/>
      <c r="O10" s="25"/>
      <c r="P10" s="20"/>
      <c r="Q10" s="25"/>
      <c r="R10" s="20"/>
      <c r="S10" s="26"/>
      <c r="T10" s="27"/>
      <c r="U10" s="25"/>
      <c r="V10" s="20"/>
      <c r="W10" s="20"/>
      <c r="X10" s="25"/>
      <c r="Y10" s="20"/>
      <c r="Z10" s="20"/>
      <c r="AA10" s="25"/>
      <c r="AB10" s="20"/>
      <c r="AC10" s="20"/>
    </row>
    <row r="11" spans="1:33" ht="16.5" x14ac:dyDescent="0.25">
      <c r="B11" s="149"/>
      <c r="C11" s="29"/>
      <c r="D11" s="30"/>
      <c r="E11" s="30"/>
      <c r="F11" s="30"/>
      <c r="G11" s="30"/>
      <c r="H11" s="31"/>
      <c r="I11" s="32"/>
      <c r="J11" s="777" t="s">
        <v>74</v>
      </c>
      <c r="K11" s="778"/>
      <c r="L11" s="778"/>
      <c r="M11" s="778"/>
      <c r="N11" s="778"/>
      <c r="O11" s="778"/>
      <c r="P11" s="779"/>
      <c r="Q11" s="768" t="s">
        <v>75</v>
      </c>
      <c r="R11" s="769"/>
      <c r="S11" s="769"/>
      <c r="T11" s="770"/>
      <c r="U11" s="768" t="s">
        <v>61</v>
      </c>
      <c r="V11" s="769"/>
      <c r="W11" s="770"/>
      <c r="X11" s="768" t="s">
        <v>66</v>
      </c>
      <c r="Y11" s="769"/>
      <c r="Z11" s="770"/>
      <c r="AA11" s="768" t="s">
        <v>63</v>
      </c>
      <c r="AB11" s="769"/>
      <c r="AC11" s="770"/>
    </row>
    <row r="12" spans="1:33" s="9" customFormat="1" ht="79.5" x14ac:dyDescent="0.3">
      <c r="B12" s="739" t="s">
        <v>76</v>
      </c>
      <c r="C12" s="671" t="s">
        <v>77</v>
      </c>
      <c r="D12" s="234" t="s">
        <v>78</v>
      </c>
      <c r="E12" s="234" t="s">
        <v>79</v>
      </c>
      <c r="F12" s="234" t="s">
        <v>80</v>
      </c>
      <c r="G12" s="234" t="s">
        <v>81</v>
      </c>
      <c r="H12" s="672" t="s">
        <v>82</v>
      </c>
      <c r="I12" s="234" t="s">
        <v>83</v>
      </c>
      <c r="J12" s="673" t="s">
        <v>84</v>
      </c>
      <c r="K12" s="673" t="s">
        <v>85</v>
      </c>
      <c r="L12" s="674" t="s">
        <v>86</v>
      </c>
      <c r="M12" s="740" t="s">
        <v>87</v>
      </c>
      <c r="N12" s="740" t="s">
        <v>88</v>
      </c>
      <c r="O12" s="675" t="s">
        <v>89</v>
      </c>
      <c r="P12" s="150" t="s">
        <v>90</v>
      </c>
      <c r="Q12" s="676" t="s">
        <v>91</v>
      </c>
      <c r="R12" s="673" t="s">
        <v>92</v>
      </c>
      <c r="S12" s="677" t="s">
        <v>93</v>
      </c>
      <c r="T12" s="678" t="s">
        <v>94</v>
      </c>
      <c r="U12" s="679" t="s">
        <v>91</v>
      </c>
      <c r="V12" s="677" t="s">
        <v>95</v>
      </c>
      <c r="W12" s="678" t="s">
        <v>94</v>
      </c>
      <c r="X12" s="679" t="s">
        <v>91</v>
      </c>
      <c r="Y12" s="677" t="s">
        <v>96</v>
      </c>
      <c r="Z12" s="678" t="s">
        <v>94</v>
      </c>
      <c r="AA12" s="679" t="s">
        <v>97</v>
      </c>
      <c r="AB12" s="677" t="s">
        <v>96</v>
      </c>
      <c r="AC12" s="678" t="s">
        <v>94</v>
      </c>
    </row>
    <row r="13" spans="1:33" s="20" customFormat="1" x14ac:dyDescent="0.25">
      <c r="B13" s="263">
        <f>ITE_LUC_Rates!B3</f>
        <v>110</v>
      </c>
      <c r="C13" s="56" t="str">
        <f>ITE_LUC_Rates!C3</f>
        <v>General Light Industrial</v>
      </c>
      <c r="D13" s="57" t="str">
        <f>ITE_LUC_Rates!D3</f>
        <v>1000 GSF</v>
      </c>
      <c r="E13" s="264">
        <v>1</v>
      </c>
      <c r="F13" s="129">
        <f>ITE_LUC_Rates!H3</f>
        <v>4.96</v>
      </c>
      <c r="G13" s="58" t="s">
        <v>71</v>
      </c>
      <c r="H13" s="104">
        <f>ITE_LUC_Rates!Q3</f>
        <v>0</v>
      </c>
      <c r="I13" s="115">
        <f t="shared" ref="I13:I19" si="0">+T13+W13+Z13+AC13</f>
        <v>4576.7949530275728</v>
      </c>
      <c r="J13" s="99">
        <f>ITECountywide!$B$9*F13*E13</f>
        <v>8.9903994029645062</v>
      </c>
      <c r="K13" s="24">
        <f t="shared" ref="K13:K19" si="1">IF(G13="Prod",$M$6,$M$7)</f>
        <v>1.67</v>
      </c>
      <c r="L13" s="59">
        <f t="shared" ref="L13:L19" si="2">IF(G13="Prod",$F$6,$F$7)</f>
        <v>0.64373267284932234</v>
      </c>
      <c r="M13" s="24">
        <f>Passby_Length_Adj!H9</f>
        <v>1</v>
      </c>
      <c r="N13" s="24">
        <f>Passby_Length_Adj!J9</f>
        <v>1</v>
      </c>
      <c r="O13" s="59">
        <v>0.5</v>
      </c>
      <c r="P13" s="62">
        <f t="shared" ref="P13:P19" si="3">M13*N13*O13</f>
        <v>0.5</v>
      </c>
      <c r="Q13" s="63">
        <f t="shared" ref="Q13:Q19" si="4">IF($G13="Prod",$J13*$P13*$F$6*$F$8,$J13*P13*$F$7*$F$9)</f>
        <v>21.451511883879327</v>
      </c>
      <c r="R13" s="64">
        <f t="shared" ref="R13:R19" si="5">+Q13/K13</f>
        <v>12.845216696933729</v>
      </c>
      <c r="S13" s="14">
        <f t="shared" ref="S13:S19" si="6">+$Q$6</f>
        <v>261.71052631578948</v>
      </c>
      <c r="T13" s="61">
        <f>+R13*S13</f>
        <v>3361.7284223948932</v>
      </c>
      <c r="U13" s="63">
        <f t="shared" ref="U13:U19" si="7">IF($G13="Prod",$J13*$P13*$G$6*$G$8,$J13*$P13*$G$7*$G$9)</f>
        <v>2.8198820616287086</v>
      </c>
      <c r="V13" s="60">
        <f t="shared" ref="V13:V19" si="8">+$R$6</f>
        <v>405.42115030277023</v>
      </c>
      <c r="W13" s="61">
        <f t="shared" ref="W13:W19" si="9">+U13*V13</f>
        <v>1143.2398291436582</v>
      </c>
      <c r="X13" s="63">
        <f t="shared" ref="X13:X19" si="10">IF($G13="Prod",$J13*$P13*$J$6*$J$8,$J13*$P13*$J$7*$J$9)</f>
        <v>1.8948632000216821</v>
      </c>
      <c r="Y13" s="60">
        <f t="shared" ref="Y13:Y19" si="11">+$S$6</f>
        <v>37.9060089869281</v>
      </c>
      <c r="Z13" s="61">
        <f t="shared" ref="Z13:Z19" si="12">+X13*Y13</f>
        <v>71.826701489021218</v>
      </c>
      <c r="AA13" s="63">
        <f t="shared" ref="AA13:AA19" si="13">IF($G13="Prod",$J13*$P13*$I$6*$I$8,$J13*$P13*$I$7*$I$9)</f>
        <v>1.2262254134391393</v>
      </c>
      <c r="AB13" s="60">
        <f t="shared" ref="AB13:AB19" si="14">$T$6</f>
        <v>0</v>
      </c>
      <c r="AC13" s="61">
        <f t="shared" ref="AC13:AC19" si="15">+AA13*AB13</f>
        <v>0</v>
      </c>
      <c r="AG13" s="66"/>
    </row>
    <row r="14" spans="1:33" s="20" customFormat="1" x14ac:dyDescent="0.25">
      <c r="B14" s="263">
        <f>ITE_LUC_Rates!B4</f>
        <v>130</v>
      </c>
      <c r="C14" s="56" t="str">
        <f>ITE_LUC_Rates!C4</f>
        <v>Industrial Park</v>
      </c>
      <c r="D14" s="57" t="str">
        <f>ITE_LUC_Rates!D4</f>
        <v>1000 GSF</v>
      </c>
      <c r="E14" s="264">
        <v>1</v>
      </c>
      <c r="F14" s="129">
        <f>ITE_LUC_Rates!H4</f>
        <v>3.37</v>
      </c>
      <c r="G14" s="58" t="s">
        <v>71</v>
      </c>
      <c r="H14" s="104">
        <f>ITE_LUC_Rates!Q4</f>
        <v>7020.7</v>
      </c>
      <c r="I14" s="115">
        <f t="shared" si="0"/>
        <v>3109.6368934884913</v>
      </c>
      <c r="J14" s="99">
        <f>ITECountywide!$B$9*F14*E14</f>
        <v>6.1083963685464484</v>
      </c>
      <c r="K14" s="24">
        <f t="shared" si="1"/>
        <v>1.67</v>
      </c>
      <c r="L14" s="59">
        <f t="shared" si="2"/>
        <v>0.64373267284932234</v>
      </c>
      <c r="M14" s="24">
        <f>Passby_Length_Adj!H10</f>
        <v>1</v>
      </c>
      <c r="N14" s="24">
        <f>Passby_Length_Adj!J10</f>
        <v>1</v>
      </c>
      <c r="O14" s="59">
        <v>0.5</v>
      </c>
      <c r="P14" s="62">
        <f t="shared" si="3"/>
        <v>0.5</v>
      </c>
      <c r="Q14" s="63">
        <f t="shared" si="4"/>
        <v>14.574918356587364</v>
      </c>
      <c r="R14" s="64">
        <f t="shared" si="5"/>
        <v>8.7274960219086015</v>
      </c>
      <c r="S14" s="14">
        <f t="shared" si="6"/>
        <v>261.71052631578948</v>
      </c>
      <c r="T14" s="61">
        <f t="shared" ref="T14:T19" si="16">+R14*S14</f>
        <v>2284.0775773126588</v>
      </c>
      <c r="U14" s="63">
        <f t="shared" si="7"/>
        <v>1.9159279330017633</v>
      </c>
      <c r="V14" s="60">
        <f t="shared" si="8"/>
        <v>405.42115030277023</v>
      </c>
      <c r="W14" s="61">
        <f t="shared" si="9"/>
        <v>776.75770649478375</v>
      </c>
      <c r="X14" s="63">
        <f t="shared" si="10"/>
        <v>1.287437295176022</v>
      </c>
      <c r="Y14" s="60">
        <f t="shared" si="11"/>
        <v>37.9060089869281</v>
      </c>
      <c r="Z14" s="61">
        <f t="shared" si="12"/>
        <v>48.801609681048696</v>
      </c>
      <c r="AA14" s="63">
        <f t="shared" si="13"/>
        <v>0.83314105711489905</v>
      </c>
      <c r="AB14" s="60">
        <f t="shared" si="14"/>
        <v>0</v>
      </c>
      <c r="AC14" s="61">
        <f t="shared" si="15"/>
        <v>0</v>
      </c>
    </row>
    <row r="15" spans="1:33" s="20" customFormat="1" x14ac:dyDescent="0.25">
      <c r="B15" s="263">
        <f>ITE_LUC_Rates!B5</f>
        <v>140</v>
      </c>
      <c r="C15" s="56" t="str">
        <f>ITE_LUC_Rates!C5</f>
        <v>Manufacturing</v>
      </c>
      <c r="D15" s="57" t="str">
        <f>ITE_LUC_Rates!D5</f>
        <v>1000 GSF</v>
      </c>
      <c r="E15" s="264">
        <v>1</v>
      </c>
      <c r="F15" s="129">
        <f>ITE_LUC_Rates!H5</f>
        <v>3.93</v>
      </c>
      <c r="G15" s="58" t="s">
        <v>71</v>
      </c>
      <c r="H15" s="104">
        <f>ITE_LUC_Rates!Q5</f>
        <v>3853.5</v>
      </c>
      <c r="I15" s="115">
        <f t="shared" si="0"/>
        <v>3626.371807539992</v>
      </c>
      <c r="J15" s="99">
        <f>ITECountywide!$B$9*F15*E15</f>
        <v>7.1234414624295379</v>
      </c>
      <c r="K15" s="24">
        <f t="shared" si="1"/>
        <v>1.67</v>
      </c>
      <c r="L15" s="59">
        <f t="shared" si="2"/>
        <v>0.64373267284932234</v>
      </c>
      <c r="M15" s="24">
        <f>Passby_Length_Adj!H11</f>
        <v>1</v>
      </c>
      <c r="N15" s="24">
        <f>Passby_Length_Adj!J11</f>
        <v>1</v>
      </c>
      <c r="O15" s="59">
        <v>0.5</v>
      </c>
      <c r="P15" s="62">
        <f t="shared" si="3"/>
        <v>0.5</v>
      </c>
      <c r="Q15" s="63">
        <f t="shared" si="4"/>
        <v>16.996863246702773</v>
      </c>
      <c r="R15" s="64">
        <f t="shared" si="5"/>
        <v>10.177762423175313</v>
      </c>
      <c r="S15" s="14">
        <f t="shared" si="6"/>
        <v>261.71052631578948</v>
      </c>
      <c r="T15" s="61">
        <f t="shared" si="16"/>
        <v>2663.6275604862763</v>
      </c>
      <c r="U15" s="63">
        <f t="shared" si="7"/>
        <v>2.2343017141533918</v>
      </c>
      <c r="V15" s="60">
        <f t="shared" si="8"/>
        <v>405.42115030277023</v>
      </c>
      <c r="W15" s="61">
        <f t="shared" si="9"/>
        <v>905.83317107551943</v>
      </c>
      <c r="X15" s="63">
        <f t="shared" si="10"/>
        <v>1.5013734629204054</v>
      </c>
      <c r="Y15" s="60">
        <f t="shared" si="11"/>
        <v>37.9060089869281</v>
      </c>
      <c r="Z15" s="61">
        <f t="shared" si="12"/>
        <v>56.911075978196251</v>
      </c>
      <c r="AA15" s="63">
        <f t="shared" si="13"/>
        <v>0.97158586185802776</v>
      </c>
      <c r="AB15" s="60">
        <f t="shared" si="14"/>
        <v>0</v>
      </c>
      <c r="AC15" s="61">
        <f t="shared" si="15"/>
        <v>0</v>
      </c>
      <c r="AE15" s="66"/>
    </row>
    <row r="16" spans="1:33" s="20" customFormat="1" x14ac:dyDescent="0.25">
      <c r="B16" s="263">
        <f>ITE_LUC_Rates!B6</f>
        <v>150</v>
      </c>
      <c r="C16" s="56" t="str">
        <f>ITE_LUC_Rates!C6</f>
        <v>Warehousing</v>
      </c>
      <c r="D16" s="57" t="str">
        <f>ITE_LUC_Rates!D6</f>
        <v>1000 GSF</v>
      </c>
      <c r="E16" s="264">
        <v>1</v>
      </c>
      <c r="F16" s="129">
        <f>ITE_LUC_Rates!H6</f>
        <v>1.74</v>
      </c>
      <c r="G16" s="58" t="s">
        <v>71</v>
      </c>
      <c r="H16" s="104">
        <f>ITE_LUC_Rates!Q6</f>
        <v>5002.3</v>
      </c>
      <c r="I16" s="115">
        <f t="shared" si="0"/>
        <v>1605.5691972314467</v>
      </c>
      <c r="J16" s="99">
        <f>ITECountywide!$B$9*F16*E16</f>
        <v>3.1538901131367418</v>
      </c>
      <c r="K16" s="24">
        <f t="shared" si="1"/>
        <v>1.67</v>
      </c>
      <c r="L16" s="59">
        <f t="shared" si="2"/>
        <v>0.64373267284932234</v>
      </c>
      <c r="M16" s="24">
        <f>Passby_Length_Adj!H12</f>
        <v>1</v>
      </c>
      <c r="N16" s="24">
        <f>Passby_Length_Adj!J12</f>
        <v>1</v>
      </c>
      <c r="O16" s="59">
        <v>0.5</v>
      </c>
      <c r="P16" s="62">
        <f t="shared" si="3"/>
        <v>0.5</v>
      </c>
      <c r="Q16" s="63">
        <f t="shared" si="4"/>
        <v>7.5253287657157308</v>
      </c>
      <c r="R16" s="64">
        <f t="shared" si="5"/>
        <v>4.5061848896501386</v>
      </c>
      <c r="S16" s="14">
        <f t="shared" si="6"/>
        <v>261.71052631578948</v>
      </c>
      <c r="T16" s="61">
        <f t="shared" si="16"/>
        <v>1179.3160191465954</v>
      </c>
      <c r="U16" s="63">
        <f t="shared" si="7"/>
        <v>0.98923282000684531</v>
      </c>
      <c r="V16" s="60">
        <f t="shared" si="8"/>
        <v>405.42115030277023</v>
      </c>
      <c r="W16" s="61">
        <f t="shared" si="9"/>
        <v>401.0559078044285</v>
      </c>
      <c r="X16" s="63">
        <f t="shared" si="10"/>
        <v>0.66473023549147714</v>
      </c>
      <c r="Y16" s="60">
        <f t="shared" si="11"/>
        <v>37.9060089869281</v>
      </c>
      <c r="Z16" s="61">
        <f t="shared" si="12"/>
        <v>25.197270280422764</v>
      </c>
      <c r="AA16" s="63">
        <f t="shared" si="13"/>
        <v>0.43016778616614965</v>
      </c>
      <c r="AB16" s="60">
        <f t="shared" si="14"/>
        <v>0</v>
      </c>
      <c r="AC16" s="61">
        <f t="shared" si="15"/>
        <v>0</v>
      </c>
    </row>
    <row r="17" spans="1:31" s="20" customFormat="1" x14ac:dyDescent="0.25">
      <c r="B17" s="263">
        <f>ITE_LUC_Rates!B7</f>
        <v>151</v>
      </c>
      <c r="C17" s="56" t="str">
        <f>ITE_LUC_Rates!C7</f>
        <v>Mini-Warehousing</v>
      </c>
      <c r="D17" s="57" t="str">
        <f>ITE_LUC_Rates!D7</f>
        <v>1000 GSF</v>
      </c>
      <c r="E17" s="264">
        <v>1</v>
      </c>
      <c r="F17" s="129">
        <f>ITE_LUC_Rates!H7</f>
        <v>1.51</v>
      </c>
      <c r="G17" s="58" t="s">
        <v>71</v>
      </c>
      <c r="H17" s="104">
        <f>ITE_LUC_Rates!Q7</f>
        <v>2415.4</v>
      </c>
      <c r="I17" s="115">
        <f t="shared" si="0"/>
        <v>1393.3387861031524</v>
      </c>
      <c r="J17" s="99">
        <f>ITECountywide!$B$9*F17*E17</f>
        <v>2.736996592434759</v>
      </c>
      <c r="K17" s="100">
        <f t="shared" si="1"/>
        <v>1.67</v>
      </c>
      <c r="L17" s="59">
        <f t="shared" si="2"/>
        <v>0.64373267284932234</v>
      </c>
      <c r="M17" s="24">
        <f>Passby_Length_Adj!H13</f>
        <v>1</v>
      </c>
      <c r="N17" s="24">
        <f>Passby_Length_Adj!J13</f>
        <v>1</v>
      </c>
      <c r="O17" s="59">
        <v>0.5</v>
      </c>
      <c r="P17" s="62">
        <f t="shared" si="3"/>
        <v>0.5</v>
      </c>
      <c r="Q17" s="63">
        <f t="shared" si="4"/>
        <v>6.5306014001326176</v>
      </c>
      <c r="R17" s="64">
        <f>+Q17/K17</f>
        <v>3.910539760558454</v>
      </c>
      <c r="S17" s="14">
        <f t="shared" si="6"/>
        <v>261.71052631578948</v>
      </c>
      <c r="T17" s="61">
        <f t="shared" si="16"/>
        <v>1023.4294189145744</v>
      </c>
      <c r="U17" s="63">
        <f t="shared" si="7"/>
        <v>0.85847215989099801</v>
      </c>
      <c r="V17" s="60">
        <f t="shared" si="8"/>
        <v>405.42115030277023</v>
      </c>
      <c r="W17" s="61">
        <f t="shared" si="9"/>
        <v>348.04277056591212</v>
      </c>
      <c r="X17" s="63">
        <f t="shared" si="10"/>
        <v>0.5768635951678911</v>
      </c>
      <c r="Y17" s="60">
        <f t="shared" si="11"/>
        <v>37.9060089869281</v>
      </c>
      <c r="Z17" s="61">
        <f t="shared" si="12"/>
        <v>21.866596622665732</v>
      </c>
      <c r="AA17" s="63">
        <f t="shared" si="13"/>
        <v>0.37330652707522188</v>
      </c>
      <c r="AB17" s="60">
        <f t="shared" si="14"/>
        <v>0</v>
      </c>
      <c r="AC17" s="61">
        <f t="shared" si="15"/>
        <v>0</v>
      </c>
    </row>
    <row r="18" spans="1:31" s="20" customFormat="1" x14ac:dyDescent="0.25">
      <c r="B18" s="263">
        <f>ITE_LUC_Rates!B8</f>
        <v>160</v>
      </c>
      <c r="C18" s="56" t="str">
        <f>ITE_LUC_Rates!C8</f>
        <v>Data Center</v>
      </c>
      <c r="D18" s="57" t="str">
        <f>ITE_LUC_Rates!D8</f>
        <v>1000 GSF</v>
      </c>
      <c r="E18" s="264">
        <v>1</v>
      </c>
      <c r="F18" s="129">
        <f>ITE_LUC_Rates!H8</f>
        <v>0.99</v>
      </c>
      <c r="G18" s="58" t="s">
        <v>71</v>
      </c>
      <c r="H18" s="104">
        <f>ITE_LUC_Rates!Q8</f>
        <v>0</v>
      </c>
      <c r="I18" s="115">
        <f t="shared" si="0"/>
        <v>913.51350876961624</v>
      </c>
      <c r="J18" s="99">
        <f>ITECountywide!$B$9*F18*E18</f>
        <v>1.7944547195433187</v>
      </c>
      <c r="K18" s="24">
        <f t="shared" si="1"/>
        <v>1.67</v>
      </c>
      <c r="L18" s="59">
        <f t="shared" si="2"/>
        <v>0.64373267284932234</v>
      </c>
      <c r="M18" s="24">
        <f>Passby_Length_Adj!H14</f>
        <v>1</v>
      </c>
      <c r="N18" s="24">
        <f>Passby_Length_Adj!J14</f>
        <v>1</v>
      </c>
      <c r="O18" s="59">
        <v>0.5</v>
      </c>
      <c r="P18" s="62">
        <f t="shared" si="3"/>
        <v>0.5</v>
      </c>
      <c r="Q18" s="63">
        <f t="shared" si="4"/>
        <v>4.2816525735968813</v>
      </c>
      <c r="R18" s="64">
        <f t="shared" si="5"/>
        <v>2.5638638165250787</v>
      </c>
      <c r="S18" s="14">
        <f t="shared" si="6"/>
        <v>261.71052631578948</v>
      </c>
      <c r="T18" s="61">
        <f t="shared" si="16"/>
        <v>670.99014882478707</v>
      </c>
      <c r="U18" s="63">
        <f t="shared" si="7"/>
        <v>0.56283936310734295</v>
      </c>
      <c r="V18" s="60">
        <f t="shared" si="8"/>
        <v>405.42115030277023</v>
      </c>
      <c r="W18" s="61">
        <f t="shared" si="9"/>
        <v>228.18698202665755</v>
      </c>
      <c r="X18" s="63">
        <f t="shared" si="10"/>
        <v>0.37820858226239223</v>
      </c>
      <c r="Y18" s="60">
        <f t="shared" si="11"/>
        <v>37.9060089869281</v>
      </c>
      <c r="Z18" s="61">
        <f t="shared" si="12"/>
        <v>14.336377918171575</v>
      </c>
      <c r="AA18" s="63">
        <f t="shared" si="13"/>
        <v>0.2447506369566024</v>
      </c>
      <c r="AB18" s="60">
        <f t="shared" si="14"/>
        <v>0</v>
      </c>
      <c r="AC18" s="61">
        <f t="shared" si="15"/>
        <v>0</v>
      </c>
      <c r="AE18" s="65"/>
    </row>
    <row r="19" spans="1:31" s="20" customFormat="1" x14ac:dyDescent="0.25">
      <c r="B19" s="263">
        <f>ITE_LUC_Rates!B9</f>
        <v>170</v>
      </c>
      <c r="C19" s="56" t="str">
        <f>ITE_LUC_Rates!C9</f>
        <v>Utility</v>
      </c>
      <c r="D19" s="57" t="str">
        <f>ITE_LUC_Rates!D9</f>
        <v>1000 GSF</v>
      </c>
      <c r="E19" s="264">
        <v>1</v>
      </c>
      <c r="F19" s="129">
        <f>ITE_LUC_Rates!H9</f>
        <v>13.24</v>
      </c>
      <c r="G19" s="58" t="s">
        <v>71</v>
      </c>
      <c r="H19" s="104">
        <f>ITE_LUC_Rates!Q9</f>
        <v>0</v>
      </c>
      <c r="I19" s="115">
        <f t="shared" si="0"/>
        <v>12217.089753646182</v>
      </c>
      <c r="J19" s="99">
        <f>ITECountywide!$B$9*F19*E19</f>
        <v>23.998566148235899</v>
      </c>
      <c r="K19" s="24">
        <f t="shared" si="1"/>
        <v>1.67</v>
      </c>
      <c r="L19" s="59">
        <f t="shared" si="2"/>
        <v>0.64373267284932234</v>
      </c>
      <c r="M19" s="24">
        <f>Passby_Length_Adj!H15</f>
        <v>1</v>
      </c>
      <c r="N19" s="24">
        <f>Passby_Length_Adj!J15</f>
        <v>1</v>
      </c>
      <c r="O19" s="59">
        <v>0.5</v>
      </c>
      <c r="P19" s="62">
        <f t="shared" si="3"/>
        <v>0.5</v>
      </c>
      <c r="Q19" s="63">
        <f t="shared" si="4"/>
        <v>57.261697044871426</v>
      </c>
      <c r="R19" s="64">
        <f t="shared" si="5"/>
        <v>34.288441344234386</v>
      </c>
      <c r="S19" s="14">
        <f t="shared" si="6"/>
        <v>261.71052631578948</v>
      </c>
      <c r="T19" s="61">
        <f t="shared" si="16"/>
        <v>8973.6460307476573</v>
      </c>
      <c r="U19" s="63">
        <f t="shared" si="7"/>
        <v>7.5272658257992138</v>
      </c>
      <c r="V19" s="60">
        <f t="shared" si="8"/>
        <v>405.42115030277023</v>
      </c>
      <c r="W19" s="61">
        <f t="shared" si="9"/>
        <v>3051.712769730249</v>
      </c>
      <c r="X19" s="63">
        <f t="shared" si="10"/>
        <v>5.0580622516707807</v>
      </c>
      <c r="Y19" s="60">
        <f t="shared" si="11"/>
        <v>37.9060089869281</v>
      </c>
      <c r="Z19" s="61">
        <f t="shared" si="12"/>
        <v>191.7309531682744</v>
      </c>
      <c r="AA19" s="63">
        <f t="shared" si="13"/>
        <v>3.2732307407125414</v>
      </c>
      <c r="AB19" s="60">
        <f t="shared" si="14"/>
        <v>0</v>
      </c>
      <c r="AC19" s="61">
        <f t="shared" si="15"/>
        <v>0</v>
      </c>
    </row>
    <row r="20" spans="1:31" s="20" customFormat="1" x14ac:dyDescent="0.25">
      <c r="A20" s="102"/>
      <c r="B20" s="101" t="s">
        <v>98</v>
      </c>
      <c r="C20" s="56"/>
      <c r="D20" s="119"/>
      <c r="E20" s="119"/>
      <c r="F20" s="118"/>
      <c r="G20" s="100"/>
      <c r="H20" s="60"/>
      <c r="I20" s="120">
        <f>SUM(I13:I19)</f>
        <v>27442.314899806457</v>
      </c>
      <c r="J20" s="56"/>
      <c r="K20" s="100"/>
      <c r="L20" s="25"/>
      <c r="M20" s="25"/>
      <c r="N20" s="25"/>
      <c r="O20" s="25"/>
      <c r="P20" s="25"/>
      <c r="Q20" s="25"/>
      <c r="S20" s="26"/>
      <c r="T20" s="26"/>
      <c r="U20" s="23"/>
      <c r="Z20" s="102"/>
      <c r="AA20" s="64"/>
    </row>
    <row r="21" spans="1:31" s="20" customFormat="1" x14ac:dyDescent="0.25">
      <c r="B21" s="68"/>
      <c r="C21" s="56"/>
      <c r="D21" s="119"/>
      <c r="E21" s="119"/>
      <c r="F21" s="119"/>
      <c r="G21" s="100"/>
      <c r="H21" s="60"/>
      <c r="I21" s="120"/>
      <c r="J21" s="56"/>
      <c r="K21" s="100"/>
      <c r="L21" s="25"/>
      <c r="M21" s="25"/>
      <c r="N21" s="25"/>
      <c r="O21" s="25"/>
      <c r="P21" s="25"/>
      <c r="Q21" s="25"/>
      <c r="S21" s="26"/>
      <c r="T21" s="26"/>
      <c r="U21" s="23"/>
      <c r="Z21" s="102"/>
      <c r="AA21" s="64"/>
    </row>
    <row r="22" spans="1:31" s="20" customFormat="1" x14ac:dyDescent="0.25">
      <c r="B22" s="68"/>
      <c r="C22" s="56"/>
      <c r="D22" s="119"/>
      <c r="E22" s="119"/>
      <c r="F22" s="119"/>
      <c r="G22" s="100"/>
      <c r="H22" s="60"/>
      <c r="I22" s="56"/>
      <c r="J22" s="56"/>
      <c r="K22" s="100"/>
      <c r="L22" s="25"/>
      <c r="M22" s="25"/>
      <c r="N22" s="25"/>
      <c r="O22" s="25"/>
      <c r="P22" s="25"/>
      <c r="Q22" s="25"/>
      <c r="S22" s="26"/>
      <c r="T22" s="26"/>
      <c r="U22" s="23"/>
      <c r="Z22" s="102"/>
      <c r="AA22" s="64"/>
    </row>
    <row r="23" spans="1:31" x14ac:dyDescent="0.25">
      <c r="C23" s="33"/>
      <c r="D23" s="119"/>
      <c r="E23" s="119"/>
      <c r="F23" s="119"/>
      <c r="G23" s="100"/>
      <c r="H23" s="60"/>
      <c r="I23" s="56"/>
      <c r="J23" s="33"/>
      <c r="K23" s="121"/>
      <c r="Z23" s="103"/>
      <c r="AA23" s="64"/>
    </row>
    <row r="24" spans="1:31" x14ac:dyDescent="0.25">
      <c r="C24" s="33"/>
      <c r="D24" s="119"/>
      <c r="E24" s="119"/>
      <c r="F24" s="119"/>
      <c r="G24" s="100"/>
      <c r="H24" s="60"/>
      <c r="I24" s="56"/>
      <c r="J24" s="33"/>
      <c r="K24" s="121"/>
      <c r="Z24" s="103"/>
      <c r="AA24" s="64"/>
    </row>
    <row r="25" spans="1:31" x14ac:dyDescent="0.25">
      <c r="C25" s="33"/>
      <c r="D25" s="119"/>
      <c r="E25" s="119"/>
      <c r="F25" s="119"/>
      <c r="G25" s="100"/>
      <c r="H25" s="60"/>
      <c r="I25" s="56"/>
      <c r="J25" s="33"/>
      <c r="K25" s="121"/>
      <c r="Z25" s="103"/>
      <c r="AA25" s="64"/>
    </row>
    <row r="26" spans="1:31" x14ac:dyDescent="0.25">
      <c r="C26" s="33"/>
      <c r="D26" s="119"/>
      <c r="E26" s="119"/>
      <c r="F26" s="119"/>
      <c r="G26" s="100"/>
      <c r="H26" s="60"/>
      <c r="I26" s="56"/>
      <c r="J26" s="33"/>
      <c r="K26" s="121"/>
      <c r="Z26" s="103"/>
      <c r="AA26" s="64"/>
    </row>
    <row r="27" spans="1:31" x14ac:dyDescent="0.25">
      <c r="C27" s="33"/>
      <c r="G27" s="121"/>
      <c r="H27" s="60"/>
      <c r="I27" s="33"/>
      <c r="J27" s="33"/>
      <c r="K27" s="121"/>
      <c r="Z27" s="103"/>
      <c r="AA27" s="64"/>
    </row>
    <row r="28" spans="1:31" x14ac:dyDescent="0.25">
      <c r="C28" s="33"/>
      <c r="G28" s="121"/>
      <c r="H28" s="60"/>
      <c r="I28" s="33"/>
      <c r="J28" s="33"/>
      <c r="K28" s="121"/>
      <c r="Z28" s="103"/>
      <c r="AA28" s="64"/>
    </row>
    <row r="29" spans="1:31" x14ac:dyDescent="0.25">
      <c r="C29" s="33"/>
      <c r="G29" s="121"/>
      <c r="H29" s="122"/>
      <c r="I29" s="33"/>
      <c r="J29" s="33"/>
      <c r="K29" s="121"/>
      <c r="Z29" s="103"/>
      <c r="AA29" s="64"/>
    </row>
    <row r="30" spans="1:31" x14ac:dyDescent="0.25">
      <c r="C30" s="33"/>
      <c r="G30" s="121"/>
      <c r="H30" s="122"/>
      <c r="I30" s="33"/>
      <c r="J30" s="33"/>
      <c r="K30" s="121"/>
      <c r="Z30" s="103"/>
      <c r="AA30" s="64"/>
    </row>
    <row r="31" spans="1:31" x14ac:dyDescent="0.25">
      <c r="C31" s="33"/>
      <c r="G31" s="121"/>
      <c r="H31" s="122"/>
      <c r="I31" s="33"/>
      <c r="J31" s="33"/>
      <c r="K31" s="121"/>
      <c r="Z31" s="103"/>
      <c r="AA31" s="64"/>
    </row>
    <row r="32" spans="1:31" x14ac:dyDescent="0.25">
      <c r="C32" s="33"/>
      <c r="Z32" s="103"/>
      <c r="AA32" s="64"/>
    </row>
    <row r="33" spans="3:27" x14ac:dyDescent="0.25">
      <c r="C33" s="33"/>
      <c r="Z33" s="103"/>
      <c r="AA33" s="64"/>
    </row>
    <row r="34" spans="3:27" x14ac:dyDescent="0.25">
      <c r="C34" s="33"/>
      <c r="Z34" s="103"/>
    </row>
    <row r="35" spans="3:27" x14ac:dyDescent="0.25">
      <c r="C35" s="33"/>
      <c r="Z35" s="103"/>
    </row>
    <row r="36" spans="3:27" x14ac:dyDescent="0.25">
      <c r="C36" s="33"/>
    </row>
    <row r="37" spans="3:27" x14ac:dyDescent="0.25">
      <c r="C37" s="33"/>
    </row>
    <row r="38" spans="3:27" x14ac:dyDescent="0.25">
      <c r="C38" s="33"/>
    </row>
    <row r="39" spans="3:27" x14ac:dyDescent="0.25">
      <c r="C39" s="33"/>
    </row>
    <row r="40" spans="3:27" x14ac:dyDescent="0.25">
      <c r="C40" s="33"/>
    </row>
    <row r="41" spans="3:27" x14ac:dyDescent="0.25">
      <c r="C41" s="33"/>
    </row>
    <row r="42" spans="3:27" x14ac:dyDescent="0.25">
      <c r="C42" s="33"/>
    </row>
    <row r="43" spans="3:27" x14ac:dyDescent="0.25">
      <c r="C43" s="33"/>
    </row>
  </sheetData>
  <mergeCells count="9">
    <mergeCell ref="U11:W11"/>
    <mergeCell ref="X11:Z11"/>
    <mergeCell ref="AA11:AC11"/>
    <mergeCell ref="F4:J4"/>
    <mergeCell ref="Q4:T4"/>
    <mergeCell ref="S5:T5"/>
    <mergeCell ref="S6:T6"/>
    <mergeCell ref="J11:P11"/>
    <mergeCell ref="Q11:T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D29BC-9DCF-40B1-93B0-5EA9B5384295}">
  <sheetPr>
    <tabColor theme="9" tint="-0.249977111117893"/>
  </sheetPr>
  <dimension ref="A1:AX163"/>
  <sheetViews>
    <sheetView zoomScale="83" zoomScaleNormal="120" workbookViewId="0">
      <selection activeCell="M25" sqref="M25"/>
    </sheetView>
  </sheetViews>
  <sheetFormatPr defaultColWidth="4.42578125" defaultRowHeight="15.75" x14ac:dyDescent="0.25"/>
  <cols>
    <col min="1" max="1" width="4.42578125" style="11"/>
    <col min="2" max="2" width="13.42578125" style="10" customWidth="1"/>
    <col min="3" max="3" width="31.5703125" style="11" customWidth="1"/>
    <col min="4" max="4" width="12.140625" style="34" customWidth="1"/>
    <col min="5" max="5" width="12.85546875" style="34" hidden="1" customWidth="1"/>
    <col min="6" max="6" width="12.85546875" style="69" hidden="1" customWidth="1"/>
    <col min="7" max="15" width="12.85546875" style="13" customWidth="1"/>
    <col min="16" max="23" width="12.85546875" style="11" customWidth="1"/>
    <col min="24" max="16384" width="4.42578125" style="11"/>
  </cols>
  <sheetData>
    <row r="1" spans="1:23" x14ac:dyDescent="0.25">
      <c r="A1" s="10" t="s">
        <v>52</v>
      </c>
      <c r="D1" s="69"/>
      <c r="E1" s="69"/>
      <c r="F1" s="11"/>
      <c r="G1" s="11"/>
      <c r="H1" s="11"/>
      <c r="I1" s="11"/>
      <c r="J1" s="11"/>
      <c r="K1" s="11"/>
      <c r="L1" s="11"/>
      <c r="M1" s="11"/>
      <c r="N1" s="11"/>
      <c r="O1" s="11"/>
    </row>
    <row r="2" spans="1:23" x14ac:dyDescent="0.25">
      <c r="A2" s="10"/>
      <c r="D2" s="11"/>
      <c r="E2" s="11"/>
      <c r="F2" s="11"/>
      <c r="G2" s="11"/>
      <c r="H2" s="11"/>
      <c r="I2" s="11"/>
      <c r="J2" s="11"/>
      <c r="K2" s="11"/>
      <c r="L2" s="11"/>
      <c r="M2" s="11"/>
      <c r="N2" s="11"/>
      <c r="O2" s="11"/>
    </row>
    <row r="3" spans="1:23" x14ac:dyDescent="0.25">
      <c r="A3" s="10"/>
      <c r="B3" s="10" t="s">
        <v>99</v>
      </c>
      <c r="D3" s="11"/>
      <c r="E3" s="11"/>
      <c r="F3" s="11"/>
      <c r="G3" s="11"/>
      <c r="H3" s="11"/>
      <c r="I3" s="11"/>
      <c r="J3" s="11"/>
      <c r="K3" s="11"/>
      <c r="L3" s="11"/>
      <c r="M3" s="11"/>
      <c r="N3" s="11"/>
      <c r="O3" s="11"/>
    </row>
    <row r="4" spans="1:23" hidden="1" x14ac:dyDescent="0.25">
      <c r="A4" s="10"/>
      <c r="D4" s="11"/>
      <c r="E4" s="11"/>
      <c r="F4" s="11"/>
      <c r="G4" s="11"/>
      <c r="H4" s="11"/>
      <c r="I4" s="11"/>
      <c r="J4" s="11"/>
      <c r="K4" s="11"/>
      <c r="L4" s="11"/>
      <c r="M4" s="11"/>
      <c r="N4" s="11"/>
      <c r="O4" s="11"/>
    </row>
    <row r="5" spans="1:23" hidden="1" x14ac:dyDescent="0.25">
      <c r="D5" s="11"/>
      <c r="E5" s="11"/>
      <c r="F5" s="11"/>
      <c r="G5" s="11"/>
      <c r="H5" s="11"/>
      <c r="I5" s="11"/>
      <c r="J5" s="11"/>
      <c r="K5" s="11"/>
      <c r="L5" s="11"/>
      <c r="M5" s="11"/>
      <c r="N5" s="11"/>
      <c r="O5" s="11"/>
    </row>
    <row r="6" spans="1:23" hidden="1" x14ac:dyDescent="0.25">
      <c r="D6" s="11"/>
      <c r="E6" s="11"/>
      <c r="F6" s="11"/>
      <c r="G6" s="11"/>
      <c r="H6" s="11"/>
      <c r="I6" s="11"/>
      <c r="J6" s="11"/>
      <c r="K6" s="11"/>
      <c r="L6" s="11"/>
      <c r="M6" s="11"/>
      <c r="N6" s="11"/>
      <c r="O6" s="11"/>
    </row>
    <row r="7" spans="1:23" hidden="1" x14ac:dyDescent="0.25">
      <c r="D7" s="11"/>
      <c r="E7" s="11"/>
      <c r="F7" s="11"/>
      <c r="G7" s="11"/>
      <c r="H7" s="11"/>
      <c r="I7" s="11"/>
      <c r="J7" s="11"/>
      <c r="K7" s="11"/>
      <c r="L7" s="11"/>
      <c r="M7" s="11"/>
      <c r="N7" s="11"/>
      <c r="O7" s="11"/>
    </row>
    <row r="8" spans="1:23" hidden="1" x14ac:dyDescent="0.25">
      <c r="D8" s="11"/>
      <c r="E8" s="11"/>
      <c r="F8" s="11"/>
      <c r="G8" s="11"/>
      <c r="H8" s="11"/>
      <c r="I8" s="11"/>
      <c r="J8" s="11"/>
      <c r="K8" s="11"/>
      <c r="L8" s="11"/>
      <c r="M8" s="11"/>
      <c r="N8" s="11"/>
      <c r="O8" s="11"/>
    </row>
    <row r="9" spans="1:23" x14ac:dyDescent="0.25">
      <c r="D9" s="69"/>
      <c r="E9" s="69"/>
    </row>
    <row r="10" spans="1:23" x14ac:dyDescent="0.25">
      <c r="B10" s="28"/>
      <c r="C10" s="29"/>
      <c r="D10" s="30"/>
      <c r="E10" s="30"/>
      <c r="F10" s="30"/>
      <c r="G10" s="31"/>
      <c r="H10" s="773" t="s">
        <v>100</v>
      </c>
      <c r="I10" s="782"/>
      <c r="J10" s="782"/>
      <c r="K10" s="782"/>
      <c r="L10" s="782"/>
      <c r="M10" s="782"/>
      <c r="N10" s="782"/>
      <c r="O10" s="774"/>
      <c r="P10" s="773" t="s">
        <v>101</v>
      </c>
      <c r="Q10" s="782"/>
      <c r="R10" s="782"/>
      <c r="S10" s="782"/>
      <c r="T10" s="782"/>
      <c r="U10" s="782"/>
      <c r="V10" s="782"/>
      <c r="W10" s="774"/>
    </row>
    <row r="11" spans="1:23" x14ac:dyDescent="0.25">
      <c r="B11" s="134"/>
      <c r="C11" s="135"/>
      <c r="D11" s="136"/>
      <c r="E11" s="136"/>
      <c r="F11" s="136"/>
      <c r="G11" s="137"/>
      <c r="H11" s="780" t="s">
        <v>102</v>
      </c>
      <c r="I11" s="781"/>
      <c r="J11" s="783" t="s">
        <v>103</v>
      </c>
      <c r="K11" s="784"/>
      <c r="L11" s="783" t="s">
        <v>104</v>
      </c>
      <c r="M11" s="784"/>
      <c r="N11" s="783" t="s">
        <v>105</v>
      </c>
      <c r="O11" s="785"/>
      <c r="P11" s="780" t="s">
        <v>102</v>
      </c>
      <c r="Q11" s="781"/>
      <c r="R11" s="780" t="s">
        <v>103</v>
      </c>
      <c r="S11" s="781"/>
      <c r="T11" s="780" t="s">
        <v>104</v>
      </c>
      <c r="U11" s="781"/>
      <c r="V11" s="780" t="s">
        <v>105</v>
      </c>
      <c r="W11" s="781"/>
    </row>
    <row r="12" spans="1:23" s="9" customFormat="1" ht="55.5" customHeight="1" x14ac:dyDescent="0.25">
      <c r="B12" s="131" t="s">
        <v>76</v>
      </c>
      <c r="C12" s="132" t="s">
        <v>77</v>
      </c>
      <c r="D12" s="7" t="s">
        <v>78</v>
      </c>
      <c r="E12" s="7" t="s">
        <v>80</v>
      </c>
      <c r="F12" s="7" t="s">
        <v>81</v>
      </c>
      <c r="G12" s="8" t="s">
        <v>82</v>
      </c>
      <c r="H12" s="138" t="s">
        <v>106</v>
      </c>
      <c r="I12" s="138" t="s">
        <v>107</v>
      </c>
      <c r="J12" s="138" t="s">
        <v>108</v>
      </c>
      <c r="K12" s="138" t="s">
        <v>109</v>
      </c>
      <c r="L12" s="138" t="s">
        <v>108</v>
      </c>
      <c r="M12" s="138" t="s">
        <v>109</v>
      </c>
      <c r="N12" s="138" t="s">
        <v>108</v>
      </c>
      <c r="O12" s="138" t="s">
        <v>109</v>
      </c>
      <c r="P12" s="138" t="s">
        <v>109</v>
      </c>
      <c r="Q12" s="138" t="s">
        <v>108</v>
      </c>
      <c r="R12" s="138" t="s">
        <v>109</v>
      </c>
      <c r="S12" s="138" t="s">
        <v>108</v>
      </c>
      <c r="T12" s="138" t="s">
        <v>109</v>
      </c>
      <c r="U12" s="138" t="s">
        <v>108</v>
      </c>
      <c r="V12" s="138" t="s">
        <v>109</v>
      </c>
      <c r="W12" s="138" t="s">
        <v>108</v>
      </c>
    </row>
    <row r="13" spans="1:23" s="20" customFormat="1" x14ac:dyDescent="0.25">
      <c r="B13" s="105" t="e">
        <f>ITE_LUC_Rates!#REF!</f>
        <v>#REF!</v>
      </c>
      <c r="C13" s="106"/>
      <c r="D13" s="107"/>
      <c r="E13" s="108"/>
      <c r="F13" s="109"/>
      <c r="G13" s="110"/>
      <c r="H13" s="113"/>
      <c r="I13" s="113"/>
      <c r="J13" s="113"/>
      <c r="K13" s="113"/>
      <c r="L13" s="113"/>
      <c r="M13" s="113"/>
      <c r="N13" s="111"/>
      <c r="O13" s="113"/>
      <c r="P13" s="113"/>
      <c r="Q13" s="113"/>
      <c r="R13" s="113"/>
      <c r="S13" s="113"/>
      <c r="T13" s="113"/>
      <c r="U13" s="113"/>
      <c r="V13" s="113"/>
      <c r="W13" s="111"/>
    </row>
    <row r="14" spans="1:23" s="20" customFormat="1" x14ac:dyDescent="0.25">
      <c r="B14" s="55">
        <v>30</v>
      </c>
      <c r="C14" s="56" t="str">
        <f>+CurrentFee_RIF!C5</f>
        <v>Truck Terminal</v>
      </c>
      <c r="D14" s="20" t="s">
        <v>110</v>
      </c>
      <c r="E14" s="142"/>
      <c r="F14" s="58" t="s">
        <v>71</v>
      </c>
      <c r="G14" s="104">
        <f>ITE_LUC_Rates!Q2</f>
        <v>10080.200000000001</v>
      </c>
      <c r="H14" s="61">
        <f>+FEE_1_In!H12</f>
        <v>9088.9980417987063</v>
      </c>
      <c r="I14" s="61">
        <f>+FEE_1_Out!H12</f>
        <v>8609.6114612269594</v>
      </c>
      <c r="J14" s="61">
        <f>FEE_2_In!$H12</f>
        <v>10810.505844536758</v>
      </c>
      <c r="K14" s="61">
        <f>FEE_2_Out!$H12</f>
        <v>9426.5320921038983</v>
      </c>
      <c r="L14" s="61">
        <f>FEE_3_In!$H12</f>
        <v>10753.449208371063</v>
      </c>
      <c r="M14" s="61">
        <f>FEE_3_Out!$H12</f>
        <v>10394.424505198176</v>
      </c>
      <c r="N14" s="61">
        <f>FEE_4_In!$H12</f>
        <v>10094.279247771145</v>
      </c>
      <c r="O14" s="61">
        <f>FEE_4_Out!$H12</f>
        <v>10891.107767081674</v>
      </c>
      <c r="P14" s="139">
        <f>IFERROR(H14/$G14-1,0)</f>
        <v>-9.833157657599001E-2</v>
      </c>
      <c r="Q14" s="139">
        <f>IFERROR(I14/$G14-1,0)</f>
        <v>-0.14588882549681959</v>
      </c>
      <c r="R14" s="139">
        <f>IFERROR(K14/$G14-1,0)</f>
        <v>-6.4846720094452692E-2</v>
      </c>
      <c r="S14" s="139">
        <f>IFERROR(J14/$G14-1,0)</f>
        <v>7.2449539149695097E-2</v>
      </c>
      <c r="T14" s="139">
        <f>IFERROR(M14/$G14-1,0)</f>
        <v>3.117244749094028E-2</v>
      </c>
      <c r="U14" s="139">
        <f>IFERROR(L14/$G14-1,0)</f>
        <v>6.6789270884611618E-2</v>
      </c>
      <c r="V14" s="139">
        <f>IFERROR(O14/$G14-1,0)</f>
        <v>8.0445602972329278E-2</v>
      </c>
      <c r="W14" s="139">
        <f>IFERROR(N14/$G14-1,0)</f>
        <v>1.396723058187721E-3</v>
      </c>
    </row>
    <row r="15" spans="1:23" s="20" customFormat="1" x14ac:dyDescent="0.25">
      <c r="B15" s="105" t="e">
        <f>ITE_LUC_Rates!#REF!</f>
        <v>#REF!</v>
      </c>
      <c r="C15" s="106"/>
      <c r="D15" s="107"/>
      <c r="E15" s="130"/>
      <c r="F15" s="109"/>
      <c r="G15" s="110"/>
      <c r="H15" s="113"/>
      <c r="I15" s="113"/>
      <c r="J15" s="113"/>
      <c r="K15" s="113"/>
      <c r="L15" s="113"/>
      <c r="M15" s="113"/>
      <c r="N15" s="113"/>
      <c r="O15" s="113"/>
      <c r="P15" s="113"/>
      <c r="Q15" s="113"/>
      <c r="R15" s="113"/>
      <c r="S15" s="113"/>
      <c r="T15" s="113"/>
      <c r="U15" s="113"/>
      <c r="V15" s="113"/>
      <c r="W15" s="113"/>
    </row>
    <row r="16" spans="1:23" s="20" customFormat="1" x14ac:dyDescent="0.25">
      <c r="B16" s="55">
        <f>ITE_LUC_Rates!B3</f>
        <v>110</v>
      </c>
      <c r="C16" s="56" t="str">
        <f>ITE_LUC_Rates!C3</f>
        <v>General Light Industrial</v>
      </c>
      <c r="D16" s="57" t="str">
        <f>ITE_LUC_Rates!D3</f>
        <v>1000 GSF</v>
      </c>
      <c r="E16" s="129">
        <f>ITE_LUC_Rates!H3</f>
        <v>4.96</v>
      </c>
      <c r="F16" s="58" t="s">
        <v>71</v>
      </c>
      <c r="G16" s="104">
        <f>ITE_LUC_Rates!Q3</f>
        <v>0</v>
      </c>
      <c r="H16" s="61">
        <f>+FEE_1_In!H14</f>
        <v>4576.7949530275728</v>
      </c>
      <c r="I16" s="61">
        <f>FEE_1_Out!$H14</f>
        <v>4335.3982586482971</v>
      </c>
      <c r="J16" s="61">
        <f>FEE_2_In!$H14</f>
        <v>5443.6658871982054</v>
      </c>
      <c r="K16" s="61">
        <f>FEE_2_Out!$H14</f>
        <v>4746.761337749781</v>
      </c>
      <c r="L16" s="61">
        <f>FEE_3_In!$H14</f>
        <v>5414.9348297990318</v>
      </c>
      <c r="M16" s="61">
        <f>FEE_3_Out!$H14</f>
        <v>5234.1467559170515</v>
      </c>
      <c r="N16" s="61">
        <f>FEE_4_In!$H14</f>
        <v>5083.0076212126769</v>
      </c>
      <c r="O16" s="61">
        <f>FEE_4_Out!$H14</f>
        <v>5484.2532512411262</v>
      </c>
      <c r="P16" s="139">
        <f t="shared" ref="P16:P22" si="0">IFERROR(H16/$G16-1,0)</f>
        <v>0</v>
      </c>
      <c r="Q16" s="139">
        <f t="shared" ref="Q16:Q22" si="1">IFERROR(I16/$G16-1,0)</f>
        <v>0</v>
      </c>
      <c r="R16" s="139">
        <f t="shared" ref="R16:R22" si="2">IFERROR(K16/$G16-1,0)</f>
        <v>0</v>
      </c>
      <c r="S16" s="139">
        <f t="shared" ref="S16:S22" si="3">IFERROR(J16/$G16-1,0)</f>
        <v>0</v>
      </c>
      <c r="T16" s="139">
        <f t="shared" ref="T16:T22" si="4">IFERROR(M16/$G16-1,0)</f>
        <v>0</v>
      </c>
      <c r="U16" s="139">
        <f t="shared" ref="U16:U22" si="5">IFERROR(L16/$G16-1,0)</f>
        <v>0</v>
      </c>
      <c r="V16" s="139">
        <f t="shared" ref="V16:V22" si="6">IFERROR(O16/$G16-1,0)</f>
        <v>0</v>
      </c>
      <c r="W16" s="139">
        <f t="shared" ref="W16:W22" si="7">IFERROR(N16/$G16-1,0)</f>
        <v>0</v>
      </c>
    </row>
    <row r="17" spans="2:23" s="20" customFormat="1" x14ac:dyDescent="0.25">
      <c r="B17" s="55">
        <f>ITE_LUC_Rates!B4</f>
        <v>130</v>
      </c>
      <c r="C17" s="56" t="str">
        <f>ITE_LUC_Rates!C4</f>
        <v>Industrial Park</v>
      </c>
      <c r="D17" s="57" t="str">
        <f>ITE_LUC_Rates!D4</f>
        <v>1000 GSF</v>
      </c>
      <c r="E17" s="129">
        <f>ITE_LUC_Rates!H4</f>
        <v>3.37</v>
      </c>
      <c r="F17" s="58" t="s">
        <v>71</v>
      </c>
      <c r="G17" s="104">
        <f>ITE_LUC_Rates!Q4</f>
        <v>7020.7</v>
      </c>
      <c r="H17" s="61">
        <f>+FEE_1_In!H15</f>
        <v>3109.6368934884913</v>
      </c>
      <c r="I17" s="61">
        <f>FEE_1_Out!$H15</f>
        <v>2945.6234136380558</v>
      </c>
      <c r="J17" s="61">
        <f>FEE_2_In!$H15</f>
        <v>3698.6197661003939</v>
      </c>
      <c r="K17" s="61">
        <f>FEE_2_Out!$H15</f>
        <v>3225.1180863340246</v>
      </c>
      <c r="L17" s="61">
        <f>FEE_3_In!$H15</f>
        <v>3679.0988662142618</v>
      </c>
      <c r="M17" s="61">
        <f>FEE_3_Out!$H15</f>
        <v>3556.2650337581572</v>
      </c>
      <c r="N17" s="61">
        <f>FEE_4_In!$H15</f>
        <v>3453.5757426384525</v>
      </c>
      <c r="O17" s="61">
        <f>FEE_4_Out!$H15</f>
        <v>3726.1962614279432</v>
      </c>
      <c r="P17" s="139">
        <f t="shared" si="0"/>
        <v>-0.55707594777038028</v>
      </c>
      <c r="Q17" s="139">
        <f t="shared" si="1"/>
        <v>-0.58043736185308359</v>
      </c>
      <c r="R17" s="139">
        <f t="shared" si="2"/>
        <v>-0.54062727558020929</v>
      </c>
      <c r="S17" s="139">
        <f t="shared" si="3"/>
        <v>-0.4731836189980495</v>
      </c>
      <c r="T17" s="139">
        <f t="shared" si="4"/>
        <v>-0.49346004903241025</v>
      </c>
      <c r="U17" s="139">
        <f t="shared" si="5"/>
        <v>-0.47596409671197148</v>
      </c>
      <c r="V17" s="139">
        <f t="shared" si="6"/>
        <v>-0.46925573497971096</v>
      </c>
      <c r="W17" s="139">
        <f t="shared" si="7"/>
        <v>-0.50808669468308676</v>
      </c>
    </row>
    <row r="18" spans="2:23" s="20" customFormat="1" x14ac:dyDescent="0.25">
      <c r="B18" s="55">
        <f>ITE_LUC_Rates!B5</f>
        <v>140</v>
      </c>
      <c r="C18" s="56" t="str">
        <f>ITE_LUC_Rates!C5</f>
        <v>Manufacturing</v>
      </c>
      <c r="D18" s="57" t="str">
        <f>ITE_LUC_Rates!D5</f>
        <v>1000 GSF</v>
      </c>
      <c r="E18" s="129">
        <f>ITE_LUC_Rates!H5</f>
        <v>3.93</v>
      </c>
      <c r="F18" s="58" t="s">
        <v>71</v>
      </c>
      <c r="G18" s="104">
        <f>ITE_LUC_Rates!Q5</f>
        <v>3853.5</v>
      </c>
      <c r="H18" s="61">
        <f>+FEE_1_In!H16</f>
        <v>3626.371807539992</v>
      </c>
      <c r="I18" s="61">
        <f>FEE_1_Out!$H16</f>
        <v>3435.1038621951225</v>
      </c>
      <c r="J18" s="61">
        <f>FEE_2_In!$H16</f>
        <v>4313.2272049776102</v>
      </c>
      <c r="K18" s="61">
        <f>FEE_2_Out!$H16</f>
        <v>3761.0427534993219</v>
      </c>
      <c r="L18" s="61">
        <f>FEE_3_In!$H16</f>
        <v>4290.4624760302813</v>
      </c>
      <c r="M18" s="61">
        <f>FEE_3_Out!$H16</f>
        <v>4147.217086845566</v>
      </c>
      <c r="N18" s="61">
        <f>FEE_4_In!$H16</f>
        <v>4027.4636998721417</v>
      </c>
      <c r="O18" s="61">
        <f>FEE_4_Out!$H16</f>
        <v>4345.3861446325864</v>
      </c>
      <c r="P18" s="139">
        <f t="shared" si="0"/>
        <v>-5.8940753200988238E-2</v>
      </c>
      <c r="Q18" s="139">
        <f t="shared" si="1"/>
        <v>-0.10857561640194047</v>
      </c>
      <c r="R18" s="139">
        <f t="shared" si="2"/>
        <v>-2.3993057350636615E-2</v>
      </c>
      <c r="S18" s="139">
        <f t="shared" si="3"/>
        <v>0.11930120798692356</v>
      </c>
      <c r="T18" s="139">
        <f t="shared" si="4"/>
        <v>7.6220860735841667E-2</v>
      </c>
      <c r="U18" s="139">
        <f t="shared" si="5"/>
        <v>0.11339366187369437</v>
      </c>
      <c r="V18" s="139">
        <f t="shared" si="6"/>
        <v>0.12764659261258249</v>
      </c>
      <c r="W18" s="139">
        <f t="shared" si="7"/>
        <v>4.5144336284453468E-2</v>
      </c>
    </row>
    <row r="19" spans="2:23" s="20" customFormat="1" x14ac:dyDescent="0.25">
      <c r="B19" s="55">
        <f>ITE_LUC_Rates!B6</f>
        <v>150</v>
      </c>
      <c r="C19" s="56" t="str">
        <f>ITE_LUC_Rates!C6</f>
        <v>Warehousing</v>
      </c>
      <c r="D19" s="57" t="str">
        <f>ITE_LUC_Rates!D6</f>
        <v>1000 GSF</v>
      </c>
      <c r="E19" s="129">
        <f>ITE_LUC_Rates!H6</f>
        <v>1.74</v>
      </c>
      <c r="F19" s="58" t="s">
        <v>71</v>
      </c>
      <c r="G19" s="104">
        <f>ITE_LUC_Rates!Q6</f>
        <v>5002.3</v>
      </c>
      <c r="H19" s="61">
        <f>+FEE_1_In!H17</f>
        <v>1605.5691972314467</v>
      </c>
      <c r="I19" s="61">
        <f>FEE_1_Out!$H17</f>
        <v>1520.8856794451681</v>
      </c>
      <c r="J19" s="61">
        <f>FEE_2_In!$H17</f>
        <v>1909.6731136542091</v>
      </c>
      <c r="K19" s="61">
        <f>FEE_2_Out!$H17</f>
        <v>1665.1945015493181</v>
      </c>
      <c r="L19" s="61">
        <f>FEE_3_In!$H17</f>
        <v>1899.5940733569182</v>
      </c>
      <c r="M19" s="61">
        <f>FEE_3_Out!$H17</f>
        <v>1836.1724506644491</v>
      </c>
      <c r="N19" s="61">
        <f>FEE_4_In!$H17</f>
        <v>1783.1518671189633</v>
      </c>
      <c r="O19" s="61">
        <f>FEE_4_Out!$H17</f>
        <v>1923.9114228144274</v>
      </c>
      <c r="P19" s="139">
        <f t="shared" si="0"/>
        <v>-0.67903380500340904</v>
      </c>
      <c r="Q19" s="139">
        <f t="shared" si="1"/>
        <v>-0.69596272125918723</v>
      </c>
      <c r="R19" s="139">
        <f t="shared" si="2"/>
        <v>-0.66711422714564939</v>
      </c>
      <c r="S19" s="139">
        <f t="shared" si="3"/>
        <v>-0.61824098641540703</v>
      </c>
      <c r="T19" s="139">
        <f t="shared" si="4"/>
        <v>-0.63293436006148185</v>
      </c>
      <c r="U19" s="139">
        <f t="shared" si="5"/>
        <v>-0.6202558676295068</v>
      </c>
      <c r="V19" s="139">
        <f t="shared" si="6"/>
        <v>-0.61539463390551807</v>
      </c>
      <c r="W19" s="139">
        <f t="shared" si="7"/>
        <v>-0.64353360111969227</v>
      </c>
    </row>
    <row r="20" spans="2:23" s="20" customFormat="1" x14ac:dyDescent="0.25">
      <c r="B20" s="55">
        <f>ITE_LUC_Rates!B7</f>
        <v>151</v>
      </c>
      <c r="C20" s="56" t="str">
        <f>ITE_LUC_Rates!C7</f>
        <v>Mini-Warehousing</v>
      </c>
      <c r="D20" s="57" t="str">
        <f>ITE_LUC_Rates!D7</f>
        <v>1000 GSF</v>
      </c>
      <c r="E20" s="129">
        <f>ITE_LUC_Rates!H7</f>
        <v>1.51</v>
      </c>
      <c r="F20" s="58" t="s">
        <v>71</v>
      </c>
      <c r="G20" s="104">
        <f>ITE_LUC_Rates!Q7</f>
        <v>2415.4</v>
      </c>
      <c r="H20" s="61">
        <f>+FEE_1_In!H18</f>
        <v>1393.3387861031524</v>
      </c>
      <c r="I20" s="61">
        <f>FEE_1_Out!$H18</f>
        <v>1319.8490666449452</v>
      </c>
      <c r="J20" s="61">
        <f>FEE_2_In!$H18</f>
        <v>1657.2450584010669</v>
      </c>
      <c r="K20" s="61">
        <f>FEE_2_Out!$H18</f>
        <v>1445.0825846778566</v>
      </c>
      <c r="L20" s="61">
        <f>FEE_3_In!$H18</f>
        <v>1648.4983050396245</v>
      </c>
      <c r="M20" s="61">
        <f>FEE_3_Out!$H18</f>
        <v>1593.4600002892635</v>
      </c>
      <c r="N20" s="61">
        <f>FEE_4_In!$H18</f>
        <v>1547.447884683698</v>
      </c>
      <c r="O20" s="61">
        <f>FEE_4_Out!$H18</f>
        <v>1669.6012922125205</v>
      </c>
      <c r="P20" s="139">
        <f t="shared" si="0"/>
        <v>-0.42314366725877606</v>
      </c>
      <c r="Q20" s="139">
        <f t="shared" si="1"/>
        <v>-0.45356915349633797</v>
      </c>
      <c r="R20" s="139">
        <f t="shared" si="2"/>
        <v>-0.40172121194093868</v>
      </c>
      <c r="S20" s="139">
        <f t="shared" si="3"/>
        <v>-0.31388380458679022</v>
      </c>
      <c r="T20" s="139">
        <f t="shared" si="4"/>
        <v>-0.34029146299194191</v>
      </c>
      <c r="U20" s="139">
        <f t="shared" si="5"/>
        <v>-0.3175050488367871</v>
      </c>
      <c r="V20" s="139">
        <f t="shared" si="6"/>
        <v>-0.30876819896807139</v>
      </c>
      <c r="W20" s="139">
        <f t="shared" si="7"/>
        <v>-0.35934094365997438</v>
      </c>
    </row>
    <row r="21" spans="2:23" s="20" customFormat="1" x14ac:dyDescent="0.25">
      <c r="B21" s="55">
        <f>ITE_LUC_Rates!B8</f>
        <v>160</v>
      </c>
      <c r="C21" s="56" t="str">
        <f>ITE_LUC_Rates!C8</f>
        <v>Data Center</v>
      </c>
      <c r="D21" s="57" t="str">
        <f>ITE_LUC_Rates!D8</f>
        <v>1000 GSF</v>
      </c>
      <c r="E21" s="129">
        <f>ITE_LUC_Rates!H8</f>
        <v>0.99</v>
      </c>
      <c r="F21" s="58" t="s">
        <v>71</v>
      </c>
      <c r="G21" s="104">
        <f>ITE_LUC_Rates!Q8</f>
        <v>0</v>
      </c>
      <c r="H21" s="61">
        <f>+FEE_1_In!H19</f>
        <v>913.51350876961624</v>
      </c>
      <c r="I21" s="61">
        <f>FEE_1_Out!$H19</f>
        <v>865.3315072705268</v>
      </c>
      <c r="J21" s="61">
        <f>FEE_2_In!$H19</f>
        <v>1086.5381508722226</v>
      </c>
      <c r="K21" s="61">
        <f>FEE_2_Out!$H19</f>
        <v>947.43825088150868</v>
      </c>
      <c r="L21" s="61">
        <f>FEE_3_In!$H19</f>
        <v>1080.8035244961777</v>
      </c>
      <c r="M21" s="61">
        <f>FEE_3_Out!$H19</f>
        <v>1044.7188081366694</v>
      </c>
      <c r="N21" s="61">
        <f>FEE_4_In!$H19</f>
        <v>1014.5519243952723</v>
      </c>
      <c r="O21" s="61">
        <f>FEE_4_Out!$H19</f>
        <v>1094.6392578082086</v>
      </c>
      <c r="P21" s="139">
        <f t="shared" si="0"/>
        <v>0</v>
      </c>
      <c r="Q21" s="139">
        <f t="shared" si="1"/>
        <v>0</v>
      </c>
      <c r="R21" s="139">
        <f t="shared" si="2"/>
        <v>0</v>
      </c>
      <c r="S21" s="139">
        <f t="shared" si="3"/>
        <v>0</v>
      </c>
      <c r="T21" s="139">
        <f t="shared" si="4"/>
        <v>0</v>
      </c>
      <c r="U21" s="139">
        <f t="shared" si="5"/>
        <v>0</v>
      </c>
      <c r="V21" s="139">
        <f t="shared" si="6"/>
        <v>0</v>
      </c>
      <c r="W21" s="139">
        <f t="shared" si="7"/>
        <v>0</v>
      </c>
    </row>
    <row r="22" spans="2:23" s="20" customFormat="1" x14ac:dyDescent="0.25">
      <c r="B22" s="55">
        <f>ITE_LUC_Rates!B9</f>
        <v>170</v>
      </c>
      <c r="C22" s="56" t="str">
        <f>ITE_LUC_Rates!C9</f>
        <v>Utility</v>
      </c>
      <c r="D22" s="57" t="str">
        <f>ITE_LUC_Rates!D9</f>
        <v>1000 GSF</v>
      </c>
      <c r="E22" s="129">
        <f>ITE_LUC_Rates!H9</f>
        <v>13.24</v>
      </c>
      <c r="F22" s="58" t="s">
        <v>71</v>
      </c>
      <c r="G22" s="104">
        <f>ITE_LUC_Rates!Q9</f>
        <v>0</v>
      </c>
      <c r="H22" s="61">
        <f>+FEE_1_In!H20</f>
        <v>12217.089753646182</v>
      </c>
      <c r="I22" s="61">
        <f>FEE_1_Out!$H20</f>
        <v>11572.716319456342</v>
      </c>
      <c r="J22" s="61">
        <f>FEE_2_In!$H20</f>
        <v>14531.075876311341</v>
      </c>
      <c r="K22" s="61">
        <f>FEE_2_Out!$H20</f>
        <v>12670.790345122397</v>
      </c>
      <c r="L22" s="61">
        <f>FEE_3_In!$H20</f>
        <v>14454.382489221607</v>
      </c>
      <c r="M22" s="61">
        <f>FEE_3_Out!$H20</f>
        <v>13971.794969423741</v>
      </c>
      <c r="N22" s="61">
        <f>FEE_4_In!$H20</f>
        <v>13568.35098888223</v>
      </c>
      <c r="O22" s="61">
        <f>FEE_4_Out!$H20</f>
        <v>14639.41795290978</v>
      </c>
      <c r="P22" s="139">
        <f t="shared" si="0"/>
        <v>0</v>
      </c>
      <c r="Q22" s="139">
        <f t="shared" si="1"/>
        <v>0</v>
      </c>
      <c r="R22" s="139">
        <f t="shared" si="2"/>
        <v>0</v>
      </c>
      <c r="S22" s="139">
        <f t="shared" si="3"/>
        <v>0</v>
      </c>
      <c r="T22" s="139">
        <f t="shared" si="4"/>
        <v>0</v>
      </c>
      <c r="U22" s="139">
        <f t="shared" si="5"/>
        <v>0</v>
      </c>
      <c r="V22" s="139">
        <f t="shared" si="6"/>
        <v>0</v>
      </c>
      <c r="W22" s="139">
        <f t="shared" si="7"/>
        <v>0</v>
      </c>
    </row>
    <row r="23" spans="2:23" s="20" customFormat="1" x14ac:dyDescent="0.25">
      <c r="B23" s="105" t="e">
        <f>ITE_LUC_Rates!#REF!</f>
        <v>#REF!</v>
      </c>
      <c r="C23" s="106"/>
      <c r="D23" s="107"/>
      <c r="E23" s="130"/>
      <c r="F23" s="109"/>
      <c r="G23" s="110"/>
      <c r="H23" s="113"/>
      <c r="I23" s="113"/>
      <c r="J23" s="113"/>
      <c r="K23" s="113"/>
      <c r="L23" s="113"/>
      <c r="M23" s="113"/>
      <c r="N23" s="113"/>
      <c r="O23" s="113"/>
      <c r="P23" s="113"/>
      <c r="Q23" s="113"/>
      <c r="R23" s="113"/>
      <c r="S23" s="113"/>
      <c r="T23" s="113"/>
      <c r="U23" s="113"/>
      <c r="V23" s="113"/>
      <c r="W23" s="113"/>
    </row>
    <row r="24" spans="2:23" s="20" customFormat="1" x14ac:dyDescent="0.25">
      <c r="B24" s="55">
        <f>ITE_LUC_Rates!B10</f>
        <v>210</v>
      </c>
      <c r="C24" s="56" t="str">
        <f>ITE_LUC_Rates!C10</f>
        <v>Single Family Detached</v>
      </c>
      <c r="D24" s="57" t="str">
        <f>ITE_LUC_Rates!D10</f>
        <v>Dwelling unit</v>
      </c>
      <c r="E24" s="129">
        <f>ITE_LUC_Rates!H10</f>
        <v>9.44</v>
      </c>
      <c r="F24" s="58" t="s">
        <v>68</v>
      </c>
      <c r="G24" s="104">
        <f>ITE_LUC_Rates!Q10</f>
        <v>9543.67</v>
      </c>
      <c r="H24" s="61">
        <f>+FEE_1_In!H22</f>
        <v>9538.0028840764662</v>
      </c>
      <c r="I24" s="61">
        <f>FEE_1_Out!$H22</f>
        <v>7194.4237160360653</v>
      </c>
      <c r="J24" s="61">
        <f>FEE_2_In!$H22</f>
        <v>10403.237169188493</v>
      </c>
      <c r="K24" s="61">
        <f>FEE_2_Out!$H22</f>
        <v>9053.2244196898391</v>
      </c>
      <c r="L24" s="61">
        <f>FEE_3_In!$H22</f>
        <v>10238.879044885038</v>
      </c>
      <c r="M24" s="61">
        <f>FEE_3_Out!$H22</f>
        <v>9958.2768754851477</v>
      </c>
      <c r="N24" s="61">
        <f>FEE_4_In!$H22</f>
        <v>9550.048853028884</v>
      </c>
      <c r="O24" s="61">
        <f>FEE_4_Out!$H22</f>
        <v>10433.389475438586</v>
      </c>
      <c r="P24" s="139">
        <f t="shared" ref="P24:P37" si="8">IFERROR(H24/$G24-1,0)</f>
        <v>-5.9380887263849047E-4</v>
      </c>
      <c r="Q24" s="139">
        <f t="shared" ref="Q24:Q37" si="9">IFERROR(I24/$G24-1,0)</f>
        <v>-0.24615753520018346</v>
      </c>
      <c r="R24" s="139">
        <f t="shared" ref="R24:R37" si="10">IFERROR(K24/$G24-1,0)</f>
        <v>-5.1389620587275253E-2</v>
      </c>
      <c r="S24" s="139">
        <f t="shared" ref="S24:S37" si="11">IFERROR(J24/$G24-1,0)</f>
        <v>9.0066732104996605E-2</v>
      </c>
      <c r="T24" s="139">
        <f t="shared" ref="T24:T37" si="12">IFERROR(M24/$G24-1,0)</f>
        <v>4.3443127799384085E-2</v>
      </c>
      <c r="U24" s="139">
        <f t="shared" ref="U24:U37" si="13">IFERROR(L24/$G24-1,0)</f>
        <v>7.2845042303960383E-2</v>
      </c>
      <c r="V24" s="139">
        <f t="shared" ref="V24:V37" si="14">IFERROR(O24/$G24-1,0)</f>
        <v>9.3226135798763599E-2</v>
      </c>
      <c r="W24" s="139">
        <f t="shared" ref="W24:W37" si="15">IFERROR(N24/$G24-1,0)</f>
        <v>6.6838574980954135E-4</v>
      </c>
    </row>
    <row r="25" spans="2:23" s="20" customFormat="1" x14ac:dyDescent="0.25">
      <c r="B25" s="55">
        <f>ITE_LUC_Rates!B11</f>
        <v>220</v>
      </c>
      <c r="C25" s="56" t="str">
        <f>ITE_LUC_Rates!C11</f>
        <v>Multi-family Housing (Low-Rise)</v>
      </c>
      <c r="D25" s="57" t="str">
        <f>ITE_LUC_Rates!D11</f>
        <v>Dwelling unit</v>
      </c>
      <c r="E25" s="129">
        <f>ITE_LUC_Rates!H11</f>
        <v>7.32</v>
      </c>
      <c r="F25" s="58" t="s">
        <v>68</v>
      </c>
      <c r="G25" s="104">
        <f>ITE_LUC_Rates!Q11</f>
        <v>6701.09</v>
      </c>
      <c r="H25" s="61">
        <f>+FEE_1_In!H23</f>
        <v>7395.9937618050581</v>
      </c>
      <c r="I25" s="61">
        <f>FEE_1_Out!$H23</f>
        <v>5578.7268645533904</v>
      </c>
      <c r="J25" s="61">
        <f>FEE_2_In!$H23</f>
        <v>8066.91695746396</v>
      </c>
      <c r="K25" s="61">
        <f>FEE_2_Out!$H23</f>
        <v>7020.0850373018702</v>
      </c>
      <c r="L25" s="61">
        <f>FEE_3_In!$H23</f>
        <v>7939.4697678557714</v>
      </c>
      <c r="M25" s="61">
        <f>FEE_3_Out!$H23</f>
        <v>7721.8841873465353</v>
      </c>
      <c r="N25" s="61">
        <f>FEE_4_In!$H23</f>
        <v>7405.3344919673145</v>
      </c>
      <c r="O25" s="61">
        <f>FEE_4_Out!$H23</f>
        <v>8090.2977712087359</v>
      </c>
      <c r="P25" s="139">
        <f t="shared" si="8"/>
        <v>0.10370010875918068</v>
      </c>
      <c r="Q25" s="139">
        <f t="shared" si="9"/>
        <v>-0.16748963757338131</v>
      </c>
      <c r="R25" s="139">
        <f t="shared" si="10"/>
        <v>4.7603455154589858E-2</v>
      </c>
      <c r="S25" s="139">
        <f t="shared" si="11"/>
        <v>0.20382161073257632</v>
      </c>
      <c r="T25" s="139">
        <f t="shared" si="12"/>
        <v>0.15233255893392506</v>
      </c>
      <c r="U25" s="139">
        <f t="shared" si="13"/>
        <v>0.1848027362497402</v>
      </c>
      <c r="V25" s="139">
        <f t="shared" si="14"/>
        <v>0.20731071679513868</v>
      </c>
      <c r="W25" s="139">
        <f t="shared" si="15"/>
        <v>0.10509402081860042</v>
      </c>
    </row>
    <row r="26" spans="2:23" s="20" customFormat="1" x14ac:dyDescent="0.25">
      <c r="B26" s="134">
        <f>ITE_LUC_Rates!B12</f>
        <v>221</v>
      </c>
      <c r="C26" s="135" t="str">
        <f>ITE_LUC_Rates!C12</f>
        <v>Multi-family Housing (Mid-Rise)</v>
      </c>
      <c r="D26" s="232" t="str">
        <f>ITE_LUC_Rates!D12</f>
        <v>Dwelling unit</v>
      </c>
      <c r="E26" s="233">
        <f>ITE_LUC_Rates!H12</f>
        <v>5.44</v>
      </c>
      <c r="F26" s="136" t="s">
        <v>68</v>
      </c>
      <c r="G26" s="137">
        <f>ITE_LUC_Rates!Q12</f>
        <v>0</v>
      </c>
      <c r="H26" s="61">
        <f>+FEE_1_In!H24</f>
        <v>5496.4762382813533</v>
      </c>
      <c r="I26" s="61">
        <f>FEE_1_Out!$H24</f>
        <v>4145.9390905970549</v>
      </c>
      <c r="J26" s="61">
        <f>FEE_2_In!$H24</f>
        <v>5995.0858263120135</v>
      </c>
      <c r="K26" s="61">
        <f>FEE_2_Out!$H24</f>
        <v>5217.1123774483822</v>
      </c>
      <c r="L26" s="61">
        <f>FEE_3_In!$H24</f>
        <v>5900.3709750184962</v>
      </c>
      <c r="M26" s="61">
        <f>FEE_3_Out!$H24</f>
        <v>5738.6680299405944</v>
      </c>
      <c r="N26" s="61">
        <f>FEE_4_In!$H24</f>
        <v>5503.4179831013917</v>
      </c>
      <c r="O26" s="61">
        <f>FEE_4_Out!$H24</f>
        <v>6012.4617316086778</v>
      </c>
      <c r="P26" s="139">
        <f t="shared" si="8"/>
        <v>0</v>
      </c>
      <c r="Q26" s="139">
        <f t="shared" si="9"/>
        <v>0</v>
      </c>
      <c r="R26" s="139">
        <f t="shared" si="10"/>
        <v>0</v>
      </c>
      <c r="S26" s="139">
        <f t="shared" si="11"/>
        <v>0</v>
      </c>
      <c r="T26" s="139">
        <f t="shared" si="12"/>
        <v>0</v>
      </c>
      <c r="U26" s="139">
        <f t="shared" si="13"/>
        <v>0</v>
      </c>
      <c r="V26" s="139">
        <f t="shared" si="14"/>
        <v>0</v>
      </c>
      <c r="W26" s="139">
        <f t="shared" si="15"/>
        <v>0</v>
      </c>
    </row>
    <row r="27" spans="2:23" s="20" customFormat="1" x14ac:dyDescent="0.25">
      <c r="B27" s="55">
        <f>ITE_LUC_Rates!B13</f>
        <v>222</v>
      </c>
      <c r="C27" s="56" t="str">
        <f>ITE_LUC_Rates!C13</f>
        <v>Multi-family Housing (High-Rise)</v>
      </c>
      <c r="D27" s="57" t="str">
        <f>ITE_LUC_Rates!D13</f>
        <v>Dwelling unit</v>
      </c>
      <c r="E27" s="129">
        <f>ITE_LUC_Rates!H13</f>
        <v>4.45</v>
      </c>
      <c r="F27" s="58" t="s">
        <v>68</v>
      </c>
      <c r="G27" s="104">
        <f>ITE_LUC_Rates!Q13</f>
        <v>4188.18</v>
      </c>
      <c r="H27" s="61">
        <f>+FEE_1_In!H25</f>
        <v>4496.1983934470627</v>
      </c>
      <c r="I27" s="61">
        <f>FEE_1_Out!$H25</f>
        <v>3391.4391458009</v>
      </c>
      <c r="J27" s="61">
        <f>FEE_2_In!$H25</f>
        <v>4904.0683689500847</v>
      </c>
      <c r="K27" s="61">
        <f>FEE_2_Out!$H25</f>
        <v>4267.6746469936224</v>
      </c>
      <c r="L27" s="61">
        <f>FEE_3_In!$H25</f>
        <v>4826.5902277265286</v>
      </c>
      <c r="M27" s="61">
        <f>FEE_3_Out!$H25</f>
        <v>4694.3148406683185</v>
      </c>
      <c r="N27" s="61">
        <f>FEE_4_In!$H25</f>
        <v>4501.8768427943369</v>
      </c>
      <c r="O27" s="61">
        <f>FEE_4_Out!$H25</f>
        <v>4918.2821150107748</v>
      </c>
      <c r="P27" s="139">
        <f t="shared" si="8"/>
        <v>7.3544688491674837E-2</v>
      </c>
      <c r="Q27" s="139">
        <f t="shared" si="9"/>
        <v>-0.19023558065773205</v>
      </c>
      <c r="R27" s="139">
        <f t="shared" si="10"/>
        <v>1.8980714055657044E-2</v>
      </c>
      <c r="S27" s="139">
        <f t="shared" si="11"/>
        <v>0.17093065936757368</v>
      </c>
      <c r="T27" s="139">
        <f t="shared" si="12"/>
        <v>0.12084839731537755</v>
      </c>
      <c r="U27" s="139">
        <f t="shared" si="13"/>
        <v>0.1524314207427877</v>
      </c>
      <c r="V27" s="139">
        <f t="shared" si="14"/>
        <v>0.17432443567630207</v>
      </c>
      <c r="W27" s="139">
        <f t="shared" si="15"/>
        <v>7.4900515926807465E-2</v>
      </c>
    </row>
    <row r="28" spans="2:23" s="20" customFormat="1" x14ac:dyDescent="0.25">
      <c r="B28" s="55">
        <f>ITE_LUC_Rates!B14</f>
        <v>230</v>
      </c>
      <c r="C28" s="56" t="str">
        <f>ITE_LUC_Rates!C14</f>
        <v xml:space="preserve">Residential Condominium/Townhouse </v>
      </c>
      <c r="D28" s="57" t="str">
        <f>ITE_LUC_Rates!D14</f>
        <v>Dwelling unit</v>
      </c>
      <c r="E28" s="129">
        <f>ITE_LUC_Rates!H14</f>
        <v>5.86</v>
      </c>
      <c r="F28" s="58" t="s">
        <v>68</v>
      </c>
      <c r="G28" s="104">
        <f>ITE_LUC_Rates!Q14</f>
        <v>5843.27</v>
      </c>
      <c r="H28" s="61">
        <f>+FEE_1_In!H26</f>
        <v>5920.8365360898406</v>
      </c>
      <c r="I28" s="61">
        <f>FEE_1_Out!$H26</f>
        <v>4466.0299762681507</v>
      </c>
      <c r="J28" s="61">
        <f>FEE_2_In!$H26</f>
        <v>6457.9417173140455</v>
      </c>
      <c r="K28" s="61">
        <f>FEE_2_Out!$H26</f>
        <v>5619.9041418837369</v>
      </c>
      <c r="L28" s="61">
        <f>FEE_3_In!$H26</f>
        <v>6355.9143223544843</v>
      </c>
      <c r="M28" s="61">
        <f>FEE_3_Out!$H26</f>
        <v>6181.7269587227729</v>
      </c>
      <c r="N28" s="61">
        <f>FEE_4_In!$H26</f>
        <v>5928.3142244437795</v>
      </c>
      <c r="O28" s="61">
        <f>FEE_4_Out!$H26</f>
        <v>6476.6591447108176</v>
      </c>
      <c r="P28" s="139">
        <f>IFERROR(H28/$G28-1,0)</f>
        <v>1.3274508295841203E-2</v>
      </c>
      <c r="Q28" s="139">
        <f>IFERROR(I28/$G28-1,0)</f>
        <v>-0.23569679712418723</v>
      </c>
      <c r="R28" s="139">
        <f t="shared" si="10"/>
        <v>-3.8226174405129876E-2</v>
      </c>
      <c r="S28" s="139">
        <f t="shared" si="11"/>
        <v>0.10519310545534344</v>
      </c>
      <c r="T28" s="139">
        <f>IFERROR(M28/$G28-1,0)</f>
        <v>5.7922526038121092E-2</v>
      </c>
      <c r="U28" s="139">
        <f t="shared" si="13"/>
        <v>8.7732437890852832E-2</v>
      </c>
      <c r="V28" s="139">
        <f>IFERROR(O28/$G28-1,0)</f>
        <v>0.10839635079515708</v>
      </c>
      <c r="W28" s="139">
        <f t="shared" si="15"/>
        <v>1.4554217834154448E-2</v>
      </c>
    </row>
    <row r="29" spans="2:23" s="20" customFormat="1" x14ac:dyDescent="0.25">
      <c r="B29" s="134">
        <f>ITE_LUC_Rates!B15</f>
        <v>231</v>
      </c>
      <c r="C29" s="135" t="str">
        <f>ITE_LUC_Rates!C15</f>
        <v>Mid Rise Apart w/ 1st Commercial</v>
      </c>
      <c r="D29" s="232" t="str">
        <f>ITE_LUC_Rates!D15</f>
        <v>Dwelling unit</v>
      </c>
      <c r="E29" s="233">
        <f>ITE_LUC_Rates!H15</f>
        <v>3.44</v>
      </c>
      <c r="F29" s="136" t="s">
        <v>68</v>
      </c>
      <c r="G29" s="137">
        <f>ITE_LUC_Rates!Q15</f>
        <v>0</v>
      </c>
      <c r="H29" s="61">
        <f>+FEE_1_In!H27</f>
        <v>3475.7129153837973</v>
      </c>
      <c r="I29" s="61">
        <f>FEE_1_Out!$H27</f>
        <v>2621.6967778775493</v>
      </c>
      <c r="J29" s="61">
        <f>FEE_2_In!$H27</f>
        <v>3791.0101548737725</v>
      </c>
      <c r="K29" s="61">
        <f>FEE_2_Out!$H27</f>
        <v>3299.0563563276546</v>
      </c>
      <c r="L29" s="61">
        <f>FEE_3_In!$H27</f>
        <v>3731.1169400852264</v>
      </c>
      <c r="M29" s="61">
        <f>FEE_3_Out!$H27</f>
        <v>3628.8636071683177</v>
      </c>
      <c r="N29" s="61">
        <f>FEE_4_In!$H27</f>
        <v>3480.1025481376446</v>
      </c>
      <c r="O29" s="61">
        <f>FEE_4_Out!$H27</f>
        <v>3801.9978596937221</v>
      </c>
      <c r="P29" s="139">
        <f t="shared" si="8"/>
        <v>0</v>
      </c>
      <c r="Q29" s="139">
        <f t="shared" si="9"/>
        <v>0</v>
      </c>
      <c r="R29" s="139">
        <f t="shared" si="10"/>
        <v>0</v>
      </c>
      <c r="S29" s="139">
        <f t="shared" si="11"/>
        <v>0</v>
      </c>
      <c r="T29" s="139">
        <f t="shared" si="12"/>
        <v>0</v>
      </c>
      <c r="U29" s="139">
        <f t="shared" si="13"/>
        <v>0</v>
      </c>
      <c r="V29" s="139">
        <f t="shared" si="14"/>
        <v>0</v>
      </c>
      <c r="W29" s="139">
        <f t="shared" si="15"/>
        <v>0</v>
      </c>
    </row>
    <row r="30" spans="2:23" s="20" customFormat="1" x14ac:dyDescent="0.25">
      <c r="B30" s="55">
        <f>ITE_LUC_Rates!B16</f>
        <v>240</v>
      </c>
      <c r="C30" s="56" t="str">
        <f>ITE_LUC_Rates!C16</f>
        <v>Mobile Home (Park)</v>
      </c>
      <c r="D30" s="57" t="str">
        <f>ITE_LUC_Rates!D16</f>
        <v>Dwelling unit</v>
      </c>
      <c r="E30" s="129">
        <f>ITE_LUC_Rates!H16</f>
        <v>5</v>
      </c>
      <c r="F30" s="58" t="s">
        <v>68</v>
      </c>
      <c r="G30" s="104">
        <f>ITE_LUC_Rates!Q16</f>
        <v>4975.3599999999997</v>
      </c>
      <c r="H30" s="61">
        <f>+FEE_1_In!H28</f>
        <v>5051.9083072438916</v>
      </c>
      <c r="I30" s="61">
        <f>FEE_1_Out!$H28</f>
        <v>3810.6057817987635</v>
      </c>
      <c r="J30" s="61">
        <f>FEE_2_In!$H28</f>
        <v>5510.1891785956004</v>
      </c>
      <c r="K30" s="61">
        <f>FEE_2_Out!$H28</f>
        <v>4795.140052801823</v>
      </c>
      <c r="L30" s="61">
        <f>FEE_3_In!$H28</f>
        <v>5423.1350873331785</v>
      </c>
      <c r="M30" s="61">
        <f>FEE_3_Out!$H28</f>
        <v>5274.5110569306944</v>
      </c>
      <c r="N30" s="61">
        <f>FEE_4_In!$H28</f>
        <v>5058.2885874093681</v>
      </c>
      <c r="O30" s="61">
        <f>FEE_4_Out!$H28</f>
        <v>5526.1596797873872</v>
      </c>
      <c r="P30" s="139">
        <f t="shared" ref="P30:Q32" si="16">IFERROR(H30/$G30-1,0)</f>
        <v>1.5385481099637444E-2</v>
      </c>
      <c r="Q30" s="139">
        <f t="shared" si="16"/>
        <v>-0.23410451066882321</v>
      </c>
      <c r="R30" s="139">
        <f t="shared" si="10"/>
        <v>-3.6222493889522922E-2</v>
      </c>
      <c r="S30" s="139">
        <f t="shared" si="11"/>
        <v>0.10749557390733555</v>
      </c>
      <c r="T30" s="139">
        <f>IFERROR(M30/$G30-1,0)</f>
        <v>6.0126514851326363E-2</v>
      </c>
      <c r="U30" s="139">
        <f t="shared" si="13"/>
        <v>8.9998530223577511E-2</v>
      </c>
      <c r="V30" s="139">
        <f>IFERROR(O30/$G30-1,0)</f>
        <v>0.11070549262513407</v>
      </c>
      <c r="W30" s="139">
        <f t="shared" si="15"/>
        <v>1.6667856679590809E-2</v>
      </c>
    </row>
    <row r="31" spans="2:23" s="20" customFormat="1" x14ac:dyDescent="0.25">
      <c r="B31" s="55">
        <f>ITE_LUC_Rates!B17</f>
        <v>251</v>
      </c>
      <c r="C31" s="56" t="str">
        <f>ITE_LUC_Rates!C17</f>
        <v>Senior Adult Housing-Detached</v>
      </c>
      <c r="D31" s="57" t="str">
        <f>ITE_LUC_Rates!D17</f>
        <v>Dwelling unit</v>
      </c>
      <c r="E31" s="129">
        <f>ITE_LUC_Rates!H17</f>
        <v>4.2699999999999996</v>
      </c>
      <c r="F31" s="58" t="s">
        <v>68</v>
      </c>
      <c r="G31" s="104">
        <f>ITE_LUC_Rates!Q17</f>
        <v>3670.12</v>
      </c>
      <c r="H31" s="61">
        <f>+FEE_1_In!H29</f>
        <v>4314.3296943862833</v>
      </c>
      <c r="I31" s="61">
        <f>FEE_1_Out!$H29</f>
        <v>3254.257337656144</v>
      </c>
      <c r="J31" s="61">
        <f>FEE_2_In!$H29</f>
        <v>4705.7015585206427</v>
      </c>
      <c r="K31" s="61">
        <f>FEE_2_Out!$H29</f>
        <v>4095.0496050927563</v>
      </c>
      <c r="L31" s="61">
        <f>FEE_3_In!$H29</f>
        <v>4631.3573645825327</v>
      </c>
      <c r="M31" s="61">
        <f>FEE_3_Out!$H29</f>
        <v>4504.4324426188114</v>
      </c>
      <c r="N31" s="61">
        <f>FEE_4_In!$H29</f>
        <v>4319.7784536475992</v>
      </c>
      <c r="O31" s="61">
        <f>FEE_4_Out!$H29</f>
        <v>4719.3403665384285</v>
      </c>
      <c r="P31" s="139">
        <f t="shared" si="16"/>
        <v>0.17552823732910183</v>
      </c>
      <c r="Q31" s="139">
        <f t="shared" si="16"/>
        <v>-0.1133103719616404</v>
      </c>
      <c r="R31" s="139">
        <f t="shared" si="10"/>
        <v>0.11578084779046915</v>
      </c>
      <c r="S31" s="139">
        <f t="shared" si="11"/>
        <v>0.28216558546332071</v>
      </c>
      <c r="T31" s="139">
        <f>IFERROR(M31/$G31-1,0)</f>
        <v>0.22732565764029822</v>
      </c>
      <c r="U31" s="139">
        <f t="shared" si="13"/>
        <v>0.26190897425221316</v>
      </c>
      <c r="V31" s="139">
        <f>IFERROR(O31/$G31-1,0)</f>
        <v>0.28588176041612501</v>
      </c>
      <c r="W31" s="139">
        <f t="shared" si="15"/>
        <v>0.17701286433348207</v>
      </c>
    </row>
    <row r="32" spans="2:23" s="20" customFormat="1" x14ac:dyDescent="0.25">
      <c r="B32" s="55">
        <f>ITE_LUC_Rates!B18</f>
        <v>252</v>
      </c>
      <c r="C32" s="56" t="str">
        <f>ITE_LUC_Rates!C18</f>
        <v>Senior Adult Housing-Attached</v>
      </c>
      <c r="D32" s="57" t="str">
        <f>ITE_LUC_Rates!D18</f>
        <v>Dwelling unit</v>
      </c>
      <c r="E32" s="129">
        <f>ITE_LUC_Rates!H18</f>
        <v>3.7</v>
      </c>
      <c r="F32" s="58" t="s">
        <v>68</v>
      </c>
      <c r="G32" s="104">
        <f>ITE_LUC_Rates!Q18</f>
        <v>3429.6</v>
      </c>
      <c r="H32" s="61">
        <f>+FEE_1_In!H30</f>
        <v>3738.4121473604791</v>
      </c>
      <c r="I32" s="61">
        <f>FEE_1_Out!$H30</f>
        <v>2819.8482785310848</v>
      </c>
      <c r="J32" s="61">
        <f>FEE_2_In!$H30</f>
        <v>4077.5399921607445</v>
      </c>
      <c r="K32" s="61">
        <f>FEE_2_Out!$H30</f>
        <v>3548.403639073349</v>
      </c>
      <c r="L32" s="61">
        <f>FEE_3_In!$H30</f>
        <v>4013.1199646265518</v>
      </c>
      <c r="M32" s="61">
        <f>FEE_3_Out!$H30</f>
        <v>3903.1381821287137</v>
      </c>
      <c r="N32" s="61">
        <f>FEE_4_In!$H30</f>
        <v>3743.1335546829323</v>
      </c>
      <c r="O32" s="61">
        <f>FEE_4_Out!$H30</f>
        <v>4089.358163042667</v>
      </c>
      <c r="P32" s="139">
        <f t="shared" si="16"/>
        <v>9.0043196687800142E-2</v>
      </c>
      <c r="Q32" s="139">
        <f t="shared" si="16"/>
        <v>-0.17779091482065401</v>
      </c>
      <c r="R32" s="139">
        <f t="shared" si="10"/>
        <v>3.464066919563491E-2</v>
      </c>
      <c r="S32" s="139">
        <f t="shared" si="11"/>
        <v>0.1889258199675603</v>
      </c>
      <c r="T32" s="139">
        <f>IFERROR(M32/$G32-1,0)</f>
        <v>0.13807388095658779</v>
      </c>
      <c r="U32" s="139">
        <f t="shared" si="13"/>
        <v>0.17014228033197809</v>
      </c>
      <c r="V32" s="139">
        <f>IFERROR(O32/$G32-1,0)</f>
        <v>0.19237175269496931</v>
      </c>
      <c r="W32" s="139">
        <f t="shared" si="15"/>
        <v>9.1419860824274668E-2</v>
      </c>
    </row>
    <row r="33" spans="2:23" s="20" customFormat="1" x14ac:dyDescent="0.25">
      <c r="B33" s="55">
        <f>ITE_LUC_Rates!B19</f>
        <v>253</v>
      </c>
      <c r="C33" s="56" t="str">
        <f>ITE_LUC_Rates!C19</f>
        <v>Congregate Care Facility</v>
      </c>
      <c r="D33" s="57" t="str">
        <f>ITE_LUC_Rates!D19</f>
        <v>Dwelling unit</v>
      </c>
      <c r="E33" s="129">
        <f>ITE_LUC_Rates!H19</f>
        <v>2.02</v>
      </c>
      <c r="F33" s="58" t="s">
        <v>68</v>
      </c>
      <c r="G33" s="104">
        <f>ITE_LUC_Rates!Q19</f>
        <v>2050.3000000000002</v>
      </c>
      <c r="H33" s="61">
        <f>+FEE_1_In!H31</f>
        <v>2040.970956126532</v>
      </c>
      <c r="I33" s="61">
        <f>FEE_1_Out!$H31</f>
        <v>1539.4847358467007</v>
      </c>
      <c r="J33" s="61">
        <f>FEE_2_In!$H31</f>
        <v>2226.1164281526226</v>
      </c>
      <c r="K33" s="61">
        <f>FEE_2_Out!$H31</f>
        <v>1937.2365813319361</v>
      </c>
      <c r="L33" s="61">
        <f>FEE_3_In!$H31</f>
        <v>2190.9465752826036</v>
      </c>
      <c r="M33" s="61">
        <f>FEE_3_Out!$H31</f>
        <v>2130.9024670000003</v>
      </c>
      <c r="N33" s="61">
        <f>FEE_4_In!$H31</f>
        <v>2043.5485893133844</v>
      </c>
      <c r="O33" s="61">
        <f>FEE_4_Out!$H31</f>
        <v>2232.5685106341043</v>
      </c>
      <c r="P33" s="139">
        <f t="shared" si="8"/>
        <v>-4.5500872425831007E-3</v>
      </c>
      <c r="Q33" s="139">
        <f t="shared" si="9"/>
        <v>-0.24914171787216477</v>
      </c>
      <c r="R33" s="139">
        <f t="shared" si="10"/>
        <v>-5.5144817181907113E-2</v>
      </c>
      <c r="S33" s="139">
        <f t="shared" si="11"/>
        <v>8.575156228484726E-2</v>
      </c>
      <c r="T33" s="139">
        <f t="shared" si="12"/>
        <v>3.9312523533141519E-2</v>
      </c>
      <c r="U33" s="139">
        <f t="shared" si="13"/>
        <v>6.8598046765157905E-2</v>
      </c>
      <c r="V33" s="139">
        <f t="shared" si="14"/>
        <v>8.8898459071406144E-2</v>
      </c>
      <c r="W33" s="139">
        <f t="shared" si="15"/>
        <v>-3.2928891804203664E-3</v>
      </c>
    </row>
    <row r="34" spans="2:23" s="20" customFormat="1" x14ac:dyDescent="0.25">
      <c r="B34" s="55">
        <f>ITE_LUC_Rates!B20</f>
        <v>254</v>
      </c>
      <c r="C34" s="56" t="str">
        <f>ITE_LUC_Rates!C20</f>
        <v>Assisted Living Facility</v>
      </c>
      <c r="D34" s="57" t="str">
        <f>ITE_LUC_Rates!D20</f>
        <v>Bed</v>
      </c>
      <c r="E34" s="129">
        <f>ITE_LUC_Rates!H20</f>
        <v>2.6</v>
      </c>
      <c r="F34" s="58" t="s">
        <v>68</v>
      </c>
      <c r="G34" s="104">
        <f>ITE_LUC_Rates!Q20</f>
        <v>2701.29</v>
      </c>
      <c r="H34" s="61">
        <f>+FEE_1_In!H32</f>
        <v>2626.9923197668236</v>
      </c>
      <c r="I34" s="61">
        <f>FEE_1_Out!$H32</f>
        <v>1981.5150065353573</v>
      </c>
      <c r="J34" s="61">
        <f>FEE_2_In!$H32</f>
        <v>2865.2983728697118</v>
      </c>
      <c r="K34" s="61">
        <f>FEE_2_Out!$H32</f>
        <v>2493.4728274569484</v>
      </c>
      <c r="L34" s="61">
        <f>FEE_3_In!$H32</f>
        <v>2820.0302454132525</v>
      </c>
      <c r="M34" s="61">
        <f>FEE_3_Out!$H32</f>
        <v>2742.7457496039606</v>
      </c>
      <c r="N34" s="61">
        <f>FEE_4_In!$H32</f>
        <v>2630.3100654528707</v>
      </c>
      <c r="O34" s="61">
        <f>FEE_4_Out!$H32</f>
        <v>2873.6030334894413</v>
      </c>
      <c r="P34" s="140">
        <f t="shared" si="8"/>
        <v>-2.7504518297989611E-2</v>
      </c>
      <c r="Q34" s="140">
        <f t="shared" si="9"/>
        <v>-0.26645602414573877</v>
      </c>
      <c r="R34" s="140">
        <f t="shared" si="10"/>
        <v>-7.6932566493435162E-2</v>
      </c>
      <c r="S34" s="140">
        <f t="shared" si="11"/>
        <v>6.071483360531893E-2</v>
      </c>
      <c r="T34" s="140">
        <f t="shared" si="12"/>
        <v>1.5346649046922289E-2</v>
      </c>
      <c r="U34" s="140">
        <f t="shared" si="13"/>
        <v>4.3956867057314275E-2</v>
      </c>
      <c r="V34" s="140">
        <f t="shared" si="14"/>
        <v>6.3789164987632319E-2</v>
      </c>
      <c r="W34" s="140">
        <f t="shared" si="15"/>
        <v>-2.6276310409889092E-2</v>
      </c>
    </row>
    <row r="35" spans="2:23" s="20" customFormat="1" x14ac:dyDescent="0.25">
      <c r="B35" s="55">
        <f>ITE_LUC_Rates!B21</f>
        <v>255</v>
      </c>
      <c r="C35" s="56" t="str">
        <f>ITE_LUC_Rates!C21</f>
        <v>Continuing Care Retirement Community</v>
      </c>
      <c r="D35" s="57" t="str">
        <f>ITE_LUC_Rates!D21</f>
        <v>Dwelling unit</v>
      </c>
      <c r="E35" s="129">
        <f>ITE_LUC_Rates!H21</f>
        <v>2.4</v>
      </c>
      <c r="F35" s="58" t="s">
        <v>68</v>
      </c>
      <c r="G35" s="104">
        <f>ITE_LUC_Rates!Q21</f>
        <v>2437.2199999999998</v>
      </c>
      <c r="H35" s="61">
        <f>+FEE_1_In!H33</f>
        <v>2424.9159874770676</v>
      </c>
      <c r="I35" s="61">
        <f>FEE_1_Out!$H33</f>
        <v>1829.0907752634064</v>
      </c>
      <c r="J35" s="61">
        <f>FEE_2_In!$H33</f>
        <v>2644.8908057258877</v>
      </c>
      <c r="K35" s="61">
        <f>FEE_2_Out!$H33</f>
        <v>2301.6672253448746</v>
      </c>
      <c r="L35" s="61">
        <f>FEE_3_In!$H33</f>
        <v>2603.1048419199251</v>
      </c>
      <c r="M35" s="61">
        <f>FEE_3_Out!$H33</f>
        <v>2531.7653073267325</v>
      </c>
      <c r="N35" s="61">
        <f>FEE_4_In!$H33</f>
        <v>2427.978521956496</v>
      </c>
      <c r="O35" s="61">
        <f>FEE_4_Out!$H33</f>
        <v>2652.5566462979455</v>
      </c>
      <c r="P35" s="139">
        <f t="shared" si="8"/>
        <v>-5.0483799258713713E-3</v>
      </c>
      <c r="Q35" s="139">
        <f t="shared" si="9"/>
        <v>-0.24951757524416895</v>
      </c>
      <c r="R35" s="139">
        <f t="shared" si="10"/>
        <v>-5.5617783644941854E-2</v>
      </c>
      <c r="S35" s="139">
        <f t="shared" si="11"/>
        <v>8.5208067275784671E-2</v>
      </c>
      <c r="T35" s="139">
        <f t="shared" si="12"/>
        <v>3.8792274528656634E-2</v>
      </c>
      <c r="U35" s="139">
        <f t="shared" si="13"/>
        <v>6.8063138296881487E-2</v>
      </c>
      <c r="V35" s="139">
        <f t="shared" si="14"/>
        <v>8.8353388819206069E-2</v>
      </c>
      <c r="W35" s="139">
        <f t="shared" si="15"/>
        <v>-3.7918111797473619E-3</v>
      </c>
    </row>
    <row r="36" spans="2:23" s="20" customFormat="1" x14ac:dyDescent="0.25">
      <c r="B36" s="134">
        <f>ITE_LUC_Rates!B22</f>
        <v>265</v>
      </c>
      <c r="C36" s="135" t="str">
        <f>ITE_LUC_Rates!C22</f>
        <v xml:space="preserve">Timeshare </v>
      </c>
      <c r="D36" s="232" t="str">
        <f>ITE_LUC_Rates!D22</f>
        <v>Dwelling unit</v>
      </c>
      <c r="E36" s="233">
        <f>ITE_LUC_Rates!H22</f>
        <v>8.6300000000000008</v>
      </c>
      <c r="F36" s="136" t="s">
        <v>68</v>
      </c>
      <c r="G36" s="137">
        <f>ITE_LUC_Rates!Q22</f>
        <v>0</v>
      </c>
      <c r="H36" s="61">
        <f>+FEE_1_In!H34</f>
        <v>8719.5937383029577</v>
      </c>
      <c r="I36" s="61">
        <f>FEE_1_Out!$H34</f>
        <v>6577.1055793846663</v>
      </c>
      <c r="J36" s="61">
        <f>FEE_2_In!$H34</f>
        <v>9510.5865222560078</v>
      </c>
      <c r="K36" s="61">
        <f>FEE_2_Out!$H34</f>
        <v>8276.4117311359478</v>
      </c>
      <c r="L36" s="61">
        <f>FEE_3_In!$H34</f>
        <v>9360.3311607370651</v>
      </c>
      <c r="M36" s="61">
        <f>FEE_3_Out!$H34</f>
        <v>9103.8060842623781</v>
      </c>
      <c r="N36" s="61">
        <f>FEE_4_In!$H34</f>
        <v>8730.6061018685705</v>
      </c>
      <c r="O36" s="61">
        <f>FEE_4_Out!$H34</f>
        <v>9538.1516073130297</v>
      </c>
      <c r="P36" s="139">
        <f t="shared" si="8"/>
        <v>0</v>
      </c>
      <c r="Q36" s="139">
        <f t="shared" si="9"/>
        <v>0</v>
      </c>
      <c r="R36" s="139">
        <f t="shared" si="10"/>
        <v>0</v>
      </c>
      <c r="S36" s="139">
        <f t="shared" si="11"/>
        <v>0</v>
      </c>
      <c r="T36" s="139">
        <f t="shared" si="12"/>
        <v>0</v>
      </c>
      <c r="U36" s="139">
        <f t="shared" si="13"/>
        <v>0</v>
      </c>
      <c r="V36" s="139">
        <f t="shared" si="14"/>
        <v>0</v>
      </c>
      <c r="W36" s="139">
        <f t="shared" si="15"/>
        <v>0</v>
      </c>
    </row>
    <row r="37" spans="2:23" s="20" customFormat="1" x14ac:dyDescent="0.25">
      <c r="B37" s="134">
        <f>ITE_LUC_Rates!B23</f>
        <v>270</v>
      </c>
      <c r="C37" s="135" t="str">
        <f>ITE_LUC_Rates!C23</f>
        <v>Residential PUD</v>
      </c>
      <c r="D37" s="232" t="str">
        <f>ITE_LUC_Rates!D23</f>
        <v>Dwelling unit</v>
      </c>
      <c r="E37" s="233">
        <f>ITE_LUC_Rates!H23</f>
        <v>7.83</v>
      </c>
      <c r="F37" s="136" t="s">
        <v>68</v>
      </c>
      <c r="G37" s="137">
        <f>ITE_LUC_Rates!Q23</f>
        <v>0</v>
      </c>
      <c r="H37" s="61">
        <f>+FEE_1_In!H35</f>
        <v>7911.2884091439346</v>
      </c>
      <c r="I37" s="61">
        <f>FEE_1_Out!$H35</f>
        <v>5967.4086542968635</v>
      </c>
      <c r="J37" s="61">
        <f>FEE_2_In!$H35</f>
        <v>8628.9562536807098</v>
      </c>
      <c r="K37" s="61">
        <f>FEE_2_Out!$H35</f>
        <v>7509.1893226876555</v>
      </c>
      <c r="L37" s="61">
        <f>FEE_3_In!$H35</f>
        <v>8492.6295467637574</v>
      </c>
      <c r="M37" s="61">
        <f>FEE_3_Out!$H35</f>
        <v>8259.8843151534656</v>
      </c>
      <c r="N37" s="61">
        <f>FEE_4_In!$H35</f>
        <v>7921.2799278830698</v>
      </c>
      <c r="O37" s="61">
        <f>FEE_4_Out!$H35</f>
        <v>8653.9660585470483</v>
      </c>
      <c r="P37" s="139">
        <f t="shared" si="8"/>
        <v>0</v>
      </c>
      <c r="Q37" s="139">
        <f t="shared" si="9"/>
        <v>0</v>
      </c>
      <c r="R37" s="139">
        <f t="shared" si="10"/>
        <v>0</v>
      </c>
      <c r="S37" s="139">
        <f t="shared" si="11"/>
        <v>0</v>
      </c>
      <c r="T37" s="139">
        <f t="shared" si="12"/>
        <v>0</v>
      </c>
      <c r="U37" s="139">
        <f t="shared" si="13"/>
        <v>0</v>
      </c>
      <c r="V37" s="139">
        <f t="shared" si="14"/>
        <v>0</v>
      </c>
      <c r="W37" s="139">
        <f t="shared" si="15"/>
        <v>0</v>
      </c>
    </row>
    <row r="38" spans="2:23" s="20" customFormat="1" x14ac:dyDescent="0.25">
      <c r="B38" s="105" t="e">
        <f>ITE_LUC_Rates!#REF!</f>
        <v>#REF!</v>
      </c>
      <c r="C38" s="106"/>
      <c r="D38" s="107"/>
      <c r="E38" s="130"/>
      <c r="F38" s="109"/>
      <c r="G38" s="110"/>
      <c r="H38" s="113"/>
      <c r="I38" s="113"/>
      <c r="J38" s="113"/>
      <c r="K38" s="113"/>
      <c r="L38" s="113"/>
      <c r="M38" s="113"/>
      <c r="N38" s="113"/>
      <c r="O38" s="113"/>
      <c r="P38" s="113"/>
      <c r="Q38" s="113"/>
      <c r="R38" s="113"/>
      <c r="S38" s="113"/>
      <c r="T38" s="113"/>
      <c r="U38" s="113"/>
      <c r="V38" s="113"/>
      <c r="W38" s="113"/>
    </row>
    <row r="39" spans="2:23" s="20" customFormat="1" x14ac:dyDescent="0.25">
      <c r="B39" s="55">
        <f>ITE_LUC_Rates!B24</f>
        <v>310</v>
      </c>
      <c r="C39" s="56" t="str">
        <f>ITE_LUC_Rates!C24</f>
        <v>Hotel</v>
      </c>
      <c r="D39" s="57" t="str">
        <f>ITE_LUC_Rates!D24</f>
        <v>Hotel room</v>
      </c>
      <c r="E39" s="129">
        <f>ITE_LUC_Rates!H24</f>
        <v>8.36</v>
      </c>
      <c r="F39" s="58" t="s">
        <v>68</v>
      </c>
      <c r="G39" s="104">
        <f>ITE_LUC_Rates!Q24</f>
        <v>8894.4159999999993</v>
      </c>
      <c r="H39" s="61">
        <f>+FEE_1_In!H37</f>
        <v>8446.7906897117846</v>
      </c>
      <c r="I39" s="61">
        <f>FEE_1_Out!$H37</f>
        <v>6371.3328671675326</v>
      </c>
      <c r="J39" s="61">
        <f>FEE_2_In!$H37</f>
        <v>9213.0363066118443</v>
      </c>
      <c r="K39" s="61">
        <f>FEE_2_Out!$H37</f>
        <v>8017.4741682846479</v>
      </c>
      <c r="L39" s="61">
        <f>FEE_3_In!$H37</f>
        <v>9067.4818660210713</v>
      </c>
      <c r="M39" s="61">
        <f>FEE_3_Out!$H37</f>
        <v>8818.982487188121</v>
      </c>
      <c r="N39" s="61">
        <f>FEE_4_In!$H37</f>
        <v>8457.4585181484617</v>
      </c>
      <c r="O39" s="61">
        <f>FEE_4_Out!$H37</f>
        <v>9239.7389846045098</v>
      </c>
      <c r="P39" s="139">
        <f t="shared" ref="P39:Q42" si="17">IFERROR(H39/$G39-1,0)</f>
        <v>-5.032655435592559E-2</v>
      </c>
      <c r="Q39" s="139">
        <f t="shared" si="17"/>
        <v>-0.28367046614780178</v>
      </c>
      <c r="R39" s="139">
        <f>IFERROR(K39/$G39-1,0)</f>
        <v>-9.8594649914660049E-2</v>
      </c>
      <c r="S39" s="139">
        <f>IFERROR(J39/$G39-1,0)</f>
        <v>3.5822510057079038E-2</v>
      </c>
      <c r="T39" s="139">
        <f>IFERROR(M39/$G39-1,0)</f>
        <v>-8.4809967075835102E-3</v>
      </c>
      <c r="U39" s="139">
        <f>IFERROR(L39/$G39-1,0)</f>
        <v>1.9457811060453301E-2</v>
      </c>
      <c r="V39" s="139">
        <f>IFERROR(O39/$G39-1,0)</f>
        <v>3.8824694572922036E-2</v>
      </c>
      <c r="W39" s="139">
        <f>IFERROR(N39/$G39-1,0)</f>
        <v>-4.9127169434343698E-2</v>
      </c>
    </row>
    <row r="40" spans="2:23" s="20" customFormat="1" x14ac:dyDescent="0.25">
      <c r="B40" s="55">
        <f>ITE_LUC_Rates!B25</f>
        <v>311</v>
      </c>
      <c r="C40" s="56" t="str">
        <f>ITE_LUC_Rates!C25</f>
        <v>All Suites Hotel</v>
      </c>
      <c r="D40" s="57" t="str">
        <f>ITE_LUC_Rates!D25</f>
        <v>Hotel room</v>
      </c>
      <c r="E40" s="129">
        <f>ITE_LUC_Rates!H25</f>
        <v>4.46</v>
      </c>
      <c r="F40" s="58" t="s">
        <v>68</v>
      </c>
      <c r="G40" s="104">
        <f>ITE_LUC_Rates!Q25</f>
        <v>6221.7179999999998</v>
      </c>
      <c r="H40" s="61">
        <f>+FEE_1_In!H38</f>
        <v>4506.3022100615508</v>
      </c>
      <c r="I40" s="61">
        <f>FEE_1_Out!$H38</f>
        <v>3399.0603573644971</v>
      </c>
      <c r="J40" s="61">
        <f>FEE_2_In!$H38</f>
        <v>4915.0887473072753</v>
      </c>
      <c r="K40" s="61">
        <f>FEE_2_Out!$H38</f>
        <v>4277.264927099226</v>
      </c>
      <c r="L40" s="61">
        <f>FEE_3_In!$H38</f>
        <v>4837.4364979011934</v>
      </c>
      <c r="M40" s="61">
        <f>FEE_3_Out!$H38</f>
        <v>4704.8638627821792</v>
      </c>
      <c r="N40" s="61">
        <f>FEE_4_In!$H38</f>
        <v>4511.9934199691561</v>
      </c>
      <c r="O40" s="61">
        <f>FEE_4_Out!$H38</f>
        <v>4929.3344343703493</v>
      </c>
      <c r="P40" s="139">
        <f t="shared" si="17"/>
        <v>-0.27571416607735177</v>
      </c>
      <c r="Q40" s="139">
        <f t="shared" si="17"/>
        <v>-0.4536781709867761</v>
      </c>
      <c r="R40" s="139">
        <f>IFERROR(K40/$G40-1,0)</f>
        <v>-0.31252671254157993</v>
      </c>
      <c r="S40" s="139">
        <f>IFERROR(J40/$G40-1,0)</f>
        <v>-0.21001100543173523</v>
      </c>
      <c r="T40" s="139">
        <f>IFERROR(M40/$G40-1,0)</f>
        <v>-0.24379988569360111</v>
      </c>
      <c r="U40" s="139">
        <f>IFERROR(L40/$G40-1,0)</f>
        <v>-0.22249184262269783</v>
      </c>
      <c r="V40" s="139">
        <f>IFERROR(O40/$G40-1,0)</f>
        <v>-0.2077213344657618</v>
      </c>
      <c r="W40" s="139">
        <f>IFERROR(N40/$G40-1,0)</f>
        <v>-0.27479943321617017</v>
      </c>
    </row>
    <row r="41" spans="2:23" s="20" customFormat="1" x14ac:dyDescent="0.25">
      <c r="B41" s="55">
        <f>ITE_LUC_Rates!B26</f>
        <v>320</v>
      </c>
      <c r="C41" s="56" t="str">
        <f>ITE_LUC_Rates!C26</f>
        <v>Motel</v>
      </c>
      <c r="D41" s="57" t="str">
        <f>ITE_LUC_Rates!D26</f>
        <v>Hotel room</v>
      </c>
      <c r="E41" s="129">
        <f>ITE_LUC_Rates!H26</f>
        <v>3.35</v>
      </c>
      <c r="F41" s="58" t="s">
        <v>68</v>
      </c>
      <c r="G41" s="104">
        <f>ITE_LUC_Rates!Q26</f>
        <v>9084.482</v>
      </c>
      <c r="H41" s="61">
        <f>+FEE_1_In!H39</f>
        <v>3384.7785658534071</v>
      </c>
      <c r="I41" s="61">
        <f>FEE_1_Out!$H39</f>
        <v>2553.1058738051715</v>
      </c>
      <c r="J41" s="61">
        <f>FEE_2_In!$H39</f>
        <v>3691.8267496590524</v>
      </c>
      <c r="K41" s="61">
        <f>FEE_2_Out!$H39</f>
        <v>3212.7438353772213</v>
      </c>
      <c r="L41" s="61">
        <f>FEE_3_In!$H39</f>
        <v>3633.5005085132284</v>
      </c>
      <c r="M41" s="61">
        <f>FEE_3_Out!$H39</f>
        <v>3533.922408143565</v>
      </c>
      <c r="N41" s="61">
        <f>FEE_4_In!$H39</f>
        <v>3389.0533535642767</v>
      </c>
      <c r="O41" s="61">
        <f>FEE_4_Out!$H39</f>
        <v>3702.5269854575495</v>
      </c>
      <c r="P41" s="139">
        <f t="shared" si="17"/>
        <v>-0.62741094474584158</v>
      </c>
      <c r="Q41" s="139">
        <f t="shared" si="17"/>
        <v>-0.71895966398467503</v>
      </c>
      <c r="R41" s="139">
        <f>IFERROR(K41/$G41-1,0)</f>
        <v>-0.64634815332594409</v>
      </c>
      <c r="S41" s="139">
        <f>IFERROR(J41/$G41-1,0)</f>
        <v>-0.59361174917193382</v>
      </c>
      <c r="T41" s="139">
        <f>IFERROR(M41/$G41-1,0)</f>
        <v>-0.6109935152996544</v>
      </c>
      <c r="U41" s="139">
        <f>IFERROR(L41/$G41-1,0)</f>
        <v>-0.60003217481049242</v>
      </c>
      <c r="V41" s="139">
        <f>IFERROR(O41/$G41-1,0)</f>
        <v>-0.59243389051158346</v>
      </c>
      <c r="W41" s="139">
        <f>IFERROR(N41/$G41-1,0)</f>
        <v>-0.6269403854216149</v>
      </c>
    </row>
    <row r="42" spans="2:23" s="20" customFormat="1" x14ac:dyDescent="0.25">
      <c r="B42" s="134">
        <f>ITE_LUC_Rates!B27</f>
        <v>312</v>
      </c>
      <c r="C42" s="135" t="str">
        <f>ITE_LUC_Rates!C27</f>
        <v>Business Hotel</v>
      </c>
      <c r="D42" s="232" t="str">
        <f>ITE_LUC_Rates!D27</f>
        <v>Hotel room</v>
      </c>
      <c r="E42" s="233">
        <f>ITE_LUC_Rates!H27</f>
        <v>4.0199999999999996</v>
      </c>
      <c r="F42" s="136" t="s">
        <v>68</v>
      </c>
      <c r="G42" s="137">
        <f>ITE_LUC_Rates!Q27</f>
        <v>0</v>
      </c>
      <c r="H42" s="61">
        <f>+FEE_1_In!H40</f>
        <v>4061.7342790240882</v>
      </c>
      <c r="I42" s="61">
        <f>FEE_1_Out!$H40</f>
        <v>3063.7270485662061</v>
      </c>
      <c r="J42" s="61">
        <f>FEE_2_In!$H40</f>
        <v>4430.1920995908631</v>
      </c>
      <c r="K42" s="61">
        <f>FEE_2_Out!$H40</f>
        <v>3855.2926024526646</v>
      </c>
      <c r="L42" s="61">
        <f>FEE_3_In!$H40</f>
        <v>4360.2006102158748</v>
      </c>
      <c r="M42" s="61">
        <f>FEE_3_Out!$H40</f>
        <v>4240.7068897722775</v>
      </c>
      <c r="N42" s="61">
        <f>FEE_4_In!$H40</f>
        <v>4066.8640242771312</v>
      </c>
      <c r="O42" s="61">
        <f>FEE_4_Out!$H40</f>
        <v>4443.0323825490595</v>
      </c>
      <c r="P42" s="139">
        <f t="shared" si="17"/>
        <v>0</v>
      </c>
      <c r="Q42" s="139">
        <f t="shared" si="17"/>
        <v>0</v>
      </c>
      <c r="R42" s="139">
        <f>IFERROR(K42/$G42-1,0)</f>
        <v>0</v>
      </c>
      <c r="S42" s="139">
        <f>IFERROR(J42/$G42-1,0)</f>
        <v>0</v>
      </c>
      <c r="T42" s="139">
        <f>IFERROR(M42/$G42-1,0)</f>
        <v>0</v>
      </c>
      <c r="U42" s="139">
        <f>IFERROR(L42/$G42-1,0)</f>
        <v>0</v>
      </c>
      <c r="V42" s="139">
        <f>IFERROR(O42/$G42-1,0)</f>
        <v>0</v>
      </c>
      <c r="W42" s="139">
        <f>IFERROR(N42/$G42-1,0)</f>
        <v>0</v>
      </c>
    </row>
    <row r="43" spans="2:23" s="20" customFormat="1" x14ac:dyDescent="0.25">
      <c r="B43" s="105" t="e">
        <f>ITE_LUC_Rates!#REF!</f>
        <v>#REF!</v>
      </c>
      <c r="C43" s="106"/>
      <c r="D43" s="107"/>
      <c r="E43" s="130"/>
      <c r="F43" s="109"/>
      <c r="G43" s="110"/>
      <c r="H43" s="113"/>
      <c r="I43" s="113"/>
      <c r="J43" s="113"/>
      <c r="K43" s="113"/>
      <c r="L43" s="113"/>
      <c r="M43" s="113"/>
      <c r="N43" s="113"/>
      <c r="O43" s="113"/>
      <c r="P43" s="113"/>
      <c r="Q43" s="113"/>
      <c r="R43" s="113"/>
      <c r="S43" s="113"/>
      <c r="T43" s="113"/>
      <c r="U43" s="113"/>
      <c r="V43" s="113"/>
      <c r="W43" s="113"/>
    </row>
    <row r="44" spans="2:23" s="20" customFormat="1" x14ac:dyDescent="0.25">
      <c r="B44" s="55">
        <f>ITE_LUC_Rates!B28</f>
        <v>420</v>
      </c>
      <c r="C44" s="56" t="str">
        <f>ITE_LUC_Rates!C28</f>
        <v>Marina</v>
      </c>
      <c r="D44" s="57" t="str">
        <f>ITE_LUC_Rates!D28</f>
        <v>Berth</v>
      </c>
      <c r="E44" s="129">
        <f>ITE_LUC_Rates!H28</f>
        <v>2.41</v>
      </c>
      <c r="F44" s="58" t="s">
        <v>71</v>
      </c>
      <c r="G44" s="104">
        <f>ITE_LUC_Rates!Q28</f>
        <v>3052.83</v>
      </c>
      <c r="H44" s="61">
        <f>+FEE_1_In!H42</f>
        <v>979.58192452091964</v>
      </c>
      <c r="I44" s="61">
        <f>FEE_1_Out!$H42</f>
        <v>927.91523617679468</v>
      </c>
      <c r="J44" s="61">
        <f>FEE_2_In!$H42</f>
        <v>1165.1202994582511</v>
      </c>
      <c r="K44" s="61">
        <f>FEE_2_Out!$H42</f>
        <v>1015.9602198037146</v>
      </c>
      <c r="L44" s="61">
        <f>FEE_3_In!$H42</f>
        <v>1158.9709253242872</v>
      </c>
      <c r="M44" s="61">
        <f>FEE_3_Out!$H42</f>
        <v>1120.27643908199</v>
      </c>
      <c r="N44" s="61">
        <f>FEE_4_In!$H42</f>
        <v>1087.9277833166277</v>
      </c>
      <c r="O44" s="61">
        <f>FEE_4_Out!$H42</f>
        <v>1173.8073061055763</v>
      </c>
      <c r="P44" s="139">
        <f t="shared" ref="P44:P52" si="18">IFERROR(H44/$G44-1,0)</f>
        <v>-0.67912332998531866</v>
      </c>
      <c r="Q44" s="139">
        <f t="shared" ref="Q44:Q52" si="19">IFERROR(I44/$G44-1,0)</f>
        <v>-0.69604752437024175</v>
      </c>
      <c r="R44" s="139">
        <f t="shared" ref="R44:R52" si="20">IFERROR(K44/$G44-1,0)</f>
        <v>-0.66720707677672375</v>
      </c>
      <c r="S44" s="139">
        <f t="shared" ref="S44:S52" si="21">IFERROR(J44/$G44-1,0)</f>
        <v>-0.61834746793688122</v>
      </c>
      <c r="T44" s="139">
        <f t="shared" ref="T44:T52" si="22">IFERROR(M44/$G44-1,0)</f>
        <v>-0.63303674325724324</v>
      </c>
      <c r="U44" s="139">
        <f t="shared" ref="U44:U52" si="23">IFERROR(L44/$G44-1,0)</f>
        <v>-0.62036178715346502</v>
      </c>
      <c r="V44" s="139">
        <f t="shared" ref="V44:V52" si="24">IFERROR(O44/$G44-1,0)</f>
        <v>-0.61550190934130744</v>
      </c>
      <c r="W44" s="139">
        <f t="shared" ref="W44:W52" si="25">IFERROR(N44/$G44-1,0)</f>
        <v>-0.64363302793911625</v>
      </c>
    </row>
    <row r="45" spans="2:23" s="20" customFormat="1" x14ac:dyDescent="0.25">
      <c r="B45" s="55">
        <f>ITE_LUC_Rates!B29</f>
        <v>430</v>
      </c>
      <c r="C45" s="56" t="str">
        <f>ITE_LUC_Rates!C29</f>
        <v>Golf Course</v>
      </c>
      <c r="D45" s="57" t="str">
        <f>ITE_LUC_Rates!D29</f>
        <v>Hole</v>
      </c>
      <c r="E45" s="129">
        <f>ITE_LUC_Rates!H29</f>
        <v>30.38</v>
      </c>
      <c r="F45" s="58" t="s">
        <v>71</v>
      </c>
      <c r="G45" s="104">
        <f>ITE_LUC_Rates!Q29</f>
        <v>36869.440000000002</v>
      </c>
      <c r="H45" s="61">
        <f>+FEE_1_In!H43</f>
        <v>12348.422766367439</v>
      </c>
      <c r="I45" s="61">
        <f>FEE_1_Out!$H43</f>
        <v>11697.122354792953</v>
      </c>
      <c r="J45" s="61">
        <f>FEE_2_In!$H43</f>
        <v>14687.284106863759</v>
      </c>
      <c r="K45" s="61">
        <f>FEE_2_Out!$H43</f>
        <v>12807.000613127322</v>
      </c>
      <c r="L45" s="61">
        <f>FEE_3_In!$H43</f>
        <v>14609.766270270475</v>
      </c>
      <c r="M45" s="61">
        <f>FEE_3_Out!$H43</f>
        <v>14121.990962369646</v>
      </c>
      <c r="N45" s="61">
        <f>FEE_4_In!$H43</f>
        <v>13714.209982223709</v>
      </c>
      <c r="O45" s="61">
        <f>FEE_4_Out!$H43</f>
        <v>14796.790854559089</v>
      </c>
      <c r="P45" s="139">
        <f t="shared" si="18"/>
        <v>-0.66507701862660684</v>
      </c>
      <c r="Q45" s="139">
        <f t="shared" si="19"/>
        <v>-0.68274206619918965</v>
      </c>
      <c r="R45" s="139">
        <f t="shared" si="20"/>
        <v>-0.65263913384289751</v>
      </c>
      <c r="S45" s="139">
        <f t="shared" si="21"/>
        <v>-0.60164070550396864</v>
      </c>
      <c r="T45" s="139">
        <f t="shared" si="22"/>
        <v>-0.61697300088176976</v>
      </c>
      <c r="U45" s="139">
        <f t="shared" si="23"/>
        <v>-0.6037432011370264</v>
      </c>
      <c r="V45" s="139">
        <f t="shared" si="24"/>
        <v>-0.59867058315615629</v>
      </c>
      <c r="W45" s="139">
        <f t="shared" si="25"/>
        <v>-0.62803313578335584</v>
      </c>
    </row>
    <row r="46" spans="2:23" s="20" customFormat="1" x14ac:dyDescent="0.25">
      <c r="B46" s="134">
        <f>ITE_LUC_Rates!B30</f>
        <v>444</v>
      </c>
      <c r="C46" s="135" t="str">
        <f>ITE_LUC_Rates!C30</f>
        <v>Movie Theater</v>
      </c>
      <c r="D46" s="232" t="str">
        <f>ITE_LUC_Rates!D30</f>
        <v>1000 GSF</v>
      </c>
      <c r="E46" s="233">
        <f>ITE_LUC_Rates!H30</f>
        <v>78.09</v>
      </c>
      <c r="F46" s="136" t="s">
        <v>71</v>
      </c>
      <c r="G46" s="137">
        <f>ITE_LUC_Rates!Q30</f>
        <v>0</v>
      </c>
      <c r="H46" s="61">
        <f>+FEE_1_In!H44</f>
        <v>31740.89314765087</v>
      </c>
      <c r="I46" s="104">
        <f>FEE_1_Out!$H44</f>
        <v>30066.763814541868</v>
      </c>
      <c r="J46" s="104">
        <f>FEE_2_In!$H44</f>
        <v>37752.798416885817</v>
      </c>
      <c r="K46" s="104">
        <f>FEE_2_Out!$H44</f>
        <v>32919.640483183437</v>
      </c>
      <c r="L46" s="104">
        <f>FEE_3_In!$H44</f>
        <v>37553.543385300247</v>
      </c>
      <c r="M46" s="104">
        <f>FEE_3_Out!$H44</f>
        <v>36299.745696229293</v>
      </c>
      <c r="N46" s="104">
        <f>FEE_4_In!$H44</f>
        <v>35251.568713359105</v>
      </c>
      <c r="O46" s="104">
        <f>FEE_4_Out!$H44</f>
        <v>38034.279059661603</v>
      </c>
      <c r="P46" s="139">
        <f t="shared" si="18"/>
        <v>0</v>
      </c>
      <c r="Q46" s="139">
        <f t="shared" si="19"/>
        <v>0</v>
      </c>
      <c r="R46" s="139">
        <f t="shared" si="20"/>
        <v>0</v>
      </c>
      <c r="S46" s="139">
        <f t="shared" si="21"/>
        <v>0</v>
      </c>
      <c r="T46" s="139">
        <f t="shared" si="22"/>
        <v>0</v>
      </c>
      <c r="U46" s="139">
        <f t="shared" si="23"/>
        <v>0</v>
      </c>
      <c r="V46" s="139">
        <f t="shared" si="24"/>
        <v>0</v>
      </c>
      <c r="W46" s="139">
        <f t="shared" si="25"/>
        <v>0</v>
      </c>
    </row>
    <row r="47" spans="2:23" s="20" customFormat="1" x14ac:dyDescent="0.25">
      <c r="B47" s="134">
        <f>ITE_LUC_Rates!B31</f>
        <v>444</v>
      </c>
      <c r="C47" s="135" t="str">
        <f>ITE_LUC_Rates!C31</f>
        <v>Movie Theater</v>
      </c>
      <c r="D47" s="232" t="str">
        <f>ITE_LUC_Rates!D31</f>
        <v>Screens</v>
      </c>
      <c r="E47" s="233">
        <f>ITE_LUC_Rates!H31</f>
        <v>220</v>
      </c>
      <c r="F47" s="136" t="s">
        <v>71</v>
      </c>
      <c r="G47" s="137">
        <f>ITE_LUC_Rates!Q31</f>
        <v>0</v>
      </c>
      <c r="H47" s="61">
        <f>+FEE_1_In!H45</f>
        <v>89422.416346308004</v>
      </c>
      <c r="I47" s="231">
        <f>FEE_1_Out!$H45</f>
        <v>84705.955169665904</v>
      </c>
      <c r="J47" s="231">
        <f>FEE_2_In!$H45</f>
        <v>106359.52941112664</v>
      </c>
      <c r="K47" s="231">
        <f>FEE_2_Out!$H45</f>
        <v>92743.256579592198</v>
      </c>
      <c r="L47" s="231">
        <f>FEE_3_In!$H45</f>
        <v>105798.17575574407</v>
      </c>
      <c r="M47" s="231">
        <f>FEE_3_Out!$H45</f>
        <v>102265.89900333516</v>
      </c>
      <c r="N47" s="231">
        <f>FEE_4_In!$H45</f>
        <v>99312.909680356053</v>
      </c>
      <c r="O47" s="231">
        <f>FEE_4_Out!$H45</f>
        <v>107152.53416731401</v>
      </c>
      <c r="P47" s="139">
        <f t="shared" si="18"/>
        <v>0</v>
      </c>
      <c r="Q47" s="139">
        <f t="shared" si="19"/>
        <v>0</v>
      </c>
      <c r="R47" s="139">
        <f t="shared" si="20"/>
        <v>0</v>
      </c>
      <c r="S47" s="139">
        <f t="shared" si="21"/>
        <v>0</v>
      </c>
      <c r="T47" s="139">
        <f t="shared" si="22"/>
        <v>0</v>
      </c>
      <c r="U47" s="139">
        <f t="shared" si="23"/>
        <v>0</v>
      </c>
      <c r="V47" s="139">
        <f t="shared" si="24"/>
        <v>0</v>
      </c>
      <c r="W47" s="139">
        <f t="shared" si="25"/>
        <v>0</v>
      </c>
    </row>
    <row r="48" spans="2:23" s="20" customFormat="1" x14ac:dyDescent="0.25">
      <c r="B48" s="55">
        <f>ITE_LUC_Rates!B32</f>
        <v>480</v>
      </c>
      <c r="C48" s="56" t="str">
        <f>ITE_LUC_Rates!C32</f>
        <v>Amusement Park</v>
      </c>
      <c r="D48" s="57" t="str">
        <f>ITE_LUC_Rates!D32</f>
        <v>Acre</v>
      </c>
      <c r="E48" s="129">
        <f>ITE_LUC_Rates!H32</f>
        <v>53.41</v>
      </c>
      <c r="F48" s="58" t="s">
        <v>71</v>
      </c>
      <c r="G48" s="104">
        <f>ITE_LUC_Rates!Q32</f>
        <v>78154.13</v>
      </c>
      <c r="H48" s="61">
        <f>+FEE_1_In!H46</f>
        <v>21709.323895710499</v>
      </c>
      <c r="I48" s="104">
        <f>FEE_1_Out!$H46</f>
        <v>20564.295752781163</v>
      </c>
      <c r="J48" s="104">
        <f>FEE_2_In!$H46</f>
        <v>25821.193026583056</v>
      </c>
      <c r="K48" s="104">
        <f>FEE_2_Out!$H46</f>
        <v>22515.533335981905</v>
      </c>
      <c r="L48" s="104">
        <f>FEE_3_In!$H46</f>
        <v>25684.911668701319</v>
      </c>
      <c r="M48" s="104">
        <f>FEE_3_Out!$H46</f>
        <v>24827.371208036962</v>
      </c>
      <c r="N48" s="104">
        <f>FEE_4_In!$H46</f>
        <v>24110.465936490076</v>
      </c>
      <c r="O48" s="104">
        <f>FEE_4_Out!$H46</f>
        <v>26013.712953982918</v>
      </c>
      <c r="P48" s="141">
        <f t="shared" si="18"/>
        <v>-0.72222422672083364</v>
      </c>
      <c r="Q48" s="139">
        <f t="shared" si="19"/>
        <v>-0.73687512415810708</v>
      </c>
      <c r="R48" s="139">
        <f t="shared" si="20"/>
        <v>-0.7119085922141043</v>
      </c>
      <c r="S48" s="139">
        <f t="shared" si="21"/>
        <v>-0.66961191908114071</v>
      </c>
      <c r="T48" s="139">
        <f t="shared" si="22"/>
        <v>-0.68232809695358432</v>
      </c>
      <c r="U48" s="139">
        <f t="shared" si="23"/>
        <v>-0.67135567027997989</v>
      </c>
      <c r="V48" s="139">
        <f t="shared" si="24"/>
        <v>-0.66714858249995346</v>
      </c>
      <c r="W48" s="139">
        <f t="shared" si="25"/>
        <v>-0.69150106416014001</v>
      </c>
    </row>
    <row r="49" spans="2:23" s="20" customFormat="1" x14ac:dyDescent="0.25">
      <c r="B49" s="55">
        <f>ITE_LUC_Rates!B33</f>
        <v>490</v>
      </c>
      <c r="C49" s="56" t="str">
        <f>ITE_LUC_Rates!C33</f>
        <v>Tennis Courts</v>
      </c>
      <c r="D49" s="57" t="str">
        <f>ITE_LUC_Rates!D33</f>
        <v>Court</v>
      </c>
      <c r="E49" s="129">
        <f>ITE_LUC_Rates!H33</f>
        <v>30.32</v>
      </c>
      <c r="F49" s="58" t="s">
        <v>71</v>
      </c>
      <c r="G49" s="104">
        <f>ITE_LUC_Rates!Q33</f>
        <v>32020.234</v>
      </c>
      <c r="H49" s="61">
        <f>+FEE_1_In!H47</f>
        <v>12324.03483463663</v>
      </c>
      <c r="I49" s="104">
        <f>FEE_1_Out!$H47</f>
        <v>11674.020730655773</v>
      </c>
      <c r="J49" s="104">
        <f>FEE_2_In!$H47</f>
        <v>14658.276962478909</v>
      </c>
      <c r="K49" s="104">
        <f>FEE_2_Out!$H47</f>
        <v>12781.706997696527</v>
      </c>
      <c r="L49" s="104">
        <f>FEE_3_In!$H47</f>
        <v>14580.912222337089</v>
      </c>
      <c r="M49" s="104">
        <f>FEE_3_Out!$H47</f>
        <v>14094.100262641467</v>
      </c>
      <c r="N49" s="104">
        <f>FEE_4_In!$H47</f>
        <v>13687.124643219979</v>
      </c>
      <c r="O49" s="104">
        <f>FEE_4_Out!$H47</f>
        <v>14767.567436149824</v>
      </c>
      <c r="P49" s="141">
        <f t="shared" si="18"/>
        <v>-0.61511727757402923</v>
      </c>
      <c r="Q49" s="139">
        <f t="shared" si="19"/>
        <v>-0.63541738231345302</v>
      </c>
      <c r="R49" s="139">
        <f t="shared" si="20"/>
        <v>-0.60082406025838142</v>
      </c>
      <c r="S49" s="139">
        <f t="shared" si="21"/>
        <v>-0.54221830600991527</v>
      </c>
      <c r="T49" s="139">
        <f t="shared" si="22"/>
        <v>-0.55983768692504032</v>
      </c>
      <c r="U49" s="139">
        <f t="shared" si="23"/>
        <v>-0.54463442639622528</v>
      </c>
      <c r="V49" s="139">
        <f t="shared" si="24"/>
        <v>-0.53880513689719367</v>
      </c>
      <c r="W49" s="139">
        <f t="shared" si="25"/>
        <v>-0.57254763837078837</v>
      </c>
    </row>
    <row r="50" spans="2:23" s="20" customFormat="1" x14ac:dyDescent="0.25">
      <c r="B50" s="55">
        <f>ITE_LUC_Rates!B34</f>
        <v>491</v>
      </c>
      <c r="C50" s="56" t="str">
        <f>ITE_LUC_Rates!C34</f>
        <v>Racquet Club</v>
      </c>
      <c r="D50" s="57" t="str">
        <f>ITE_LUC_Rates!D34</f>
        <v>Court</v>
      </c>
      <c r="E50" s="129"/>
      <c r="F50" s="58" t="s">
        <v>71</v>
      </c>
      <c r="G50" s="104">
        <f>ITE_LUC_Rates!Q34</f>
        <v>39922.269999999997</v>
      </c>
      <c r="H50" s="61">
        <f>+FEE_1_In!H48</f>
        <v>15730.215966373275</v>
      </c>
      <c r="I50" s="104">
        <f>FEE_1_Out!$H48</f>
        <v>14900.547568482139</v>
      </c>
      <c r="J50" s="104">
        <f>FEE_2_In!$H48</f>
        <v>18709.608128230007</v>
      </c>
      <c r="K50" s="104">
        <f>FEE_2_Out!$H48</f>
        <v>16314.381952864631</v>
      </c>
      <c r="L50" s="104">
        <f>FEE_3_In!$H48</f>
        <v>18610.860917033158</v>
      </c>
      <c r="M50" s="104">
        <f>FEE_3_Out!$H48</f>
        <v>17989.501324677596</v>
      </c>
      <c r="N50" s="104">
        <f>FEE_4_In!$H48</f>
        <v>17470.043657408089</v>
      </c>
      <c r="O50" s="104">
        <f>FEE_4_Out!$H48</f>
        <v>18849.104873977518</v>
      </c>
      <c r="P50" s="141">
        <f t="shared" si="18"/>
        <v>-0.605978919375745</v>
      </c>
      <c r="Q50" s="139">
        <f t="shared" si="19"/>
        <v>-0.62676101412865193</v>
      </c>
      <c r="R50" s="139">
        <f t="shared" si="20"/>
        <v>-0.59134633494376365</v>
      </c>
      <c r="S50" s="139">
        <f t="shared" si="21"/>
        <v>-0.53134909091517069</v>
      </c>
      <c r="T50" s="139">
        <f t="shared" si="22"/>
        <v>-0.54938681280704738</v>
      </c>
      <c r="U50" s="139">
        <f t="shared" si="23"/>
        <v>-0.53382257779847797</v>
      </c>
      <c r="V50" s="139">
        <f t="shared" si="24"/>
        <v>-0.52785488215030063</v>
      </c>
      <c r="W50" s="139">
        <f t="shared" si="25"/>
        <v>-0.56239853952673302</v>
      </c>
    </row>
    <row r="51" spans="2:23" s="20" customFormat="1" x14ac:dyDescent="0.25">
      <c r="B51" s="55">
        <f>ITE_LUC_Rates!B35</f>
        <v>492</v>
      </c>
      <c r="C51" s="56" t="str">
        <f>ITE_LUC_Rates!C35</f>
        <v>Health/Fitness</v>
      </c>
      <c r="D51" s="57" t="str">
        <f>ITE_LUC_Rates!D35</f>
        <v>1000 GSF</v>
      </c>
      <c r="E51" s="129"/>
      <c r="F51" s="58" t="s">
        <v>71</v>
      </c>
      <c r="G51" s="104">
        <f>ITE_LUC_Rates!Q35</f>
        <v>4147.8</v>
      </c>
      <c r="H51" s="61">
        <f>+FEE_1_In!H49</f>
        <v>1633.9914259643554</v>
      </c>
      <c r="I51" s="104">
        <f>FEE_1_Out!$H49</f>
        <v>1547.8088171911675</v>
      </c>
      <c r="J51" s="104">
        <f>FEE_2_In!$H49</f>
        <v>1943.4786737851318</v>
      </c>
      <c r="K51" s="104">
        <f>FEE_2_Out!$H49</f>
        <v>1694.6722338634572</v>
      </c>
      <c r="L51" s="104">
        <f>FEE_3_In!$H49</f>
        <v>1933.2212115367774</v>
      </c>
      <c r="M51" s="104">
        <f>FEE_3_Out!$H49</f>
        <v>1868.676881788215</v>
      </c>
      <c r="N51" s="104">
        <f>FEE_4_In!$H49</f>
        <v>1814.717713250142</v>
      </c>
      <c r="O51" s="104">
        <f>FEE_4_Out!$H49</f>
        <v>1957.9690334209199</v>
      </c>
      <c r="P51" s="141">
        <f t="shared" si="18"/>
        <v>-0.60605828970433595</v>
      </c>
      <c r="Q51" s="139">
        <f t="shared" si="19"/>
        <v>-0.62683619817947656</v>
      </c>
      <c r="R51" s="139">
        <f t="shared" si="20"/>
        <v>-0.59142865281270618</v>
      </c>
      <c r="S51" s="139">
        <f t="shared" si="21"/>
        <v>-0.53144349443436711</v>
      </c>
      <c r="T51" s="139">
        <f t="shared" si="22"/>
        <v>-0.54947758286604587</v>
      </c>
      <c r="U51" s="139">
        <f t="shared" si="23"/>
        <v>-0.53391648306649853</v>
      </c>
      <c r="V51" s="139">
        <f t="shared" si="24"/>
        <v>-0.52794998953157823</v>
      </c>
      <c r="W51" s="139">
        <f t="shared" si="25"/>
        <v>-0.56248668854570094</v>
      </c>
    </row>
    <row r="52" spans="2:23" s="20" customFormat="1" x14ac:dyDescent="0.25">
      <c r="B52" s="134">
        <f>ITE_LUC_Rates!B36</f>
        <v>495</v>
      </c>
      <c r="C52" s="135" t="str">
        <f>ITE_LUC_Rates!C36</f>
        <v>Recreational Community Center</v>
      </c>
      <c r="D52" s="232" t="str">
        <f>ITE_LUC_Rates!D36</f>
        <v>1000 GSF</v>
      </c>
      <c r="E52" s="233">
        <f>ITE_LUC_Rates!H36</f>
        <v>28.82</v>
      </c>
      <c r="F52" s="136" t="s">
        <v>71</v>
      </c>
      <c r="G52" s="137">
        <f>ITE_LUC_Rates!Q36</f>
        <v>0</v>
      </c>
      <c r="H52" s="61">
        <f>+FEE_1_In!H50</f>
        <v>11714.336541366345</v>
      </c>
      <c r="I52" s="104">
        <f>FEE_1_Out!$H50</f>
        <v>11096.480127226234</v>
      </c>
      <c r="J52" s="104">
        <f>FEE_2_In!$H50</f>
        <v>13933.098352857587</v>
      </c>
      <c r="K52" s="104">
        <f>FEE_2_Out!$H50</f>
        <v>12149.36661192658</v>
      </c>
      <c r="L52" s="104">
        <f>FEE_3_In!$H50</f>
        <v>13859.561024002471</v>
      </c>
      <c r="M52" s="104">
        <f>FEE_3_Out!$H50</f>
        <v>13396.832769436907</v>
      </c>
      <c r="N52" s="104">
        <f>FEE_4_In!$H50</f>
        <v>13009.99116812664</v>
      </c>
      <c r="O52" s="104">
        <f>FEE_4_Out!$H50</f>
        <v>14036.981975918137</v>
      </c>
      <c r="P52" s="141">
        <f t="shared" si="18"/>
        <v>0</v>
      </c>
      <c r="Q52" s="139">
        <f t="shared" si="19"/>
        <v>0</v>
      </c>
      <c r="R52" s="139">
        <f t="shared" si="20"/>
        <v>0</v>
      </c>
      <c r="S52" s="139">
        <f t="shared" si="21"/>
        <v>0</v>
      </c>
      <c r="T52" s="139">
        <f t="shared" si="22"/>
        <v>0</v>
      </c>
      <c r="U52" s="139">
        <f t="shared" si="23"/>
        <v>0</v>
      </c>
      <c r="V52" s="139">
        <f t="shared" si="24"/>
        <v>0</v>
      </c>
      <c r="W52" s="139">
        <f t="shared" si="25"/>
        <v>0</v>
      </c>
    </row>
    <row r="53" spans="2:23" s="20" customFormat="1" x14ac:dyDescent="0.25">
      <c r="B53" s="105" t="e">
        <f>ITE_LUC_Rates!#REF!</f>
        <v>#REF!</v>
      </c>
      <c r="C53" s="106"/>
      <c r="D53" s="107"/>
      <c r="E53" s="130"/>
      <c r="F53" s="114"/>
      <c r="G53" s="110"/>
      <c r="H53" s="112"/>
      <c r="I53" s="112"/>
      <c r="J53" s="112"/>
      <c r="K53" s="112"/>
      <c r="L53" s="112"/>
      <c r="M53" s="112"/>
      <c r="N53" s="112"/>
      <c r="O53" s="112"/>
      <c r="P53" s="112"/>
      <c r="Q53" s="112"/>
      <c r="R53" s="112"/>
      <c r="S53" s="112"/>
      <c r="T53" s="112"/>
      <c r="U53" s="112"/>
      <c r="V53" s="112"/>
      <c r="W53" s="112"/>
    </row>
    <row r="54" spans="2:23" s="20" customFormat="1" x14ac:dyDescent="0.25">
      <c r="B54" s="55">
        <f>ITE_LUC_Rates!B37</f>
        <v>520</v>
      </c>
      <c r="C54" s="56" t="str">
        <f>ITE_LUC_Rates!C37</f>
        <v>Elementary School (30 FT/St)</v>
      </c>
      <c r="D54" s="57" t="str">
        <f>ITE_LUC_Rates!D37</f>
        <v>Student</v>
      </c>
      <c r="E54" s="129">
        <f>ITE_LUC_Rates!H37</f>
        <v>1.89</v>
      </c>
      <c r="F54" s="58" t="s">
        <v>71</v>
      </c>
      <c r="G54" s="104">
        <f>ITE_LUC_Rates!Q37</f>
        <v>198.476</v>
      </c>
      <c r="H54" s="61">
        <f>+FEE_1_In!H52</f>
        <v>1743.9803349238127</v>
      </c>
      <c r="I54" s="104">
        <f>FEE_1_Out!$H52</f>
        <v>1651.9965138800967</v>
      </c>
      <c r="J54" s="104">
        <f>FEE_2_In!$H52</f>
        <v>2074.3001062106064</v>
      </c>
      <c r="K54" s="104">
        <f>FEE_2_Out!$H52</f>
        <v>1808.7457516828799</v>
      </c>
      <c r="L54" s="104">
        <f>FEE_3_In!$H52</f>
        <v>2063.3521831290664</v>
      </c>
      <c r="M54" s="104">
        <f>FEE_3_Out!$H52</f>
        <v>1994.4631791700051</v>
      </c>
      <c r="N54" s="104">
        <f>FEE_4_In!$H52</f>
        <v>1936.8718556637011</v>
      </c>
      <c r="O54" s="104">
        <f>FEE_4_Out!$H52</f>
        <v>2089.7658558156713</v>
      </c>
      <c r="P54" s="141">
        <f>IFERROR(H54/$G54-1,0)</f>
        <v>7.7868575289899677</v>
      </c>
      <c r="Q54" s="139">
        <f t="shared" ref="Q54:Q62" si="26">IFERROR(I54/$G54-1,0)</f>
        <v>7.3234069302086731</v>
      </c>
      <c r="R54" s="139">
        <f t="shared" ref="R54:R62" si="27">IFERROR(K54/$G54-1,0)</f>
        <v>8.1131711223668344</v>
      </c>
      <c r="S54" s="139">
        <f t="shared" ref="S54:S62" si="28">IFERROR(J54/$G54-1,0)</f>
        <v>9.4511382041687977</v>
      </c>
      <c r="T54" s="139">
        <f t="shared" ref="T54:T62" si="29">IFERROR(M54/$G54-1,0)</f>
        <v>9.0488884256535052</v>
      </c>
      <c r="U54" s="139">
        <f t="shared" ref="U54:U62" si="30">IFERROR(L54/$G54-1,0)</f>
        <v>9.395978270063214</v>
      </c>
      <c r="V54" s="139">
        <f t="shared" ref="V54:V62" si="31">IFERROR(O54/$G54-1,0)</f>
        <v>9.5290607217783077</v>
      </c>
      <c r="W54" s="139">
        <f t="shared" ref="W54:W62" si="32">IFERROR(N54/$G54-1,0)</f>
        <v>8.7587207302832635</v>
      </c>
    </row>
    <row r="55" spans="2:23" s="20" customFormat="1" x14ac:dyDescent="0.25">
      <c r="B55" s="55">
        <f>ITE_LUC_Rates!B38</f>
        <v>530</v>
      </c>
      <c r="C55" s="56" t="str">
        <f>ITE_LUC_Rates!C38</f>
        <v>High School (25 SF/St)</v>
      </c>
      <c r="D55" s="57" t="str">
        <f>ITE_LUC_Rates!D38</f>
        <v>Student</v>
      </c>
      <c r="E55" s="129">
        <f>ITE_LUC_Rates!H38</f>
        <v>2.0299999999999998</v>
      </c>
      <c r="F55" s="58" t="s">
        <v>71</v>
      </c>
      <c r="G55" s="104">
        <f>ITE_LUC_Rates!Q38</f>
        <v>1120.212</v>
      </c>
      <c r="H55" s="61">
        <f>+FEE_1_In!H53</f>
        <v>1873.1640634366877</v>
      </c>
      <c r="I55" s="104">
        <f>FEE_1_Out!$H53</f>
        <v>1774.3666260193631</v>
      </c>
      <c r="J55" s="104">
        <f>FEE_2_In!$H53</f>
        <v>2227.9519659299103</v>
      </c>
      <c r="K55" s="104">
        <f>FEE_2_Out!$H53</f>
        <v>1942.7269184742045</v>
      </c>
      <c r="L55" s="104">
        <f>FEE_3_In!$H53</f>
        <v>2216.193085583071</v>
      </c>
      <c r="M55" s="104">
        <f>FEE_3_Out!$H53</f>
        <v>2142.2011924418566</v>
      </c>
      <c r="N55" s="104">
        <f>FEE_4_In!$H53</f>
        <v>2080.3438449721239</v>
      </c>
      <c r="O55" s="104">
        <f>FEE_4_Out!$H53</f>
        <v>2244.5633266168315</v>
      </c>
      <c r="P55" s="141">
        <f t="shared" ref="P55:P62" si="33">IFERROR(H55/$G55-1,0)</f>
        <v>0.67215139941072555</v>
      </c>
      <c r="Q55" s="139">
        <f t="shared" si="26"/>
        <v>0.58395609582772123</v>
      </c>
      <c r="R55" s="139">
        <f t="shared" si="27"/>
        <v>0.7342493371560066</v>
      </c>
      <c r="S55" s="139">
        <f t="shared" si="28"/>
        <v>0.9888663627330454</v>
      </c>
      <c r="T55" s="139">
        <f t="shared" si="29"/>
        <v>0.91231766169426565</v>
      </c>
      <c r="U55" s="139">
        <f t="shared" si="30"/>
        <v>0.9783693493580421</v>
      </c>
      <c r="V55" s="139">
        <f t="shared" si="31"/>
        <v>1.0036951279015325</v>
      </c>
      <c r="W55" s="139">
        <f t="shared" si="32"/>
        <v>0.85709833939658187</v>
      </c>
    </row>
    <row r="56" spans="2:23" s="20" customFormat="1" x14ac:dyDescent="0.25">
      <c r="B56" s="134">
        <f>ITE_LUC_Rates!B39</f>
        <v>534</v>
      </c>
      <c r="C56" s="135" t="str">
        <f>ITE_LUC_Rates!C39</f>
        <v>Private School (K-8)</v>
      </c>
      <c r="D56" s="232" t="str">
        <f>ITE_LUC_Rates!D39</f>
        <v>Student</v>
      </c>
      <c r="E56" s="233">
        <f>ITE_LUC_Rates!H39</f>
        <v>4.1100000000000003</v>
      </c>
      <c r="F56" s="136" t="s">
        <v>71</v>
      </c>
      <c r="G56" s="137">
        <f>ITE_LUC_Rates!Q39</f>
        <v>0</v>
      </c>
      <c r="H56" s="61">
        <f>+FEE_1_In!H54</f>
        <v>1950.9414449210956</v>
      </c>
      <c r="I56" s="104">
        <f>FEE_1_Out!$H54</f>
        <v>1848.041747520419</v>
      </c>
      <c r="J56" s="104">
        <f>FEE_2_In!$H54</f>
        <v>2320.4608247989745</v>
      </c>
      <c r="K56" s="104">
        <f>FEE_2_Out!$H54</f>
        <v>2023.3926837467739</v>
      </c>
      <c r="L56" s="104">
        <f>FEE_3_In!$H54</f>
        <v>2308.213693080877</v>
      </c>
      <c r="M56" s="104">
        <f>FEE_3_Out!$H54</f>
        <v>2231.1495139547183</v>
      </c>
      <c r="N56" s="104">
        <f>FEE_4_In!$H54</f>
        <v>2166.7237302194821</v>
      </c>
      <c r="O56" s="104">
        <f>FEE_4_Out!$H54</f>
        <v>2337.7619211915612</v>
      </c>
      <c r="P56" s="141">
        <f t="shared" si="33"/>
        <v>0</v>
      </c>
      <c r="Q56" s="139">
        <f t="shared" si="26"/>
        <v>0</v>
      </c>
      <c r="R56" s="139">
        <f t="shared" si="27"/>
        <v>0</v>
      </c>
      <c r="S56" s="139">
        <f t="shared" si="28"/>
        <v>0</v>
      </c>
      <c r="T56" s="139">
        <f t="shared" si="29"/>
        <v>0</v>
      </c>
      <c r="U56" s="139">
        <f t="shared" si="30"/>
        <v>0</v>
      </c>
      <c r="V56" s="139">
        <f t="shared" si="31"/>
        <v>0</v>
      </c>
      <c r="W56" s="139">
        <f t="shared" si="32"/>
        <v>0</v>
      </c>
    </row>
    <row r="57" spans="2:23" s="20" customFormat="1" x14ac:dyDescent="0.25">
      <c r="B57" s="134">
        <f>ITE_LUC_Rates!B40</f>
        <v>536</v>
      </c>
      <c r="C57" s="135" t="str">
        <f>ITE_LUC_Rates!C40</f>
        <v>Private School (K-12)</v>
      </c>
      <c r="D57" s="232" t="str">
        <f>ITE_LUC_Rates!D40</f>
        <v>Student</v>
      </c>
      <c r="E57" s="233">
        <f>ITE_LUC_Rates!H40</f>
        <v>2.48</v>
      </c>
      <c r="F57" s="136" t="s">
        <v>71</v>
      </c>
      <c r="G57" s="137">
        <f>ITE_LUC_Rates!Q40</f>
        <v>0</v>
      </c>
      <c r="H57" s="61">
        <f>+FEE_1_In!H55</f>
        <v>1177.2104095874247</v>
      </c>
      <c r="I57" s="104">
        <f>FEE_1_Out!$H55</f>
        <v>1115.120081228866</v>
      </c>
      <c r="J57" s="104">
        <f>FEE_2_In!$H55</f>
        <v>1400.1807409979208</v>
      </c>
      <c r="K57" s="104">
        <f>FEE_2_Out!$H55</f>
        <v>1220.9279454238438</v>
      </c>
      <c r="L57" s="104">
        <f>FEE_3_In!$H55</f>
        <v>1392.7907442434482</v>
      </c>
      <c r="M57" s="104">
        <f>FEE_3_Out!$H55</f>
        <v>1346.2897310481023</v>
      </c>
      <c r="N57" s="104">
        <f>FEE_4_In!$H55</f>
        <v>1307.4148055825583</v>
      </c>
      <c r="O57" s="104">
        <f>FEE_4_Out!$H55</f>
        <v>1410.6203320085331</v>
      </c>
      <c r="P57" s="141">
        <f t="shared" si="33"/>
        <v>0</v>
      </c>
      <c r="Q57" s="139">
        <f t="shared" si="26"/>
        <v>0</v>
      </c>
      <c r="R57" s="139">
        <f t="shared" si="27"/>
        <v>0</v>
      </c>
      <c r="S57" s="139">
        <f t="shared" si="28"/>
        <v>0</v>
      </c>
      <c r="T57" s="139">
        <f t="shared" si="29"/>
        <v>0</v>
      </c>
      <c r="U57" s="139">
        <f t="shared" si="30"/>
        <v>0</v>
      </c>
      <c r="V57" s="139">
        <f t="shared" si="31"/>
        <v>0</v>
      </c>
      <c r="W57" s="139">
        <f t="shared" si="32"/>
        <v>0</v>
      </c>
    </row>
    <row r="58" spans="2:23" s="20" customFormat="1" x14ac:dyDescent="0.25">
      <c r="B58" s="134">
        <f>ITE_LUC_Rates!B41</f>
        <v>537</v>
      </c>
      <c r="C58" s="135" t="str">
        <f>ITE_LUC_Rates!C41</f>
        <v>Charter Elementary School</v>
      </c>
      <c r="D58" s="232" t="str">
        <f>ITE_LUC_Rates!D41</f>
        <v>Student</v>
      </c>
      <c r="E58" s="233">
        <f>ITE_LUC_Rates!H41</f>
        <v>1.85</v>
      </c>
      <c r="F58" s="136" t="s">
        <v>71</v>
      </c>
      <c r="G58" s="137">
        <f>ITE_LUC_Rates!Q41</f>
        <v>0</v>
      </c>
      <c r="H58" s="61">
        <f>+FEE_1_In!H56</f>
        <v>1707.0706982058487</v>
      </c>
      <c r="I58" s="104">
        <f>FEE_1_Out!$H56</f>
        <v>1617.0336246974493</v>
      </c>
      <c r="J58" s="104">
        <f>FEE_2_In!$H56</f>
        <v>2030.3995748622344</v>
      </c>
      <c r="K58" s="104">
        <f>FEE_2_Out!$H56</f>
        <v>1770.4654183139303</v>
      </c>
      <c r="L58" s="104">
        <f>FEE_3_In!$H56</f>
        <v>2019.683353856494</v>
      </c>
      <c r="M58" s="104">
        <f>FEE_3_Out!$H56</f>
        <v>1952.2523182351904</v>
      </c>
      <c r="N58" s="104">
        <f>FEE_4_In!$H56</f>
        <v>1895.8798587184385</v>
      </c>
      <c r="O58" s="104">
        <f>FEE_4_Out!$H56</f>
        <v>2045.5380070153394</v>
      </c>
      <c r="P58" s="141">
        <f t="shared" si="33"/>
        <v>0</v>
      </c>
      <c r="Q58" s="139">
        <f t="shared" si="26"/>
        <v>0</v>
      </c>
      <c r="R58" s="139">
        <f t="shared" si="27"/>
        <v>0</v>
      </c>
      <c r="S58" s="139">
        <f t="shared" si="28"/>
        <v>0</v>
      </c>
      <c r="T58" s="139">
        <f t="shared" si="29"/>
        <v>0</v>
      </c>
      <c r="U58" s="139">
        <f t="shared" si="30"/>
        <v>0</v>
      </c>
      <c r="V58" s="139">
        <f t="shared" si="31"/>
        <v>0</v>
      </c>
      <c r="W58" s="139">
        <f t="shared" si="32"/>
        <v>0</v>
      </c>
    </row>
    <row r="59" spans="2:23" s="20" customFormat="1" x14ac:dyDescent="0.25">
      <c r="B59" s="55">
        <f>ITE_LUC_Rates!B42</f>
        <v>540</v>
      </c>
      <c r="C59" s="56" t="str">
        <f>ITE_LUC_Rates!C42</f>
        <v>Jr./Community Co</v>
      </c>
      <c r="D59" s="57" t="str">
        <f>ITE_LUC_Rates!D42</f>
        <v>Student</v>
      </c>
      <c r="E59" s="129">
        <f>ITE_LUC_Rates!H42</f>
        <v>1.1499999999999999</v>
      </c>
      <c r="F59" s="58" t="s">
        <v>71</v>
      </c>
      <c r="G59" s="104">
        <f>ITE_LUC_Rates!Q42</f>
        <v>1192.538</v>
      </c>
      <c r="H59" s="61">
        <f>+FEE_1_In!H57</f>
        <v>545.88385928449134</v>
      </c>
      <c r="I59" s="104">
        <f>FEE_1_Out!$H57</f>
        <v>517.09197315048209</v>
      </c>
      <c r="J59" s="104">
        <f>FEE_2_In!$H57</f>
        <v>649.27735973693927</v>
      </c>
      <c r="K59" s="104">
        <f>FEE_2_Out!$H57</f>
        <v>566.15610372476635</v>
      </c>
      <c r="L59" s="104">
        <f>FEE_3_In!$H57</f>
        <v>645.85054672579247</v>
      </c>
      <c r="M59" s="104">
        <f>FEE_3_Out!$H57</f>
        <v>624.28757689730537</v>
      </c>
      <c r="N59" s="104">
        <f>FEE_4_In!$H57</f>
        <v>606.26089774997672</v>
      </c>
      <c r="O59" s="104">
        <f>FEE_4_Out!$H57</f>
        <v>654.11829911685993</v>
      </c>
      <c r="P59" s="141">
        <f t="shared" si="33"/>
        <v>-0.54225034398527239</v>
      </c>
      <c r="Q59" s="139">
        <f t="shared" si="26"/>
        <v>-0.56639371395252636</v>
      </c>
      <c r="R59" s="139">
        <f t="shared" si="27"/>
        <v>-0.52525109998610831</v>
      </c>
      <c r="S59" s="139">
        <f t="shared" si="28"/>
        <v>-0.4555499617312494</v>
      </c>
      <c r="T59" s="139">
        <f t="shared" si="29"/>
        <v>-0.47650508671647751</v>
      </c>
      <c r="U59" s="139">
        <f t="shared" si="30"/>
        <v>-0.45842350790851738</v>
      </c>
      <c r="V59" s="139">
        <f t="shared" si="31"/>
        <v>-0.45149060313645362</v>
      </c>
      <c r="W59" s="139">
        <f t="shared" si="32"/>
        <v>-0.49162131709851031</v>
      </c>
    </row>
    <row r="60" spans="2:23" s="20" customFormat="1" x14ac:dyDescent="0.25">
      <c r="B60" s="55">
        <f>ITE_LUC_Rates!B43</f>
        <v>550</v>
      </c>
      <c r="C60" s="56" t="str">
        <f>ITE_LUC_Rates!C43</f>
        <v>University (20SF/st)</v>
      </c>
      <c r="D60" s="57" t="str">
        <f>ITE_LUC_Rates!D43</f>
        <v>Student</v>
      </c>
      <c r="E60" s="129">
        <f>ITE_LUC_Rates!H43</f>
        <v>1.56</v>
      </c>
      <c r="F60" s="58" t="s">
        <v>71</v>
      </c>
      <c r="G60" s="104">
        <f>ITE_LUC_Rates!Q43</f>
        <v>2364.8919999999998</v>
      </c>
      <c r="H60" s="61">
        <f>+FEE_1_In!H58</f>
        <v>740.50332215983178</v>
      </c>
      <c r="I60" s="104">
        <f>FEE_1_Out!$H58</f>
        <v>701.44650270848012</v>
      </c>
      <c r="J60" s="104">
        <f>FEE_2_In!$H58</f>
        <v>880.75885320836971</v>
      </c>
      <c r="K60" s="104">
        <f>FEE_2_Out!$H58</f>
        <v>768.00306244403077</v>
      </c>
      <c r="L60" s="104">
        <f>FEE_3_In!$H58</f>
        <v>876.11030686281435</v>
      </c>
      <c r="M60" s="104">
        <f>FEE_3_Out!$H58</f>
        <v>846.85966953025797</v>
      </c>
      <c r="N60" s="104">
        <f>FEE_4_In!$H58</f>
        <v>822.4060873825772</v>
      </c>
      <c r="O60" s="104">
        <f>FEE_4_Out!$H58</f>
        <v>887.32569271504508</v>
      </c>
      <c r="P60" s="141">
        <f t="shared" si="33"/>
        <v>-0.68687647378407479</v>
      </c>
      <c r="Q60" s="139">
        <f t="shared" si="26"/>
        <v>-0.70339173936548471</v>
      </c>
      <c r="R60" s="139">
        <f t="shared" si="27"/>
        <v>-0.67524814560494484</v>
      </c>
      <c r="S60" s="139">
        <f t="shared" si="28"/>
        <v>-0.62756910116471709</v>
      </c>
      <c r="T60" s="139">
        <f t="shared" si="29"/>
        <v>-0.64190344864363447</v>
      </c>
      <c r="U60" s="139">
        <f t="shared" si="30"/>
        <v>-0.62953474963642553</v>
      </c>
      <c r="V60" s="139">
        <f t="shared" si="31"/>
        <v>-0.62479229803515546</v>
      </c>
      <c r="W60" s="139">
        <f t="shared" si="32"/>
        <v>-0.65224370187620528</v>
      </c>
    </row>
    <row r="61" spans="2:23" s="20" customFormat="1" x14ac:dyDescent="0.25">
      <c r="B61" s="55">
        <f>ITE_LUC_Rates!B44</f>
        <v>560</v>
      </c>
      <c r="C61" s="56" t="str">
        <f>ITE_LUC_Rates!C44</f>
        <v>Church</v>
      </c>
      <c r="D61" s="57" t="str">
        <f>ITE_LUC_Rates!D44</f>
        <v>1000 GSF</v>
      </c>
      <c r="E61" s="129">
        <f>ITE_LUC_Rates!H44</f>
        <v>6.95</v>
      </c>
      <c r="F61" s="58" t="s">
        <v>71</v>
      </c>
      <c r="G61" s="104">
        <f>ITE_LUC_Rates!Q44</f>
        <v>5966.1</v>
      </c>
      <c r="H61" s="61">
        <f>+FEE_1_In!H59</f>
        <v>2796.0980003917316</v>
      </c>
      <c r="I61" s="104">
        <f>FEE_1_Out!$H59</f>
        <v>2648.6216940720506</v>
      </c>
      <c r="J61" s="104">
        <f>FEE_2_In!$H59</f>
        <v>3325.6948275401332</v>
      </c>
      <c r="K61" s="104">
        <f>FEE_2_Out!$H59</f>
        <v>2899.9354397642787</v>
      </c>
      <c r="L61" s="104">
        <f>FEE_3_In!$H59</f>
        <v>3308.142183611913</v>
      </c>
      <c r="M61" s="104">
        <f>FEE_3_Out!$H59</f>
        <v>3197.6934575789305</v>
      </c>
      <c r="N61" s="104">
        <f>FEE_4_In!$H59</f>
        <v>3105.3581363191734</v>
      </c>
      <c r="O61" s="104">
        <f>FEE_4_Out!$H59</f>
        <v>3350.4908362331844</v>
      </c>
      <c r="P61" s="141">
        <f t="shared" si="33"/>
        <v>-0.53133571338198626</v>
      </c>
      <c r="Q61" s="139">
        <f t="shared" si="26"/>
        <v>-0.55605476038416213</v>
      </c>
      <c r="R61" s="139">
        <f t="shared" si="27"/>
        <v>-0.51393113763358333</v>
      </c>
      <c r="S61" s="139">
        <f t="shared" si="28"/>
        <v>-0.44256803815890899</v>
      </c>
      <c r="T61" s="139">
        <f t="shared" si="29"/>
        <v>-0.46402281933274159</v>
      </c>
      <c r="U61" s="139">
        <f t="shared" si="30"/>
        <v>-0.44551010147132752</v>
      </c>
      <c r="V61" s="139">
        <f t="shared" si="31"/>
        <v>-0.43841188779383777</v>
      </c>
      <c r="W61" s="139">
        <f t="shared" si="32"/>
        <v>-0.47949948269067344</v>
      </c>
    </row>
    <row r="62" spans="2:23" s="20" customFormat="1" x14ac:dyDescent="0.25">
      <c r="B62" s="55">
        <f>ITE_LUC_Rates!B45</f>
        <v>565</v>
      </c>
      <c r="C62" s="56" t="str">
        <f>ITE_LUC_Rates!C45</f>
        <v>Day Care Center</v>
      </c>
      <c r="D62" s="57" t="str">
        <f>ITE_LUC_Rates!D45</f>
        <v>1000 GSF</v>
      </c>
      <c r="E62" s="129">
        <f>ITE_LUC_Rates!H45</f>
        <v>47.62</v>
      </c>
      <c r="F62" s="58" t="s">
        <v>71</v>
      </c>
      <c r="G62" s="104">
        <f>ITE_LUC_Rates!Q45</f>
        <v>8112.3</v>
      </c>
      <c r="H62" s="61">
        <f>+FEE_1_In!H60</f>
        <v>43940.922512736492</v>
      </c>
      <c r="I62" s="104">
        <f>FEE_1_Out!$H60</f>
        <v>41623.319571941909</v>
      </c>
      <c r="J62" s="104">
        <f>FEE_2_In!$H60</f>
        <v>52263.58257023761</v>
      </c>
      <c r="K62" s="104">
        <f>FEE_2_Out!$H60</f>
        <v>45572.736875734787</v>
      </c>
      <c r="L62" s="104">
        <f>FEE_3_In!$H60</f>
        <v>51987.741248997962</v>
      </c>
      <c r="M62" s="104">
        <f>FEE_3_Out!$H60</f>
        <v>50252.029942897163</v>
      </c>
      <c r="N62" s="104">
        <f>FEE_4_In!$H60</f>
        <v>48800.972363336223</v>
      </c>
      <c r="O62" s="104">
        <f>FEE_4_Out!$H60</f>
        <v>52653.25399679484</v>
      </c>
      <c r="P62" s="141">
        <f t="shared" si="33"/>
        <v>4.4165800713406176</v>
      </c>
      <c r="Q62" s="139">
        <f t="shared" si="26"/>
        <v>4.1308900770363408</v>
      </c>
      <c r="R62" s="139">
        <f t="shared" si="27"/>
        <v>4.6177331799532544</v>
      </c>
      <c r="S62" s="139">
        <f t="shared" si="28"/>
        <v>5.4425110721050265</v>
      </c>
      <c r="T62" s="139">
        <f t="shared" si="29"/>
        <v>5.1945477784225389</v>
      </c>
      <c r="U62" s="139">
        <f t="shared" si="30"/>
        <v>5.4085082219589955</v>
      </c>
      <c r="V62" s="139">
        <f t="shared" si="31"/>
        <v>5.4905457141371548</v>
      </c>
      <c r="W62" s="139">
        <f t="shared" si="32"/>
        <v>5.0156764867344918</v>
      </c>
    </row>
    <row r="63" spans="2:23" s="20" customFormat="1" x14ac:dyDescent="0.25">
      <c r="B63" s="105" t="e">
        <f>ITE_LUC_Rates!#REF!</f>
        <v>#REF!</v>
      </c>
      <c r="C63" s="106"/>
      <c r="D63" s="107"/>
      <c r="E63" s="130"/>
      <c r="F63" s="114"/>
      <c r="G63" s="110"/>
      <c r="H63" s="112"/>
      <c r="I63" s="112"/>
      <c r="J63" s="112"/>
      <c r="K63" s="112"/>
      <c r="L63" s="112"/>
      <c r="M63" s="112"/>
      <c r="N63" s="112"/>
      <c r="O63" s="112"/>
      <c r="P63" s="112"/>
      <c r="Q63" s="112"/>
      <c r="R63" s="112"/>
      <c r="S63" s="112"/>
      <c r="T63" s="112"/>
      <c r="U63" s="112"/>
      <c r="V63" s="112"/>
      <c r="W63" s="112"/>
    </row>
    <row r="64" spans="2:23" s="20" customFormat="1" x14ac:dyDescent="0.25">
      <c r="B64" s="55">
        <f>ITE_LUC_Rates!B46</f>
        <v>610</v>
      </c>
      <c r="C64" s="56" t="str">
        <f>ITE_LUC_Rates!C46</f>
        <v>Hospital</v>
      </c>
      <c r="D64" s="57" t="str">
        <f>ITE_LUC_Rates!D46</f>
        <v>1000 GSF</v>
      </c>
      <c r="E64" s="129">
        <f>ITE_LUC_Rates!H46</f>
        <v>10.72</v>
      </c>
      <c r="F64" s="58" t="s">
        <v>71</v>
      </c>
      <c r="G64" s="104">
        <f>ITE_LUC_Rates!Q46</f>
        <v>17837.599999999999</v>
      </c>
      <c r="H64" s="104">
        <f>FEE_1_Out!$H62</f>
        <v>9370.0543009495432</v>
      </c>
      <c r="I64" s="104">
        <f>FEE_1_Out!$H62</f>
        <v>9370.0543009495432</v>
      </c>
      <c r="J64" s="104">
        <f>FEE_2_In!$H62</f>
        <v>11765.342401363861</v>
      </c>
      <c r="K64" s="104">
        <f>FEE_2_Out!$H62</f>
        <v>10259.129342878556</v>
      </c>
      <c r="L64" s="104">
        <f>FEE_3_In!$H62</f>
        <v>11703.246245049522</v>
      </c>
      <c r="M64" s="104">
        <f>FEE_3_Out!$H62</f>
        <v>11312.510730530399</v>
      </c>
      <c r="N64" s="104">
        <f>FEE_4_In!$H62</f>
        <v>10985.855181330626</v>
      </c>
      <c r="O64" s="104">
        <f>FEE_4_Out!$H62</f>
        <v>11853.063478488886</v>
      </c>
      <c r="P64" s="141">
        <f t="shared" ref="P64:Q68" si="34">IFERROR(H64/$G64-1,0)</f>
        <v>-0.4747020730956214</v>
      </c>
      <c r="Q64" s="139">
        <f t="shared" si="34"/>
        <v>-0.4747020730956214</v>
      </c>
      <c r="R64" s="139">
        <f>IFERROR(K64/$G64-1,0)</f>
        <v>-0.42485932284171879</v>
      </c>
      <c r="S64" s="139">
        <f>IFERROR(J64/$G64-1,0)</f>
        <v>-0.34041898005539628</v>
      </c>
      <c r="T64" s="139">
        <f>IFERROR(M64/$G64-1,0)</f>
        <v>-0.36580533645050906</v>
      </c>
      <c r="U64" s="139">
        <f>IFERROR(L64/$G64-1,0)</f>
        <v>-0.34390017462833999</v>
      </c>
      <c r="V64" s="139">
        <f>IFERROR(O64/$G64-1,0)</f>
        <v>-0.33550121773731401</v>
      </c>
      <c r="W64" s="139">
        <f>IFERROR(N64/$G64-1,0)</f>
        <v>-0.38411808868173825</v>
      </c>
    </row>
    <row r="65" spans="2:23" s="20" customFormat="1" x14ac:dyDescent="0.25">
      <c r="B65" s="55">
        <f>ITE_LUC_Rates!B47</f>
        <v>620</v>
      </c>
      <c r="C65" s="56" t="str">
        <f>ITE_LUC_Rates!C47</f>
        <v>Nursing Home</v>
      </c>
      <c r="D65" s="57" t="str">
        <f>ITE_LUC_Rates!D47</f>
        <v>Bed</v>
      </c>
      <c r="E65" s="129">
        <f>ITE_LUC_Rates!H47</f>
        <v>3.06</v>
      </c>
      <c r="F65" s="58" t="s">
        <v>71</v>
      </c>
      <c r="G65" s="104">
        <f>ITE_LUC_Rates!Q47</f>
        <v>2405.2600000000002</v>
      </c>
      <c r="H65" s="104">
        <f>FEE_1_Out!$H63</f>
        <v>2674.6610224725387</v>
      </c>
      <c r="I65" s="104">
        <f>FEE_1_Out!$H63</f>
        <v>2674.6610224725387</v>
      </c>
      <c r="J65" s="104">
        <f>FEE_2_In!$H63</f>
        <v>3358.390648150506</v>
      </c>
      <c r="K65" s="104">
        <f>FEE_2_Out!$H63</f>
        <v>2928.4455027246636</v>
      </c>
      <c r="L65" s="104">
        <f>FEE_3_In!$H63</f>
        <v>3340.665439351822</v>
      </c>
      <c r="M65" s="104">
        <f>FEE_3_Out!$H63</f>
        <v>3229.1308615133421</v>
      </c>
      <c r="N65" s="104">
        <f>FEE_4_In!$H63</f>
        <v>3135.88776631266</v>
      </c>
      <c r="O65" s="104">
        <f>FEE_4_Out!$H63</f>
        <v>3383.4304332253723</v>
      </c>
      <c r="P65" s="141">
        <f t="shared" si="34"/>
        <v>0.11200494851805565</v>
      </c>
      <c r="Q65" s="139">
        <f t="shared" si="34"/>
        <v>0.11200494851805565</v>
      </c>
      <c r="R65" s="139">
        <f>IFERROR(K65/$G65-1,0)</f>
        <v>0.21751723419699465</v>
      </c>
      <c r="S65" s="139">
        <f>IFERROR(J65/$G65-1,0)</f>
        <v>0.39626927989094973</v>
      </c>
      <c r="T65" s="139">
        <f>IFERROR(M65/$G65-1,0)</f>
        <v>0.34252881664075474</v>
      </c>
      <c r="U65" s="139">
        <f>IFERROR(L65/$G65-1,0)</f>
        <v>0.38889992738906476</v>
      </c>
      <c r="V65" s="139">
        <f>IFERROR(O65/$G65-1,0)</f>
        <v>0.40667970748500037</v>
      </c>
      <c r="W65" s="139">
        <f>IFERROR(N65/$G65-1,0)</f>
        <v>0.30376248984004217</v>
      </c>
    </row>
    <row r="66" spans="2:23" s="20" customFormat="1" x14ac:dyDescent="0.25">
      <c r="B66" s="55">
        <f>ITE_LUC_Rates!B48</f>
        <v>630</v>
      </c>
      <c r="C66" s="56" t="str">
        <f>ITE_LUC_Rates!C48</f>
        <v>Clinic</v>
      </c>
      <c r="D66" s="57" t="str">
        <f>ITE_LUC_Rates!D48</f>
        <v>1000 GSF</v>
      </c>
      <c r="E66" s="129">
        <f>ITE_LUC_Rates!H48</f>
        <v>38.159999999999997</v>
      </c>
      <c r="F66" s="58" t="s">
        <v>71</v>
      </c>
      <c r="G66" s="104">
        <f>ITE_LUC_Rates!Q48</f>
        <v>31927.7</v>
      </c>
      <c r="H66" s="104">
        <f>FEE_1_Out!$H64</f>
        <v>12829.133911634182</v>
      </c>
      <c r="I66" s="104">
        <f>FEE_1_Out!$H64</f>
        <v>12829.133911634182</v>
      </c>
      <c r="J66" s="104">
        <f>FEE_2_In!$H64</f>
        <v>16108.674329457062</v>
      </c>
      <c r="K66" s="104">
        <f>FEE_2_Out!$H64</f>
        <v>14046.422777211323</v>
      </c>
      <c r="L66" s="104">
        <f>FEE_3_In!$H64</f>
        <v>16023.654554846604</v>
      </c>
      <c r="M66" s="104">
        <f>FEE_3_Out!$H64</f>
        <v>15488.673851555581</v>
      </c>
      <c r="N66" s="104">
        <f>FEE_4_In!$H64</f>
        <v>15041.429081241113</v>
      </c>
      <c r="O66" s="104">
        <f>FEE_4_Out!$H64</f>
        <v>16228.778803685742</v>
      </c>
      <c r="P66" s="141">
        <f t="shared" si="34"/>
        <v>-0.59818170705581108</v>
      </c>
      <c r="Q66" s="139">
        <f t="shared" si="34"/>
        <v>-0.59818170705581108</v>
      </c>
      <c r="R66" s="139">
        <f>IFERROR(K66/$G66-1,0)</f>
        <v>-0.56005528812876215</v>
      </c>
      <c r="S66" s="139">
        <f>IFERROR(J66/$G66-1,0)</f>
        <v>-0.4954639911594928</v>
      </c>
      <c r="T66" s="139">
        <f>IFERROR(M66/$G66-1,0)</f>
        <v>-0.51488288064735066</v>
      </c>
      <c r="U66" s="139">
        <f>IFERROR(L66/$G66-1,0)</f>
        <v>-0.49812687557053581</v>
      </c>
      <c r="V66" s="139">
        <f>IFERROR(O66/$G66-1,0)</f>
        <v>-0.4917022271041841</v>
      </c>
      <c r="W66" s="139">
        <f>IFERROR(N66/$G66-1,0)</f>
        <v>-0.52889092915427316</v>
      </c>
    </row>
    <row r="67" spans="2:23" s="20" customFormat="1" x14ac:dyDescent="0.25">
      <c r="B67" s="134">
        <f>ITE_LUC_Rates!B49</f>
        <v>640</v>
      </c>
      <c r="C67" s="135" t="str">
        <f>ITE_LUC_Rates!C49</f>
        <v>Animal Hospital / Veterinary Clinic</v>
      </c>
      <c r="D67" s="232" t="str">
        <f>ITE_LUC_Rates!D49</f>
        <v>1000 GSF</v>
      </c>
      <c r="E67" s="233">
        <f>ITE_LUC_Rates!H49</f>
        <v>21.5</v>
      </c>
      <c r="F67" s="136" t="s">
        <v>71</v>
      </c>
      <c r="G67" s="137">
        <f>ITE_LUC_Rates!Q49</f>
        <v>0</v>
      </c>
      <c r="H67" s="104">
        <f>FEE_1_Out!$H65</f>
        <v>7228.1545885779615</v>
      </c>
      <c r="I67" s="104">
        <f>FEE_1_Out!$H65</f>
        <v>7228.1545885779615</v>
      </c>
      <c r="J67" s="104">
        <f>FEE_2_In!$H65</f>
        <v>9075.9040378230329</v>
      </c>
      <c r="K67" s="104">
        <f>FEE_2_Out!$H65</f>
        <v>7913.9960615839509</v>
      </c>
      <c r="L67" s="104">
        <f>FEE_3_In!$H65</f>
        <v>9028.0024352516266</v>
      </c>
      <c r="M67" s="104">
        <f>FEE_3_Out!$H65</f>
        <v>8726.5851102842007</v>
      </c>
      <c r="N67" s="104">
        <f>FEE_4_In!$H65</f>
        <v>8474.5997182045048</v>
      </c>
      <c r="O67" s="104">
        <f>FEE_4_Out!$H65</f>
        <v>9143.5729632925431</v>
      </c>
      <c r="P67" s="141">
        <f t="shared" si="34"/>
        <v>0</v>
      </c>
      <c r="Q67" s="139">
        <f t="shared" si="34"/>
        <v>0</v>
      </c>
      <c r="R67" s="139">
        <f>IFERROR(K67/$G67-1,0)</f>
        <v>0</v>
      </c>
      <c r="S67" s="139">
        <f>IFERROR(J67/$G67-1,0)</f>
        <v>0</v>
      </c>
      <c r="T67" s="139">
        <f>IFERROR(M67/$G67-1,0)</f>
        <v>0</v>
      </c>
      <c r="U67" s="139">
        <f>IFERROR(L67/$G67-1,0)</f>
        <v>0</v>
      </c>
      <c r="V67" s="139">
        <f>IFERROR(O67/$G67-1,0)</f>
        <v>0</v>
      </c>
      <c r="W67" s="139">
        <f>IFERROR(N67/$G67-1,0)</f>
        <v>0</v>
      </c>
    </row>
    <row r="68" spans="2:23" s="20" customFormat="1" x14ac:dyDescent="0.25">
      <c r="B68" s="134">
        <f>ITE_LUC_Rates!B50</f>
        <v>650</v>
      </c>
      <c r="C68" s="135" t="str">
        <f>ITE_LUC_Rates!C50</f>
        <v>Free-standing Emergency Room</v>
      </c>
      <c r="D68" s="232" t="str">
        <f>ITE_LUC_Rates!D50</f>
        <v>1000 GSF</v>
      </c>
      <c r="E68" s="233">
        <f>ITE_LUC_Rates!H50</f>
        <v>24.94</v>
      </c>
      <c r="F68" s="136" t="s">
        <v>71</v>
      </c>
      <c r="G68" s="137">
        <f>ITE_LUC_Rates!Q50</f>
        <v>0</v>
      </c>
      <c r="H68" s="104">
        <f>FEE_1_Out!$H66</f>
        <v>8384.6593227504363</v>
      </c>
      <c r="I68" s="104">
        <f>FEE_1_Out!$H66</f>
        <v>8384.6593227504363</v>
      </c>
      <c r="J68" s="104">
        <f>FEE_2_In!$H66</f>
        <v>10528.04868387472</v>
      </c>
      <c r="K68" s="104">
        <f>FEE_2_Out!$H66</f>
        <v>9180.2354314373824</v>
      </c>
      <c r="L68" s="104">
        <f>FEE_3_In!$H66</f>
        <v>10472.482824891889</v>
      </c>
      <c r="M68" s="104">
        <f>FEE_3_Out!$H66</f>
        <v>10122.838727929673</v>
      </c>
      <c r="N68" s="104">
        <f>FEE_4_In!$H66</f>
        <v>9830.5356731172269</v>
      </c>
      <c r="O68" s="104">
        <f>FEE_4_Out!$H66</f>
        <v>10606.544637419354</v>
      </c>
      <c r="P68" s="141">
        <f t="shared" si="34"/>
        <v>0</v>
      </c>
      <c r="Q68" s="139">
        <f t="shared" si="34"/>
        <v>0</v>
      </c>
      <c r="R68" s="139">
        <f>IFERROR(K68/$G68-1,0)</f>
        <v>0</v>
      </c>
      <c r="S68" s="139">
        <f>IFERROR(J68/$G68-1,0)</f>
        <v>0</v>
      </c>
      <c r="T68" s="139">
        <f>IFERROR(M68/$G68-1,0)</f>
        <v>0</v>
      </c>
      <c r="U68" s="139">
        <f>IFERROR(L68/$G68-1,0)</f>
        <v>0</v>
      </c>
      <c r="V68" s="139">
        <f>IFERROR(O68/$G68-1,0)</f>
        <v>0</v>
      </c>
      <c r="W68" s="139">
        <f>IFERROR(N68/$G68-1,0)</f>
        <v>0</v>
      </c>
    </row>
    <row r="69" spans="2:23" s="20" customFormat="1" x14ac:dyDescent="0.25">
      <c r="B69" s="105" t="e">
        <f>ITE_LUC_Rates!#REF!</f>
        <v>#REF!</v>
      </c>
      <c r="C69" s="106"/>
      <c r="D69" s="107"/>
      <c r="E69" s="130"/>
      <c r="F69" s="114"/>
      <c r="G69" s="110"/>
      <c r="H69" s="112"/>
      <c r="I69" s="112"/>
      <c r="J69" s="112"/>
      <c r="K69" s="112"/>
      <c r="L69" s="112"/>
      <c r="M69" s="112"/>
      <c r="N69" s="112"/>
      <c r="O69" s="112"/>
      <c r="P69" s="112"/>
      <c r="Q69" s="112"/>
      <c r="R69" s="112"/>
      <c r="S69" s="112"/>
      <c r="T69" s="112"/>
      <c r="U69" s="112"/>
      <c r="V69" s="112"/>
      <c r="W69" s="112"/>
    </row>
    <row r="70" spans="2:23" s="20" customFormat="1" x14ac:dyDescent="0.25">
      <c r="B70" s="55">
        <f>ITE_LUC_Rates!B51</f>
        <v>710</v>
      </c>
      <c r="C70" s="56" t="str">
        <f>ITE_LUC_Rates!C51</f>
        <v>1 - 50,000</v>
      </c>
      <c r="D70" s="57" t="str">
        <f>ITE_LUC_Rates!D51</f>
        <v>1000 GSF</v>
      </c>
      <c r="E70" s="129">
        <f>ITE_LUC_Rates!H51</f>
        <v>11.061091998412158</v>
      </c>
      <c r="F70" s="58" t="s">
        <v>71</v>
      </c>
      <c r="G70" s="104">
        <f>ITE_LUC_Rates!Q51</f>
        <v>15551.8</v>
      </c>
      <c r="H70" s="104">
        <f>FEE_1_Out!$H68</f>
        <v>12771.068680777847</v>
      </c>
      <c r="I70" s="104">
        <f>FEE_1_Out!$H68</f>
        <v>12771.068680777847</v>
      </c>
      <c r="J70" s="104">
        <f>FEE_2_In!$H68</f>
        <v>16035.765752761858</v>
      </c>
      <c r="K70" s="104">
        <f>FEE_2_Out!$H68</f>
        <v>13982.848042791817</v>
      </c>
      <c r="L70" s="104">
        <f>FEE_3_In!$H68</f>
        <v>15951.130781433842</v>
      </c>
      <c r="M70" s="104">
        <f>FEE_3_Out!$H68</f>
        <v>15418.571424607379</v>
      </c>
      <c r="N70" s="104">
        <f>FEE_4_In!$H68</f>
        <v>14973.350904021416</v>
      </c>
      <c r="O70" s="104">
        <f>FEE_4_Out!$H68</f>
        <v>16155.326628796691</v>
      </c>
      <c r="P70" s="141">
        <f t="shared" ref="P70:P89" si="35">IFERROR(H70/$G70-1,0)</f>
        <v>-0.17880446760003033</v>
      </c>
      <c r="Q70" s="139">
        <f t="shared" ref="Q70:Q89" si="36">IFERROR(I70/$G70-1,0)</f>
        <v>-0.17880446760003033</v>
      </c>
      <c r="R70" s="139">
        <f t="shared" ref="R70:R89" si="37">IFERROR(K70/$G70-1,0)</f>
        <v>-0.10088555390425435</v>
      </c>
      <c r="S70" s="139">
        <f t="shared" ref="S70:S89" si="38">IFERROR(J70/$G70-1,0)</f>
        <v>3.1119597266030752E-2</v>
      </c>
      <c r="T70" s="139">
        <f t="shared" ref="T70:T89" si="39">IFERROR(M70/$G70-1,0)</f>
        <v>-8.5667623935892223E-3</v>
      </c>
      <c r="U70" s="139">
        <f t="shared" ref="U70:U89" si="40">IFERROR(L70/$G70-1,0)</f>
        <v>2.5677463794148814E-2</v>
      </c>
      <c r="V70" s="139">
        <f t="shared" ref="V70:V89" si="41">IFERROR(O70/$G70-1,0)</f>
        <v>3.8807509664263495E-2</v>
      </c>
      <c r="W70" s="139">
        <f t="shared" ref="W70:W89" si="42">IFERROR(N70/$G70-1,0)</f>
        <v>-3.7194993246992825E-2</v>
      </c>
    </row>
    <row r="71" spans="2:23" s="20" customFormat="1" x14ac:dyDescent="0.25">
      <c r="B71" s="55">
        <f>ITE_LUC_Rates!B52</f>
        <v>710</v>
      </c>
      <c r="C71" s="56" t="str">
        <f>ITE_LUC_Rates!C52</f>
        <v>50,001 - 100,000</v>
      </c>
      <c r="D71" s="57" t="str">
        <f>ITE_LUC_Rates!D52</f>
        <v>1000 GSF</v>
      </c>
      <c r="E71" s="129">
        <f>ITE_LUC_Rates!H52</f>
        <v>10.702478568874675</v>
      </c>
      <c r="F71" s="58" t="s">
        <v>71</v>
      </c>
      <c r="G71" s="104">
        <f>ITE_LUC_Rates!Q52</f>
        <v>13259.2</v>
      </c>
      <c r="H71" s="104">
        <f>FEE_1_Out!$H69</f>
        <v>12357.015824230779</v>
      </c>
      <c r="I71" s="104">
        <f>FEE_1_Out!$H69</f>
        <v>12357.015824230779</v>
      </c>
      <c r="J71" s="104">
        <f>FEE_2_In!$H69</f>
        <v>15515.867631248799</v>
      </c>
      <c r="K71" s="104">
        <f>FEE_2_Out!$H69</f>
        <v>13529.507894093398</v>
      </c>
      <c r="L71" s="104">
        <f>FEE_3_In!$H69</f>
        <v>15433.976623837829</v>
      </c>
      <c r="M71" s="104">
        <f>FEE_3_Out!$H69</f>
        <v>14918.6834589399</v>
      </c>
      <c r="N71" s="104">
        <f>FEE_4_In!$H69</f>
        <v>14487.897503929444</v>
      </c>
      <c r="O71" s="104">
        <f>FEE_4_Out!$H69</f>
        <v>15631.552205034312</v>
      </c>
      <c r="P71" s="141">
        <f t="shared" si="35"/>
        <v>-6.8042127411097386E-2</v>
      </c>
      <c r="Q71" s="139">
        <f t="shared" si="36"/>
        <v>-6.8042127411097386E-2</v>
      </c>
      <c r="R71" s="139">
        <f t="shared" si="37"/>
        <v>2.0386440667113925E-2</v>
      </c>
      <c r="S71" s="139">
        <f t="shared" si="38"/>
        <v>0.17019636412821271</v>
      </c>
      <c r="T71" s="139">
        <f t="shared" si="39"/>
        <v>0.12515713308041954</v>
      </c>
      <c r="U71" s="139">
        <f t="shared" si="40"/>
        <v>0.16402019909480425</v>
      </c>
      <c r="V71" s="139">
        <f t="shared" si="41"/>
        <v>0.17892121734601707</v>
      </c>
      <c r="W71" s="139">
        <f t="shared" si="42"/>
        <v>9.2667544341245467E-2</v>
      </c>
    </row>
    <row r="72" spans="2:23" s="20" customFormat="1" x14ac:dyDescent="0.25">
      <c r="B72" s="55">
        <f>ITE_LUC_Rates!B53</f>
        <v>710</v>
      </c>
      <c r="C72" s="56" t="str">
        <f>ITE_LUC_Rates!C53</f>
        <v>100,001 - 150,000</v>
      </c>
      <c r="D72" s="57" t="str">
        <f>ITE_LUC_Rates!D53</f>
        <v>1000 GSF</v>
      </c>
      <c r="E72" s="129">
        <f>ITE_LUC_Rates!H53</f>
        <v>10.53971589568078</v>
      </c>
      <c r="F72" s="58" t="s">
        <v>71</v>
      </c>
      <c r="G72" s="104">
        <f>ITE_LUC_Rates!Q53</f>
        <v>11306.4</v>
      </c>
      <c r="H72" s="104">
        <f>FEE_1_Out!$H70</f>
        <v>12169.091044441893</v>
      </c>
      <c r="I72" s="104">
        <f>FEE_1_Out!$H70</f>
        <v>12169.091044441893</v>
      </c>
      <c r="J72" s="104">
        <f>FEE_2_In!$H70</f>
        <v>15279.903216432855</v>
      </c>
      <c r="K72" s="104">
        <f>FEE_2_Out!$H70</f>
        <v>13323.751922925676</v>
      </c>
      <c r="L72" s="104">
        <f>FEE_3_In!$H70</f>
        <v>15199.257602711863</v>
      </c>
      <c r="M72" s="104">
        <f>FEE_3_Out!$H70</f>
        <v>14691.800986372062</v>
      </c>
      <c r="N72" s="104">
        <f>FEE_4_In!$H70</f>
        <v>14267.566399174273</v>
      </c>
      <c r="O72" s="104">
        <f>FEE_4_Out!$H70</f>
        <v>15393.828465931436</v>
      </c>
      <c r="P72" s="141">
        <f t="shared" si="35"/>
        <v>7.6301125419399041E-2</v>
      </c>
      <c r="Q72" s="139">
        <f t="shared" si="36"/>
        <v>7.6301125419399041E-2</v>
      </c>
      <c r="R72" s="139">
        <f t="shared" si="37"/>
        <v>0.17842566359987933</v>
      </c>
      <c r="S72" s="139">
        <f t="shared" si="38"/>
        <v>0.35143840801960446</v>
      </c>
      <c r="T72" s="139">
        <f t="shared" si="39"/>
        <v>0.29942342269617761</v>
      </c>
      <c r="U72" s="139">
        <f t="shared" si="40"/>
        <v>0.34430566782635186</v>
      </c>
      <c r="V72" s="139">
        <f t="shared" si="41"/>
        <v>0.36151458164680506</v>
      </c>
      <c r="W72" s="139">
        <f t="shared" si="42"/>
        <v>0.26190179006352809</v>
      </c>
    </row>
    <row r="73" spans="2:23" s="20" customFormat="1" x14ac:dyDescent="0.25">
      <c r="B73" s="55">
        <f>ITE_LUC_Rates!B54</f>
        <v>710</v>
      </c>
      <c r="C73" s="56" t="str">
        <f>ITE_LUC_Rates!C54</f>
        <v>150,001 - 200,000</v>
      </c>
      <c r="D73" s="57" t="str">
        <f>ITE_LUC_Rates!D54</f>
        <v>1000 GSF</v>
      </c>
      <c r="E73" s="129">
        <f>ITE_LUC_Rates!H54</f>
        <v>10.433861397564558</v>
      </c>
      <c r="F73" s="58" t="s">
        <v>71</v>
      </c>
      <c r="G73" s="104">
        <f>ITE_LUC_Rates!Q54</f>
        <v>11306.4</v>
      </c>
      <c r="H73" s="104">
        <f>FEE_1_Out!$H71</f>
        <v>12046.872093021399</v>
      </c>
      <c r="I73" s="104">
        <f>FEE_1_Out!$H71</f>
        <v>12046.872093021399</v>
      </c>
      <c r="J73" s="104">
        <f>FEE_2_In!$H71</f>
        <v>15126.441158987571</v>
      </c>
      <c r="K73" s="104">
        <f>FEE_2_Out!$H71</f>
        <v>13189.93625969662</v>
      </c>
      <c r="L73" s="104">
        <f>FEE_3_In!$H71</f>
        <v>15046.605500776781</v>
      </c>
      <c r="M73" s="104">
        <f>FEE_3_Out!$H71</f>
        <v>14544.245470148593</v>
      </c>
      <c r="N73" s="104">
        <f>FEE_4_In!$H71</f>
        <v>14124.271637202235</v>
      </c>
      <c r="O73" s="104">
        <f>FEE_4_Out!$H71</f>
        <v>15239.222212548821</v>
      </c>
      <c r="P73" s="141">
        <f t="shared" si="35"/>
        <v>6.5491411326452198E-2</v>
      </c>
      <c r="Q73" s="139">
        <f t="shared" si="36"/>
        <v>6.5491411326452198E-2</v>
      </c>
      <c r="R73" s="139">
        <f t="shared" si="37"/>
        <v>0.16659027273903448</v>
      </c>
      <c r="S73" s="139">
        <f t="shared" si="38"/>
        <v>0.33786538234872032</v>
      </c>
      <c r="T73" s="139">
        <f t="shared" si="39"/>
        <v>0.28637280391181918</v>
      </c>
      <c r="U73" s="139">
        <f t="shared" si="40"/>
        <v>0.33080427906113186</v>
      </c>
      <c r="V73" s="139">
        <f t="shared" si="41"/>
        <v>0.347840357014507</v>
      </c>
      <c r="W73" s="139">
        <f t="shared" si="42"/>
        <v>0.24922801574349362</v>
      </c>
    </row>
    <row r="74" spans="2:23" s="20" customFormat="1" x14ac:dyDescent="0.25">
      <c r="B74" s="55">
        <f>ITE_LUC_Rates!B55</f>
        <v>710</v>
      </c>
      <c r="C74" s="56" t="str">
        <f>ITE_LUC_Rates!C55</f>
        <v>200,001 - 300,000</v>
      </c>
      <c r="D74" s="57" t="str">
        <f>ITE_LUC_Rates!D55</f>
        <v>1000 GSF</v>
      </c>
      <c r="E74" s="129">
        <f>ITE_LUC_Rates!H55</f>
        <v>10.322811679029327</v>
      </c>
      <c r="F74" s="58" t="s">
        <v>71</v>
      </c>
      <c r="G74" s="104">
        <f>ITE_LUC_Rates!Q55</f>
        <v>10298.9</v>
      </c>
      <c r="H74" s="104">
        <f>FEE_1_Out!$H72</f>
        <v>11918.654772109678</v>
      </c>
      <c r="I74" s="104">
        <f>FEE_1_Out!$H72</f>
        <v>11918.654772109678</v>
      </c>
      <c r="J74" s="104">
        <f>FEE_2_In!$H72</f>
        <v>14965.447355338099</v>
      </c>
      <c r="K74" s="104">
        <f>FEE_2_Out!$H72</f>
        <v>13049.553073326246</v>
      </c>
      <c r="L74" s="104">
        <f>FEE_3_In!$H72</f>
        <v>14886.461404348402</v>
      </c>
      <c r="M74" s="104">
        <f>FEE_3_Out!$H72</f>
        <v>14389.44809416042</v>
      </c>
      <c r="N74" s="104">
        <f>FEE_4_In!$H72</f>
        <v>13973.944128520496</v>
      </c>
      <c r="O74" s="104">
        <f>FEE_4_Out!$H72</f>
        <v>15077.028057104661</v>
      </c>
      <c r="P74" s="141">
        <f t="shared" si="35"/>
        <v>0.15727454117523987</v>
      </c>
      <c r="Q74" s="139">
        <f t="shared" si="36"/>
        <v>0.15727454117523987</v>
      </c>
      <c r="R74" s="139">
        <f t="shared" si="37"/>
        <v>0.26708221978330182</v>
      </c>
      <c r="S74" s="139">
        <f t="shared" si="38"/>
        <v>0.45311124055366103</v>
      </c>
      <c r="T74" s="139">
        <f t="shared" si="39"/>
        <v>0.39718300926899186</v>
      </c>
      <c r="U74" s="139">
        <f t="shared" si="40"/>
        <v>0.44544188256497308</v>
      </c>
      <c r="V74" s="139">
        <f t="shared" si="41"/>
        <v>0.46394547544928688</v>
      </c>
      <c r="W74" s="139">
        <f t="shared" si="42"/>
        <v>0.3568385097942981</v>
      </c>
    </row>
    <row r="75" spans="2:23" s="20" customFormat="1" x14ac:dyDescent="0.25">
      <c r="B75" s="55">
        <f>ITE_LUC_Rates!B56</f>
        <v>710</v>
      </c>
      <c r="C75" s="56" t="str">
        <f>ITE_LUC_Rates!C56</f>
        <v>300,001 - 400,000</v>
      </c>
      <c r="D75" s="57" t="str">
        <f>ITE_LUC_Rates!D56</f>
        <v>1000 GSF</v>
      </c>
      <c r="E75" s="129">
        <f>ITE_LUC_Rates!H56</f>
        <v>10.21913563498342</v>
      </c>
      <c r="F75" s="58" t="s">
        <v>71</v>
      </c>
      <c r="G75" s="104">
        <f>ITE_LUC_Rates!Q56</f>
        <v>9639.5</v>
      </c>
      <c r="H75" s="104">
        <f>FEE_1_Out!$H73</f>
        <v>11798.951050338654</v>
      </c>
      <c r="I75" s="104">
        <f>FEE_1_Out!$H73</f>
        <v>11798.951050338654</v>
      </c>
      <c r="J75" s="104">
        <f>FEE_2_In!$H73</f>
        <v>14815.143501366734</v>
      </c>
      <c r="K75" s="104">
        <f>FEE_2_Out!$H73</f>
        <v>12918.49129662465</v>
      </c>
      <c r="L75" s="104">
        <f>FEE_3_In!$H73</f>
        <v>14736.950837243872</v>
      </c>
      <c r="M75" s="104">
        <f>FEE_3_Out!$H73</f>
        <v>14244.929226550243</v>
      </c>
      <c r="N75" s="104">
        <f>FEE_4_In!$H73</f>
        <v>13833.598330107196</v>
      </c>
      <c r="O75" s="104">
        <f>FEE_4_Out!$H73</f>
        <v>14925.60355440786</v>
      </c>
      <c r="P75" s="141">
        <f t="shared" si="35"/>
        <v>0.22402106440569058</v>
      </c>
      <c r="Q75" s="139">
        <f t="shared" si="36"/>
        <v>0.22402106440569058</v>
      </c>
      <c r="R75" s="139">
        <f t="shared" si="37"/>
        <v>0.3401619686316355</v>
      </c>
      <c r="S75" s="139">
        <f t="shared" si="38"/>
        <v>0.53692032795961753</v>
      </c>
      <c r="T75" s="139">
        <f t="shared" si="39"/>
        <v>0.47776640142644777</v>
      </c>
      <c r="U75" s="139">
        <f t="shared" si="40"/>
        <v>0.52880863501674069</v>
      </c>
      <c r="V75" s="139">
        <f t="shared" si="41"/>
        <v>0.5483794340378505</v>
      </c>
      <c r="W75" s="139">
        <f t="shared" si="42"/>
        <v>0.43509500805095658</v>
      </c>
    </row>
    <row r="76" spans="2:23" s="20" customFormat="1" x14ac:dyDescent="0.25">
      <c r="B76" s="55">
        <f>ITE_LUC_Rates!B57</f>
        <v>710</v>
      </c>
      <c r="C76" s="56" t="str">
        <f>ITE_LUC_Rates!C57</f>
        <v>400,001 - 500,000</v>
      </c>
      <c r="D76" s="57" t="str">
        <f>ITE_LUC_Rates!D57</f>
        <v>1000 GSF</v>
      </c>
      <c r="E76" s="129">
        <f>ITE_LUC_Rates!H57</f>
        <v>10.142378862949085</v>
      </c>
      <c r="F76" s="58" t="s">
        <v>71</v>
      </c>
      <c r="G76" s="104">
        <f>ITE_LUC_Rates!Q57</f>
        <v>9156.7999999999993</v>
      </c>
      <c r="H76" s="104">
        <f>FEE_1_Out!$H74</f>
        <v>11710.328154199104</v>
      </c>
      <c r="I76" s="104">
        <f>FEE_1_Out!$H74</f>
        <v>11710.328154199104</v>
      </c>
      <c r="J76" s="104">
        <f>FEE_2_In!$H74</f>
        <v>14703.865734537074</v>
      </c>
      <c r="K76" s="104">
        <f>FEE_2_Out!$H74</f>
        <v>12821.459441201569</v>
      </c>
      <c r="L76" s="104">
        <f>FEE_3_In!$H74</f>
        <v>14626.260381974527</v>
      </c>
      <c r="M76" s="104">
        <f>FEE_3_Out!$H74</f>
        <v>14137.934386248435</v>
      </c>
      <c r="N76" s="104">
        <f>FEE_4_In!$H74</f>
        <v>13729.693030151722</v>
      </c>
      <c r="O76" s="104">
        <f>FEE_4_Out!$H74</f>
        <v>14813.496112993867</v>
      </c>
      <c r="P76" s="141">
        <f t="shared" si="35"/>
        <v>0.27886686988894649</v>
      </c>
      <c r="Q76" s="139">
        <f t="shared" si="36"/>
        <v>0.27886686988894649</v>
      </c>
      <c r="R76" s="139">
        <f t="shared" si="37"/>
        <v>0.40021180338126516</v>
      </c>
      <c r="S76" s="139">
        <f t="shared" si="38"/>
        <v>0.60578649031725873</v>
      </c>
      <c r="T76" s="139">
        <f t="shared" si="39"/>
        <v>0.54398200094448224</v>
      </c>
      <c r="U76" s="139">
        <f t="shared" si="40"/>
        <v>0.5973113295009751</v>
      </c>
      <c r="V76" s="139">
        <f t="shared" si="41"/>
        <v>0.61775905480013416</v>
      </c>
      <c r="W76" s="139">
        <f t="shared" si="42"/>
        <v>0.49939859231955741</v>
      </c>
    </row>
    <row r="77" spans="2:23" s="20" customFormat="1" x14ac:dyDescent="0.25">
      <c r="B77" s="55">
        <f>ITE_LUC_Rates!B58</f>
        <v>710</v>
      </c>
      <c r="C77" s="56" t="str">
        <f>ITE_LUC_Rates!C58</f>
        <v>500,001 - 600,000</v>
      </c>
      <c r="D77" s="57" t="str">
        <f>ITE_LUC_Rates!D58</f>
        <v>1000 GSF</v>
      </c>
      <c r="E77" s="129">
        <f>ITE_LUC_Rates!H58</f>
        <v>10.081503937403301</v>
      </c>
      <c r="F77" s="58" t="s">
        <v>71</v>
      </c>
      <c r="G77" s="104">
        <f>ITE_LUC_Rates!Q58</f>
        <v>8781.7000000000007</v>
      </c>
      <c r="H77" s="104">
        <f>FEE_1_Out!$H75</f>
        <v>11640.042340176937</v>
      </c>
      <c r="I77" s="104">
        <f>FEE_1_Out!$H75</f>
        <v>11640.042340176937</v>
      </c>
      <c r="J77" s="104">
        <f>FEE_2_In!$H75</f>
        <v>14615.612599456996</v>
      </c>
      <c r="K77" s="104">
        <f>FEE_2_Out!$H75</f>
        <v>12744.504576921881</v>
      </c>
      <c r="L77" s="104">
        <f>FEE_3_In!$H75</f>
        <v>14538.473037033335</v>
      </c>
      <c r="M77" s="104">
        <f>FEE_3_Out!$H75</f>
        <v>14053.077991632959</v>
      </c>
      <c r="N77" s="104">
        <f>FEE_4_In!$H75</f>
        <v>13647.286914952239</v>
      </c>
      <c r="O77" s="104">
        <f>FEE_4_Out!$H75</f>
        <v>14724.584972408742</v>
      </c>
      <c r="P77" s="141">
        <f t="shared" si="35"/>
        <v>0.32548849769144184</v>
      </c>
      <c r="Q77" s="139">
        <f t="shared" si="36"/>
        <v>0.32548849769144184</v>
      </c>
      <c r="R77" s="139">
        <f t="shared" si="37"/>
        <v>0.45125711159819626</v>
      </c>
      <c r="S77" s="139">
        <f t="shared" si="38"/>
        <v>0.66432610991687202</v>
      </c>
      <c r="T77" s="139">
        <f t="shared" si="39"/>
        <v>0.60026851197751663</v>
      </c>
      <c r="U77" s="139">
        <f t="shared" si="40"/>
        <v>0.6555419835605103</v>
      </c>
      <c r="V77" s="139">
        <f t="shared" si="41"/>
        <v>0.67673513925649265</v>
      </c>
      <c r="W77" s="139">
        <f t="shared" si="42"/>
        <v>0.55405979650320991</v>
      </c>
    </row>
    <row r="78" spans="2:23" s="20" customFormat="1" x14ac:dyDescent="0.25">
      <c r="B78" s="55">
        <f>ITE_LUC_Rates!B59</f>
        <v>710</v>
      </c>
      <c r="C78" s="56" t="str">
        <f>ITE_LUC_Rates!C59</f>
        <v>600,001 - 700,000</v>
      </c>
      <c r="D78" s="57" t="str">
        <f>ITE_LUC_Rates!D59</f>
        <v>1000 GSF</v>
      </c>
      <c r="E78" s="129">
        <f>ITE_LUC_Rates!H59</f>
        <v>10.031105639143441</v>
      </c>
      <c r="F78" s="58" t="s">
        <v>71</v>
      </c>
      <c r="G78" s="104">
        <f>ITE_LUC_Rates!Q59</f>
        <v>8475.6</v>
      </c>
      <c r="H78" s="104">
        <f>FEE_1_Out!$H76</f>
        <v>11581.852775479039</v>
      </c>
      <c r="I78" s="104">
        <f>FEE_1_Out!$H76</f>
        <v>11581.852775479039</v>
      </c>
      <c r="J78" s="104">
        <f>FEE_2_In!$H76</f>
        <v>14542.54790518007</v>
      </c>
      <c r="K78" s="104">
        <f>FEE_2_Out!$H76</f>
        <v>12680.793711278226</v>
      </c>
      <c r="L78" s="104">
        <f>FEE_3_In!$H76</f>
        <v>14465.79397000992</v>
      </c>
      <c r="M78" s="104">
        <f>FEE_3_Out!$H76</f>
        <v>13982.825455851696</v>
      </c>
      <c r="N78" s="104">
        <f>FEE_4_In!$H76</f>
        <v>13579.062963382292</v>
      </c>
      <c r="O78" s="104">
        <f>FEE_4_Out!$H76</f>
        <v>14650.975515942742</v>
      </c>
      <c r="P78" s="141">
        <f t="shared" si="35"/>
        <v>0.36649355508507231</v>
      </c>
      <c r="Q78" s="139">
        <f t="shared" si="36"/>
        <v>0.36649355508507231</v>
      </c>
      <c r="R78" s="139">
        <f t="shared" si="37"/>
        <v>0.49615292265777344</v>
      </c>
      <c r="S78" s="139">
        <f t="shared" si="38"/>
        <v>0.71581338255463556</v>
      </c>
      <c r="T78" s="139">
        <f t="shared" si="39"/>
        <v>0.64977411107788186</v>
      </c>
      <c r="U78" s="139">
        <f t="shared" si="40"/>
        <v>0.70675751215370219</v>
      </c>
      <c r="V78" s="139">
        <f t="shared" si="41"/>
        <v>0.72860629524077836</v>
      </c>
      <c r="W78" s="139">
        <f t="shared" si="42"/>
        <v>0.60213589166339743</v>
      </c>
    </row>
    <row r="79" spans="2:23" s="20" customFormat="1" x14ac:dyDescent="0.25">
      <c r="B79" s="55">
        <f>ITE_LUC_Rates!B60</f>
        <v>710</v>
      </c>
      <c r="C79" s="56" t="str">
        <f>ITE_LUC_Rates!C60</f>
        <v>700,001 - more</v>
      </c>
      <c r="D79" s="57" t="str">
        <f>ITE_LUC_Rates!D60</f>
        <v>1000 GSF</v>
      </c>
      <c r="E79" s="129">
        <f>ITE_LUC_Rates!H60</f>
        <v>9.9688142805499087</v>
      </c>
      <c r="F79" s="58" t="s">
        <v>71</v>
      </c>
      <c r="G79" s="104">
        <f>ITE_LUC_Rates!Q60</f>
        <v>8218.2999999999993</v>
      </c>
      <c r="H79" s="104">
        <f>FEE_1_Out!$H77</f>
        <v>11509.93155658572</v>
      </c>
      <c r="I79" s="104">
        <f>FEE_1_Out!$H77</f>
        <v>11509.93155658572</v>
      </c>
      <c r="J79" s="104">
        <f>FEE_2_In!$H77</f>
        <v>14452.241302995535</v>
      </c>
      <c r="K79" s="104">
        <f>FEE_2_Out!$H77</f>
        <v>12602.048267183065</v>
      </c>
      <c r="L79" s="104">
        <f>FEE_3_In!$H77</f>
        <v>14375.963995933107</v>
      </c>
      <c r="M79" s="104">
        <f>FEE_3_Out!$H77</f>
        <v>13895.994629225526</v>
      </c>
      <c r="N79" s="104">
        <f>FEE_4_In!$H77</f>
        <v>13494.739429083593</v>
      </c>
      <c r="O79" s="104">
        <f>FEE_4_Out!$H77</f>
        <v>14559.995597832083</v>
      </c>
      <c r="P79" s="141">
        <f t="shared" si="35"/>
        <v>0.40052462876576911</v>
      </c>
      <c r="Q79" s="139">
        <f t="shared" si="36"/>
        <v>0.40052462876576911</v>
      </c>
      <c r="R79" s="139">
        <f t="shared" si="37"/>
        <v>0.53341302546549363</v>
      </c>
      <c r="S79" s="139">
        <f t="shared" si="38"/>
        <v>0.7585438963040454</v>
      </c>
      <c r="T79" s="139">
        <f t="shared" si="39"/>
        <v>0.69085998676435856</v>
      </c>
      <c r="U79" s="139">
        <f t="shared" si="40"/>
        <v>0.74926249904884323</v>
      </c>
      <c r="V79" s="139">
        <f t="shared" si="41"/>
        <v>0.77165540292178236</v>
      </c>
      <c r="W79" s="139">
        <f t="shared" si="42"/>
        <v>0.64203538798578719</v>
      </c>
    </row>
    <row r="80" spans="2:23" s="20" customFormat="1" x14ac:dyDescent="0.25">
      <c r="B80" s="134">
        <f>ITE_LUC_Rates!B61</f>
        <v>712</v>
      </c>
      <c r="C80" s="135" t="str">
        <f>ITE_LUC_Rates!C61</f>
        <v>Small Office Building</v>
      </c>
      <c r="D80" s="232" t="str">
        <f>ITE_LUC_Rates!D61</f>
        <v>1000 GSF</v>
      </c>
      <c r="E80" s="233">
        <f>ITE_LUC_Rates!H61</f>
        <v>16.190000000000001</v>
      </c>
      <c r="F80" s="136" t="s">
        <v>71</v>
      </c>
      <c r="G80" s="137">
        <f>ITE_LUC_Rates!Q61</f>
        <v>0</v>
      </c>
      <c r="H80" s="104">
        <f>FEE_1_Out!$H78</f>
        <v>18692.874263361584</v>
      </c>
      <c r="I80" s="104">
        <f>FEE_1_Out!$H78</f>
        <v>18692.874263361584</v>
      </c>
      <c r="J80" s="104">
        <f>FEE_2_In!$H78</f>
        <v>23471.375843766906</v>
      </c>
      <c r="K80" s="104">
        <f>FEE_2_Out!$H78</f>
        <v>20466.542529914514</v>
      </c>
      <c r="L80" s="104">
        <f>FEE_3_In!$H78</f>
        <v>23347.496557165072</v>
      </c>
      <c r="M80" s="104">
        <f>FEE_3_Out!$H78</f>
        <v>22567.995221468904</v>
      </c>
      <c r="N80" s="104">
        <f>FEE_4_In!$H78</f>
        <v>21916.330790025651</v>
      </c>
      <c r="O80" s="104">
        <f>FEE_4_Out!$H78</f>
        <v>23646.375797051969</v>
      </c>
      <c r="P80" s="141">
        <f t="shared" si="35"/>
        <v>0</v>
      </c>
      <c r="Q80" s="139">
        <f t="shared" si="36"/>
        <v>0</v>
      </c>
      <c r="R80" s="139">
        <f t="shared" si="37"/>
        <v>0</v>
      </c>
      <c r="S80" s="139">
        <f t="shared" si="38"/>
        <v>0</v>
      </c>
      <c r="T80" s="139">
        <f t="shared" si="39"/>
        <v>0</v>
      </c>
      <c r="U80" s="139">
        <f t="shared" si="40"/>
        <v>0</v>
      </c>
      <c r="V80" s="139">
        <f t="shared" si="41"/>
        <v>0</v>
      </c>
      <c r="W80" s="139">
        <f t="shared" si="42"/>
        <v>0</v>
      </c>
    </row>
    <row r="81" spans="2:23" s="20" customFormat="1" x14ac:dyDescent="0.25">
      <c r="B81" s="134">
        <f>ITE_LUC_Rates!B62</f>
        <v>714</v>
      </c>
      <c r="C81" s="135" t="str">
        <f>ITE_LUC_Rates!C62</f>
        <v>Corporate Headquarters Buildings</v>
      </c>
      <c r="D81" s="232" t="str">
        <f>ITE_LUC_Rates!D62</f>
        <v>1000 GSF</v>
      </c>
      <c r="E81" s="233">
        <f>ITE_LUC_Rates!H62</f>
        <v>7.95</v>
      </c>
      <c r="F81" s="136" t="s">
        <v>71</v>
      </c>
      <c r="G81" s="137">
        <f>ITE_LUC_Rates!Q62</f>
        <v>0</v>
      </c>
      <c r="H81" s="104">
        <f>FEE_1_Out!$H79</f>
        <v>9179.0210249366628</v>
      </c>
      <c r="I81" s="104">
        <f>FEE_1_Out!$H79</f>
        <v>9179.0210249366628</v>
      </c>
      <c r="J81" s="104">
        <f>FEE_2_In!$H79</f>
        <v>11525.474858427851</v>
      </c>
      <c r="K81" s="104">
        <f>FEE_2_Out!$H79</f>
        <v>10049.969926672044</v>
      </c>
      <c r="L81" s="104">
        <f>FEE_3_In!$H79</f>
        <v>11464.6446960755</v>
      </c>
      <c r="M81" s="104">
        <f>FEE_3_Out!$H79</f>
        <v>11081.875355817034</v>
      </c>
      <c r="N81" s="104">
        <f>FEE_4_In!$H79</f>
        <v>10761.879541735882</v>
      </c>
      <c r="O81" s="104">
        <f>FEE_4_Out!$H79</f>
        <v>11611.407509979197</v>
      </c>
      <c r="P81" s="141">
        <f t="shared" si="35"/>
        <v>0</v>
      </c>
      <c r="Q81" s="139">
        <f t="shared" si="36"/>
        <v>0</v>
      </c>
      <c r="R81" s="139">
        <f t="shared" si="37"/>
        <v>0</v>
      </c>
      <c r="S81" s="139">
        <f t="shared" si="38"/>
        <v>0</v>
      </c>
      <c r="T81" s="139">
        <f t="shared" si="39"/>
        <v>0</v>
      </c>
      <c r="U81" s="139">
        <f t="shared" si="40"/>
        <v>0</v>
      </c>
      <c r="V81" s="139">
        <f t="shared" si="41"/>
        <v>0</v>
      </c>
      <c r="W81" s="139">
        <f t="shared" si="42"/>
        <v>0</v>
      </c>
    </row>
    <row r="82" spans="2:23" s="20" customFormat="1" x14ac:dyDescent="0.25">
      <c r="B82" s="134">
        <f>ITE_LUC_Rates!B63</f>
        <v>715</v>
      </c>
      <c r="C82" s="135" t="str">
        <f>ITE_LUC_Rates!C63</f>
        <v>Single Tenant Office Building</v>
      </c>
      <c r="D82" s="232" t="str">
        <f>ITE_LUC_Rates!D63</f>
        <v>1000 GSF</v>
      </c>
      <c r="E82" s="233">
        <f>ITE_LUC_Rates!H63</f>
        <v>11.25</v>
      </c>
      <c r="F82" s="136" t="s">
        <v>71</v>
      </c>
      <c r="G82" s="137">
        <f>ITE_LUC_Rates!Q63</f>
        <v>0</v>
      </c>
      <c r="H82" s="104">
        <f>FEE_1_Out!$H80</f>
        <v>12989.180695665093</v>
      </c>
      <c r="I82" s="104">
        <f>FEE_1_Out!$H80</f>
        <v>12989.180695665093</v>
      </c>
      <c r="J82" s="104">
        <f>FEE_2_In!$H80</f>
        <v>16309.634233624314</v>
      </c>
      <c r="K82" s="104">
        <f>FEE_2_Out!$H80</f>
        <v>14221.655556611378</v>
      </c>
      <c r="L82" s="104">
        <f>FEE_3_In!$H80</f>
        <v>16223.553815201176</v>
      </c>
      <c r="M82" s="104">
        <f>FEE_3_Out!$H80</f>
        <v>15681.89908842033</v>
      </c>
      <c r="N82" s="104">
        <f>FEE_4_In!$H80</f>
        <v>15229.074823211151</v>
      </c>
      <c r="O82" s="104">
        <f>FEE_4_Out!$H80</f>
        <v>16431.237042423389</v>
      </c>
      <c r="P82" s="141">
        <f t="shared" si="35"/>
        <v>0</v>
      </c>
      <c r="Q82" s="139">
        <f t="shared" si="36"/>
        <v>0</v>
      </c>
      <c r="R82" s="139">
        <f t="shared" si="37"/>
        <v>0</v>
      </c>
      <c r="S82" s="139">
        <f t="shared" si="38"/>
        <v>0</v>
      </c>
      <c r="T82" s="139">
        <f t="shared" si="39"/>
        <v>0</v>
      </c>
      <c r="U82" s="139">
        <f t="shared" si="40"/>
        <v>0</v>
      </c>
      <c r="V82" s="139">
        <f t="shared" si="41"/>
        <v>0</v>
      </c>
      <c r="W82" s="139">
        <f t="shared" si="42"/>
        <v>0</v>
      </c>
    </row>
    <row r="83" spans="2:23" s="20" customFormat="1" x14ac:dyDescent="0.25">
      <c r="B83" s="55">
        <f>ITE_LUC_Rates!B64</f>
        <v>720</v>
      </c>
      <c r="C83" s="56" t="str">
        <f>ITE_LUC_Rates!C64</f>
        <v>Medical Office Building</v>
      </c>
      <c r="D83" s="57" t="str">
        <f>ITE_LUC_Rates!D64</f>
        <v>1000 GSF</v>
      </c>
      <c r="E83" s="129">
        <f>ITE_LUC_Rates!H64</f>
        <v>34.799999999999997</v>
      </c>
      <c r="F83" s="58" t="s">
        <v>71</v>
      </c>
      <c r="G83" s="104">
        <f>ITE_LUC_Rates!Q64</f>
        <v>35910.699999999997</v>
      </c>
      <c r="H83" s="104">
        <f>FEE_1_Out!$H81</f>
        <v>11699.524636395952</v>
      </c>
      <c r="I83" s="104">
        <f>FEE_1_Out!$H81</f>
        <v>11699.524636395952</v>
      </c>
      <c r="J83" s="104">
        <f>FEE_2_In!$H81</f>
        <v>14690.300489127512</v>
      </c>
      <c r="K83" s="104">
        <f>FEE_2_Out!$H81</f>
        <v>12809.630834563786</v>
      </c>
      <c r="L83" s="104">
        <f>FEE_3_In!$H81</f>
        <v>14612.766732407286</v>
      </c>
      <c r="M83" s="104">
        <f>FEE_3_Out!$H81</f>
        <v>14124.89124827396</v>
      </c>
      <c r="N83" s="104">
        <f>FEE_4_In!$H81</f>
        <v>13717.026520628688</v>
      </c>
      <c r="O83" s="104">
        <f>FEE_4_Out!$H81</f>
        <v>14799.829726631653</v>
      </c>
      <c r="P83" s="141">
        <f t="shared" si="35"/>
        <v>-0.67420505207651327</v>
      </c>
      <c r="Q83" s="139">
        <f t="shared" si="36"/>
        <v>-0.67420505207651327</v>
      </c>
      <c r="R83" s="139">
        <f t="shared" si="37"/>
        <v>-0.64329208746797506</v>
      </c>
      <c r="S83" s="139">
        <f t="shared" si="38"/>
        <v>-0.59092135521926581</v>
      </c>
      <c r="T83" s="139">
        <f t="shared" si="39"/>
        <v>-0.60666622348564747</v>
      </c>
      <c r="U83" s="139">
        <f t="shared" si="40"/>
        <v>-0.59308042637967828</v>
      </c>
      <c r="V83" s="139">
        <f t="shared" si="41"/>
        <v>-0.58787131059456788</v>
      </c>
      <c r="W83" s="139">
        <f t="shared" si="42"/>
        <v>-0.61802397278168653</v>
      </c>
    </row>
    <row r="84" spans="2:23" s="20" customFormat="1" x14ac:dyDescent="0.25">
      <c r="B84" s="134">
        <f>ITE_LUC_Rates!B65</f>
        <v>730</v>
      </c>
      <c r="C84" s="135" t="str">
        <f>ITE_LUC_Rates!C65</f>
        <v>Government Office Building</v>
      </c>
      <c r="D84" s="232" t="str">
        <f>ITE_LUC_Rates!D65</f>
        <v>1000 GSF</v>
      </c>
      <c r="E84" s="233">
        <f>ITE_LUC_Rates!H65</f>
        <v>22.59</v>
      </c>
      <c r="F84" s="136" t="s">
        <v>71</v>
      </c>
      <c r="G84" s="137">
        <f>ITE_LUC_Rates!Q65</f>
        <v>0</v>
      </c>
      <c r="H84" s="104">
        <f>FEE_1_Out!$H82</f>
        <v>26082.274836895496</v>
      </c>
      <c r="I84" s="104">
        <f>FEE_1_Out!$H82</f>
        <v>26082.274836895496</v>
      </c>
      <c r="J84" s="104">
        <f>FEE_2_In!$H82</f>
        <v>32749.745541117623</v>
      </c>
      <c r="K84" s="104">
        <f>FEE_2_Out!$H82</f>
        <v>28557.084357675649</v>
      </c>
      <c r="L84" s="104">
        <f>FEE_3_In!$H82</f>
        <v>32576.896060923966</v>
      </c>
      <c r="M84" s="104">
        <f>FEE_3_Out!$H82</f>
        <v>31489.253369548016</v>
      </c>
      <c r="N84" s="104">
        <f>FEE_4_In!$H82</f>
        <v>30579.982245007992</v>
      </c>
      <c r="O84" s="104">
        <f>FEE_4_Out!$H82</f>
        <v>32993.923981186163</v>
      </c>
      <c r="P84" s="141">
        <f t="shared" si="35"/>
        <v>0</v>
      </c>
      <c r="Q84" s="139">
        <f t="shared" si="36"/>
        <v>0</v>
      </c>
      <c r="R84" s="139">
        <f t="shared" si="37"/>
        <v>0</v>
      </c>
      <c r="S84" s="139">
        <f t="shared" si="38"/>
        <v>0</v>
      </c>
      <c r="T84" s="139">
        <f t="shared" si="39"/>
        <v>0</v>
      </c>
      <c r="U84" s="139">
        <f t="shared" si="40"/>
        <v>0</v>
      </c>
      <c r="V84" s="139">
        <f t="shared" si="41"/>
        <v>0</v>
      </c>
      <c r="W84" s="139">
        <f t="shared" si="42"/>
        <v>0</v>
      </c>
    </row>
    <row r="85" spans="2:23" s="20" customFormat="1" x14ac:dyDescent="0.25">
      <c r="B85" s="134">
        <f>ITE_LUC_Rates!B66</f>
        <v>731</v>
      </c>
      <c r="C85" s="135" t="str">
        <f>ITE_LUC_Rates!C66</f>
        <v>State Motor Vehicles Department</v>
      </c>
      <c r="D85" s="232" t="str">
        <f>ITE_LUC_Rates!D66</f>
        <v>1000 GSF</v>
      </c>
      <c r="E85" s="233">
        <f>ITE_LUC_Rates!H66</f>
        <v>11.21</v>
      </c>
      <c r="F85" s="136" t="s">
        <v>71</v>
      </c>
      <c r="G85" s="137">
        <f>ITE_LUC_Rates!Q66</f>
        <v>0</v>
      </c>
      <c r="H85" s="104">
        <f>FEE_1_Out!$H83</f>
        <v>3768.7261831608807</v>
      </c>
      <c r="I85" s="104">
        <f>FEE_1_Out!$H83</f>
        <v>3768.7261831608807</v>
      </c>
      <c r="J85" s="104">
        <f>FEE_2_In!$H83</f>
        <v>4732.134151813777</v>
      </c>
      <c r="K85" s="104">
        <f>FEE_2_Out!$H83</f>
        <v>4126.3207372258639</v>
      </c>
      <c r="L85" s="104">
        <f>FEE_3_In!$H83</f>
        <v>4707.158479031199</v>
      </c>
      <c r="M85" s="104">
        <f>FEE_3_Out!$H83</f>
        <v>4550.000887734227</v>
      </c>
      <c r="N85" s="104">
        <f>FEE_4_In!$H83</f>
        <v>4418.6168763289543</v>
      </c>
      <c r="O85" s="104">
        <f>FEE_4_Out!$H83</f>
        <v>4767.4164148143927</v>
      </c>
      <c r="P85" s="141">
        <f t="shared" si="35"/>
        <v>0</v>
      </c>
      <c r="Q85" s="139">
        <f t="shared" si="36"/>
        <v>0</v>
      </c>
      <c r="R85" s="139">
        <f t="shared" si="37"/>
        <v>0</v>
      </c>
      <c r="S85" s="139">
        <f t="shared" si="38"/>
        <v>0</v>
      </c>
      <c r="T85" s="139">
        <f t="shared" si="39"/>
        <v>0</v>
      </c>
      <c r="U85" s="139">
        <f t="shared" si="40"/>
        <v>0</v>
      </c>
      <c r="V85" s="139">
        <f t="shared" si="41"/>
        <v>0</v>
      </c>
      <c r="W85" s="139">
        <f t="shared" si="42"/>
        <v>0</v>
      </c>
    </row>
    <row r="86" spans="2:23" s="20" customFormat="1" x14ac:dyDescent="0.25">
      <c r="B86" s="134">
        <f>ITE_LUC_Rates!B67</f>
        <v>733</v>
      </c>
      <c r="C86" s="135" t="str">
        <f>ITE_LUC_Rates!C67</f>
        <v>Government Office Complex</v>
      </c>
      <c r="D86" s="232" t="str">
        <f>ITE_LUC_Rates!D67</f>
        <v>1000 GSF</v>
      </c>
      <c r="E86" s="233">
        <f>ITE_LUC_Rates!H67</f>
        <v>33.979999999999997</v>
      </c>
      <c r="F86" s="136" t="s">
        <v>71</v>
      </c>
      <c r="G86" s="137">
        <f>ITE_LUC_Rates!Q67</f>
        <v>0</v>
      </c>
      <c r="H86" s="104">
        <f>FEE_1_Out!$H84</f>
        <v>39233.098670106643</v>
      </c>
      <c r="I86" s="104">
        <f>FEE_1_Out!$H84</f>
        <v>39233.098670106643</v>
      </c>
      <c r="J86" s="104">
        <f>FEE_2_In!$H84</f>
        <v>49262.344111871491</v>
      </c>
      <c r="K86" s="104">
        <f>FEE_2_Out!$H84</f>
        <v>42955.72051676931</v>
      </c>
      <c r="L86" s="104">
        <f>FEE_3_In!$H84</f>
        <v>49002.342990269863</v>
      </c>
      <c r="M86" s="104">
        <f>FEE_3_Out!$H84</f>
        <v>47366.304979957582</v>
      </c>
      <c r="N86" s="104">
        <f>FEE_4_In!$H84</f>
        <v>45998.574443796882</v>
      </c>
      <c r="O86" s="104">
        <f>FEE_4_Out!$H84</f>
        <v>49629.638640137491</v>
      </c>
      <c r="P86" s="141">
        <f t="shared" si="35"/>
        <v>0</v>
      </c>
      <c r="Q86" s="139">
        <f t="shared" si="36"/>
        <v>0</v>
      </c>
      <c r="R86" s="139">
        <f t="shared" si="37"/>
        <v>0</v>
      </c>
      <c r="S86" s="139">
        <f t="shared" si="38"/>
        <v>0</v>
      </c>
      <c r="T86" s="139">
        <f t="shared" si="39"/>
        <v>0</v>
      </c>
      <c r="U86" s="139">
        <f t="shared" si="40"/>
        <v>0</v>
      </c>
      <c r="V86" s="139">
        <f t="shared" si="41"/>
        <v>0</v>
      </c>
      <c r="W86" s="139">
        <f t="shared" si="42"/>
        <v>0</v>
      </c>
    </row>
    <row r="87" spans="2:23" s="20" customFormat="1" x14ac:dyDescent="0.25">
      <c r="B87" s="55">
        <f>ITE_LUC_Rates!B68</f>
        <v>750</v>
      </c>
      <c r="C87" s="56" t="str">
        <f>ITE_LUC_Rates!C68</f>
        <v>Office Park</v>
      </c>
      <c r="D87" s="57" t="str">
        <f>ITE_LUC_Rates!D68</f>
        <v>1000 GSF</v>
      </c>
      <c r="E87" s="129">
        <f>ITE_LUC_Rates!H68</f>
        <v>11.07</v>
      </c>
      <c r="F87" s="58" t="s">
        <v>71</v>
      </c>
      <c r="G87" s="104">
        <f>ITE_LUC_Rates!Q68</f>
        <v>11350.1</v>
      </c>
      <c r="H87" s="104">
        <f>FEE_1_Out!$H85</f>
        <v>12781.35380453445</v>
      </c>
      <c r="I87" s="104">
        <f>FEE_1_Out!$H85</f>
        <v>12781.35380453445</v>
      </c>
      <c r="J87" s="104">
        <f>FEE_2_In!$H85</f>
        <v>16048.680085886324</v>
      </c>
      <c r="K87" s="104">
        <f>FEE_2_Out!$H85</f>
        <v>13994.109067705598</v>
      </c>
      <c r="L87" s="104">
        <f>FEE_3_In!$H85</f>
        <v>15963.976954157957</v>
      </c>
      <c r="M87" s="104">
        <f>FEE_3_Out!$H85</f>
        <v>15430.988703005603</v>
      </c>
      <c r="N87" s="104">
        <f>FEE_4_In!$H85</f>
        <v>14985.409626039773</v>
      </c>
      <c r="O87" s="104">
        <f>FEE_4_Out!$H85</f>
        <v>16168.337249744613</v>
      </c>
      <c r="P87" s="141">
        <f t="shared" si="35"/>
        <v>0.12610054576915175</v>
      </c>
      <c r="Q87" s="139">
        <f t="shared" si="36"/>
        <v>0.12610054576915175</v>
      </c>
      <c r="R87" s="139">
        <f t="shared" si="37"/>
        <v>0.23295028834156506</v>
      </c>
      <c r="S87" s="139">
        <f t="shared" si="38"/>
        <v>0.41396816643785717</v>
      </c>
      <c r="T87" s="139">
        <f t="shared" si="39"/>
        <v>0.35954649765249669</v>
      </c>
      <c r="U87" s="139">
        <f t="shared" si="40"/>
        <v>0.40650540119980949</v>
      </c>
      <c r="V87" s="139">
        <f t="shared" si="41"/>
        <v>0.42451055495058299</v>
      </c>
      <c r="W87" s="139">
        <f t="shared" si="42"/>
        <v>0.32028877508037579</v>
      </c>
    </row>
    <row r="88" spans="2:23" s="20" customFormat="1" x14ac:dyDescent="0.25">
      <c r="B88" s="55">
        <f>ITE_LUC_Rates!B69</f>
        <v>760</v>
      </c>
      <c r="C88" s="56" t="str">
        <f>ITE_LUC_Rates!C69</f>
        <v>Research Center</v>
      </c>
      <c r="D88" s="57" t="str">
        <f>ITE_LUC_Rates!D69</f>
        <v>1000 GSF</v>
      </c>
      <c r="E88" s="129">
        <f>ITE_LUC_Rates!H69</f>
        <v>11.26</v>
      </c>
      <c r="F88" s="58" t="s">
        <v>71</v>
      </c>
      <c r="G88" s="104">
        <f>ITE_LUC_Rates!Q69</f>
        <v>8060.1</v>
      </c>
      <c r="H88" s="104">
        <f>FEE_1_Out!$H86</f>
        <v>13000.726634061237</v>
      </c>
      <c r="I88" s="104">
        <f>FEE_1_Out!$H86</f>
        <v>13000.726634061237</v>
      </c>
      <c r="J88" s="104">
        <f>FEE_2_In!$H86</f>
        <v>16324.131686276427</v>
      </c>
      <c r="K88" s="104">
        <f>FEE_2_Out!$H86</f>
        <v>14234.297028217254</v>
      </c>
      <c r="L88" s="104">
        <f>FEE_3_In!$H86</f>
        <v>16237.974751925804</v>
      </c>
      <c r="M88" s="104">
        <f>FEE_3_Out!$H86</f>
        <v>15695.838554276705</v>
      </c>
      <c r="N88" s="104">
        <f>FEE_4_In!$H86</f>
        <v>15242.611778609566</v>
      </c>
      <c r="O88" s="104">
        <f>FEE_4_Out!$H86</f>
        <v>16445.842586461098</v>
      </c>
      <c r="P88" s="141">
        <f t="shared" si="35"/>
        <v>0.6129733668392745</v>
      </c>
      <c r="Q88" s="139">
        <f t="shared" si="36"/>
        <v>0.6129733668392745</v>
      </c>
      <c r="R88" s="139">
        <f t="shared" si="37"/>
        <v>0.76601990399836883</v>
      </c>
      <c r="S88" s="139">
        <f t="shared" si="38"/>
        <v>1.0253013841362297</v>
      </c>
      <c r="T88" s="139">
        <f t="shared" si="39"/>
        <v>0.94735034978185184</v>
      </c>
      <c r="U88" s="139">
        <f t="shared" si="40"/>
        <v>1.0146120708087745</v>
      </c>
      <c r="V88" s="139">
        <f t="shared" si="41"/>
        <v>1.040401804749457</v>
      </c>
      <c r="W88" s="139">
        <f t="shared" si="42"/>
        <v>0.8911194375515894</v>
      </c>
    </row>
    <row r="89" spans="2:23" s="20" customFormat="1" x14ac:dyDescent="0.25">
      <c r="B89" s="55">
        <f>ITE_LUC_Rates!B70</f>
        <v>770</v>
      </c>
      <c r="C89" s="56" t="str">
        <f>ITE_LUC_Rates!C70</f>
        <v>Business Park</v>
      </c>
      <c r="D89" s="57" t="str">
        <f>ITE_LUC_Rates!D70</f>
        <v>1000 GSF</v>
      </c>
      <c r="E89" s="129">
        <f>ITE_LUC_Rates!H70</f>
        <v>12.44</v>
      </c>
      <c r="F89" s="58" t="s">
        <v>71</v>
      </c>
      <c r="G89" s="104">
        <f>ITE_LUC_Rates!Q70</f>
        <v>12682.3</v>
      </c>
      <c r="H89" s="104">
        <f>FEE_1_Out!$H87</f>
        <v>14363.147364806551</v>
      </c>
      <c r="I89" s="104">
        <f>FEE_1_Out!$H87</f>
        <v>14363.147364806551</v>
      </c>
      <c r="J89" s="104">
        <f>FEE_2_In!$H87</f>
        <v>18034.831099225463</v>
      </c>
      <c r="K89" s="104">
        <f>FEE_2_Out!$H87</f>
        <v>15725.990677710717</v>
      </c>
      <c r="L89" s="104">
        <f>FEE_3_In!$H87</f>
        <v>17939.645285431347</v>
      </c>
      <c r="M89" s="104">
        <f>FEE_3_Out!$H87</f>
        <v>17340.695525328789</v>
      </c>
      <c r="N89" s="104">
        <f>FEE_4_In!$H87</f>
        <v>16839.972515621928</v>
      </c>
      <c r="O89" s="104">
        <f>FEE_4_Out!$H87</f>
        <v>18169.296782910842</v>
      </c>
      <c r="P89" s="141">
        <f t="shared" si="35"/>
        <v>0.13253490020000736</v>
      </c>
      <c r="Q89" s="139">
        <f t="shared" si="36"/>
        <v>0.13253490020000736</v>
      </c>
      <c r="R89" s="139">
        <f t="shared" si="37"/>
        <v>0.23999516473437144</v>
      </c>
      <c r="S89" s="139">
        <f t="shared" si="38"/>
        <v>0.42204734939446809</v>
      </c>
      <c r="T89" s="139">
        <f t="shared" si="39"/>
        <v>0.36731472409017218</v>
      </c>
      <c r="U89" s="139">
        <f t="shared" si="40"/>
        <v>0.41454194313581505</v>
      </c>
      <c r="V89" s="139">
        <f t="shared" si="41"/>
        <v>0.43264997539175409</v>
      </c>
      <c r="W89" s="139">
        <f t="shared" si="42"/>
        <v>0.32783268930887366</v>
      </c>
    </row>
    <row r="90" spans="2:23" s="20" customFormat="1" x14ac:dyDescent="0.25">
      <c r="B90" s="105" t="e">
        <f>ITE_LUC_Rates!#REF!</f>
        <v>#REF!</v>
      </c>
      <c r="C90" s="106"/>
      <c r="D90" s="107"/>
      <c r="E90" s="130"/>
      <c r="F90" s="114"/>
      <c r="G90" s="110"/>
      <c r="H90" s="110"/>
      <c r="I90" s="110"/>
      <c r="J90" s="110"/>
      <c r="K90" s="110"/>
      <c r="L90" s="110"/>
      <c r="M90" s="110"/>
      <c r="N90" s="110"/>
      <c r="O90" s="110"/>
      <c r="P90" s="110"/>
      <c r="Q90" s="112"/>
      <c r="R90" s="112"/>
      <c r="S90" s="112"/>
      <c r="T90" s="112"/>
      <c r="U90" s="112"/>
      <c r="V90" s="112"/>
      <c r="W90" s="112"/>
    </row>
    <row r="91" spans="2:23" s="20" customFormat="1" x14ac:dyDescent="0.25">
      <c r="B91" s="134">
        <f>ITE_LUC_Rates!B71</f>
        <v>812</v>
      </c>
      <c r="C91" s="135" t="str">
        <f>ITE_LUC_Rates!C71</f>
        <v>Building Materials and Lumber Store</v>
      </c>
      <c r="D91" s="232" t="str">
        <f>ITE_LUC_Rates!D71</f>
        <v>1000 GSF</v>
      </c>
      <c r="E91" s="233">
        <f>ITE_LUC_Rates!H71</f>
        <v>18.05</v>
      </c>
      <c r="F91" s="136" t="s">
        <v>71</v>
      </c>
      <c r="G91" s="137">
        <f>ITE_LUC_Rates!Q71</f>
        <v>0</v>
      </c>
      <c r="H91" s="104">
        <f>FEE_1_Out!$H89</f>
        <v>7399.2563759930235</v>
      </c>
      <c r="I91" s="104">
        <f>FEE_1_Out!$H89</f>
        <v>7399.2563759930235</v>
      </c>
      <c r="J91" s="104">
        <f>FEE_2_In!$H89</f>
        <v>9290.7449608067564</v>
      </c>
      <c r="K91" s="104">
        <f>FEE_2_Out!$H89</f>
        <v>8101.3327953434291</v>
      </c>
      <c r="L91" s="104">
        <f>FEE_3_In!$H89</f>
        <v>9241.7094519637612</v>
      </c>
      <c r="M91" s="104">
        <f>FEE_3_Out!$H89</f>
        <v>8933.1571048509431</v>
      </c>
      <c r="N91" s="104">
        <f>FEE_4_In!$H89</f>
        <v>8675.2068222229136</v>
      </c>
      <c r="O91" s="104">
        <f>FEE_4_Out!$H89</f>
        <v>9360.0157161705229</v>
      </c>
      <c r="P91" s="141">
        <f t="shared" ref="P91:P128" si="43">IFERROR(H91/$G91-1,0)</f>
        <v>0</v>
      </c>
      <c r="Q91" s="139">
        <f t="shared" ref="Q91:Q128" si="44">IFERROR(I91/$G91-1,0)</f>
        <v>0</v>
      </c>
      <c r="R91" s="139">
        <f t="shared" ref="R91:R128" si="45">IFERROR(K91/$G91-1,0)</f>
        <v>0</v>
      </c>
      <c r="S91" s="139">
        <f t="shared" ref="S91:S128" si="46">IFERROR(J91/$G91-1,0)</f>
        <v>0</v>
      </c>
      <c r="T91" s="139">
        <f t="shared" ref="T91:T128" si="47">IFERROR(M91/$G91-1,0)</f>
        <v>0</v>
      </c>
      <c r="U91" s="139">
        <f t="shared" ref="U91:U128" si="48">IFERROR(L91/$G91-1,0)</f>
        <v>0</v>
      </c>
      <c r="V91" s="139">
        <f t="shared" ref="V91:V128" si="49">IFERROR(O91/$G91-1,0)</f>
        <v>0</v>
      </c>
      <c r="W91" s="139">
        <f t="shared" ref="W91:W128" si="50">IFERROR(N91/$G91-1,0)</f>
        <v>0</v>
      </c>
    </row>
    <row r="92" spans="2:23" s="20" customFormat="1" x14ac:dyDescent="0.25">
      <c r="B92" s="55">
        <f>ITE_LUC_Rates!B72</f>
        <v>813</v>
      </c>
      <c r="C92" s="56" t="str">
        <f>ITE_LUC_Rates!C72</f>
        <v>Discount Superstore (Free standing)</v>
      </c>
      <c r="D92" s="57" t="str">
        <f>ITE_LUC_Rates!D72</f>
        <v>1000 GSF</v>
      </c>
      <c r="E92" s="129">
        <f>ITE_LUC_Rates!H72</f>
        <v>50.7</v>
      </c>
      <c r="F92" s="58" t="s">
        <v>71</v>
      </c>
      <c r="G92" s="104">
        <f>ITE_LUC_Rates!Q72</f>
        <v>20592.7</v>
      </c>
      <c r="H92" s="104">
        <f>FEE_1_Out!$H90</f>
        <v>20783.506828966551</v>
      </c>
      <c r="I92" s="104">
        <f>FEE_1_Out!$H90</f>
        <v>20783.506828966551</v>
      </c>
      <c r="J92" s="104">
        <f>FEE_2_In!$H90</f>
        <v>26096.441524260525</v>
      </c>
      <c r="K92" s="104">
        <f>FEE_2_Out!$H90</f>
        <v>22755.54419523057</v>
      </c>
      <c r="L92" s="104">
        <f>FEE_3_In!$H90</f>
        <v>25958.707435709839</v>
      </c>
      <c r="M92" s="104">
        <f>FEE_3_Out!$H90</f>
        <v>25092.025773736437</v>
      </c>
      <c r="N92" s="104">
        <f>FEE_4_In!$H90</f>
        <v>24367.478442476542</v>
      </c>
      <c r="O92" s="104">
        <f>FEE_4_Out!$H90</f>
        <v>26291.01367367565</v>
      </c>
      <c r="P92" s="141">
        <f t="shared" si="43"/>
        <v>9.2657509198186272E-3</v>
      </c>
      <c r="Q92" s="139">
        <f t="shared" si="44"/>
        <v>9.2657509198186272E-3</v>
      </c>
      <c r="R92" s="139">
        <f t="shared" si="45"/>
        <v>0.10502965590867497</v>
      </c>
      <c r="S92" s="139">
        <f t="shared" si="46"/>
        <v>0.26726662964353998</v>
      </c>
      <c r="T92" s="139">
        <f t="shared" si="47"/>
        <v>0.21849129903977804</v>
      </c>
      <c r="U92" s="139">
        <f t="shared" si="48"/>
        <v>0.26057813864669699</v>
      </c>
      <c r="V92" s="139">
        <f t="shared" si="49"/>
        <v>0.27671522790482306</v>
      </c>
      <c r="W92" s="139">
        <f t="shared" si="50"/>
        <v>0.18330663013963888</v>
      </c>
    </row>
    <row r="93" spans="2:23" s="20" customFormat="1" x14ac:dyDescent="0.25">
      <c r="B93" s="55">
        <f>ITE_LUC_Rates!B73</f>
        <v>816</v>
      </c>
      <c r="C93" s="56" t="str">
        <f>ITE_LUC_Rates!C73</f>
        <v>Hardware/Paint Store/Pool Suply</v>
      </c>
      <c r="D93" s="57" t="str">
        <f>ITE_LUC_Rates!D73</f>
        <v>1000 GSF</v>
      </c>
      <c r="E93" s="129">
        <f>ITE_LUC_Rates!H73</f>
        <v>9.14</v>
      </c>
      <c r="F93" s="58" t="s">
        <v>71</v>
      </c>
      <c r="G93" s="104">
        <f>ITE_LUC_Rates!Q73</f>
        <v>14865.5</v>
      </c>
      <c r="H93" s="104">
        <f>FEE_1_Out!$H91</f>
        <v>3746.7702646302628</v>
      </c>
      <c r="I93" s="104">
        <f>FEE_1_Out!$H91</f>
        <v>3746.7702646302628</v>
      </c>
      <c r="J93" s="104">
        <f>FEE_2_In!$H91</f>
        <v>4704.5655923420354</v>
      </c>
      <c r="K93" s="104">
        <f>FEE_2_Out!$H91</f>
        <v>4102.2815373650383</v>
      </c>
      <c r="L93" s="104">
        <f>FEE_3_In!$H91</f>
        <v>4679.7354233212609</v>
      </c>
      <c r="M93" s="104">
        <f>FEE_3_Out!$H91</f>
        <v>4523.4934037860176</v>
      </c>
      <c r="N93" s="104">
        <f>FEE_4_In!$H91</f>
        <v>4392.8748119178626</v>
      </c>
      <c r="O93" s="104">
        <f>FEE_4_Out!$H91</f>
        <v>4739.6423072464595</v>
      </c>
      <c r="P93" s="141">
        <f t="shared" si="43"/>
        <v>-0.74795531501595891</v>
      </c>
      <c r="Q93" s="139">
        <f t="shared" si="44"/>
        <v>-0.74795531501595891</v>
      </c>
      <c r="R93" s="139">
        <f t="shared" si="45"/>
        <v>-0.72404012395378303</v>
      </c>
      <c r="S93" s="139">
        <f t="shared" si="46"/>
        <v>-0.6835245641019787</v>
      </c>
      <c r="T93" s="139">
        <f t="shared" si="47"/>
        <v>-0.69570526361131368</v>
      </c>
      <c r="U93" s="139">
        <f t="shared" si="48"/>
        <v>-0.68519488592235311</v>
      </c>
      <c r="V93" s="139">
        <f t="shared" si="49"/>
        <v>-0.68116495864609605</v>
      </c>
      <c r="W93" s="139">
        <f t="shared" si="50"/>
        <v>-0.70449195708735912</v>
      </c>
    </row>
    <row r="94" spans="2:23" s="20" customFormat="1" x14ac:dyDescent="0.25">
      <c r="B94" s="55">
        <f>ITE_LUC_Rates!B74</f>
        <v>817</v>
      </c>
      <c r="C94" s="56" t="str">
        <f>ITE_LUC_Rates!C74</f>
        <v>Nursery Garden Center</v>
      </c>
      <c r="D94" s="57" t="str">
        <f>ITE_LUC_Rates!D74</f>
        <v>1000 GSF</v>
      </c>
      <c r="E94" s="129">
        <f>ITE_LUC_Rates!H74</f>
        <v>68.099999999999994</v>
      </c>
      <c r="F94" s="58" t="s">
        <v>71</v>
      </c>
      <c r="G94" s="104">
        <f>ITE_LUC_Rates!Q74</f>
        <v>17723.2</v>
      </c>
      <c r="H94" s="104">
        <f>FEE_1_Out!$H92</f>
        <v>27916.307989203597</v>
      </c>
      <c r="I94" s="104">
        <f>FEE_1_Out!$H92</f>
        <v>27916.307989203597</v>
      </c>
      <c r="J94" s="104">
        <f>FEE_2_In!$H92</f>
        <v>35052.616721935738</v>
      </c>
      <c r="K94" s="104">
        <f>FEE_2_Out!$H92</f>
        <v>30565.139244481299</v>
      </c>
      <c r="L94" s="104">
        <f>FEE_3_In!$H92</f>
        <v>34867.612946190136</v>
      </c>
      <c r="M94" s="104">
        <f>FEE_3_Out!$H92</f>
        <v>33703.490240462561</v>
      </c>
      <c r="N94" s="104">
        <f>FEE_4_In!$H92</f>
        <v>32730.281694924117</v>
      </c>
      <c r="O94" s="104">
        <f>FEE_4_Out!$H92</f>
        <v>35313.965111978541</v>
      </c>
      <c r="P94" s="141">
        <f t="shared" si="43"/>
        <v>0.57512796725216631</v>
      </c>
      <c r="Q94" s="139">
        <f t="shared" si="44"/>
        <v>0.57512796725216631</v>
      </c>
      <c r="R94" s="139">
        <f t="shared" si="45"/>
        <v>0.72458355401289265</v>
      </c>
      <c r="S94" s="139">
        <f t="shared" si="46"/>
        <v>0.97778147975172303</v>
      </c>
      <c r="T94" s="139">
        <f t="shared" si="47"/>
        <v>0.9016594204467907</v>
      </c>
      <c r="U94" s="139">
        <f t="shared" si="48"/>
        <v>0.9673429711446091</v>
      </c>
      <c r="V94" s="139">
        <f t="shared" si="49"/>
        <v>0.99252759727241924</v>
      </c>
      <c r="W94" s="139">
        <f t="shared" si="50"/>
        <v>0.84674786127359147</v>
      </c>
    </row>
    <row r="95" spans="2:23" s="20" customFormat="1" x14ac:dyDescent="0.25">
      <c r="B95" s="134">
        <f>ITE_LUC_Rates!B75</f>
        <v>820</v>
      </c>
      <c r="C95" s="135" t="str">
        <f>ITE_LUC_Rates!C75</f>
        <v>Shopping Center/General Retail…</v>
      </c>
      <c r="D95" s="232" t="str">
        <f>ITE_LUC_Rates!D75</f>
        <v>1000 GSF</v>
      </c>
      <c r="E95" s="233">
        <f>ITE_LUC_Rates!H75</f>
        <v>37.75</v>
      </c>
      <c r="F95" s="136" t="s">
        <v>71</v>
      </c>
      <c r="G95" s="137">
        <f>ITE_LUC_Rates!Q75</f>
        <v>0</v>
      </c>
      <c r="H95" s="104">
        <f>FEE_1_Out!$H93</f>
        <v>15474.899068905077</v>
      </c>
      <c r="I95" s="104">
        <f>FEE_1_Out!$H93</f>
        <v>15474.899068905077</v>
      </c>
      <c r="J95" s="104">
        <f>FEE_2_In!$H93</f>
        <v>19430.782397255123</v>
      </c>
      <c r="K95" s="104">
        <f>FEE_2_Out!$H93</f>
        <v>16943.230638460635</v>
      </c>
      <c r="L95" s="104">
        <f>FEE_3_In!$H93</f>
        <v>19328.228909231682</v>
      </c>
      <c r="M95" s="104">
        <f>FEE_3_Out!$H93</f>
        <v>18682.918598787983</v>
      </c>
      <c r="N95" s="104">
        <f>FEE_4_In!$H93</f>
        <v>18143.438090798616</v>
      </c>
      <c r="O95" s="104">
        <f>FEE_4_Out!$H93</f>
        <v>19575.656137697351</v>
      </c>
      <c r="P95" s="141">
        <f t="shared" si="43"/>
        <v>0</v>
      </c>
      <c r="Q95" s="139">
        <f t="shared" si="44"/>
        <v>0</v>
      </c>
      <c r="R95" s="139">
        <f t="shared" si="45"/>
        <v>0</v>
      </c>
      <c r="S95" s="139">
        <f t="shared" si="46"/>
        <v>0</v>
      </c>
      <c r="T95" s="139">
        <f t="shared" si="47"/>
        <v>0</v>
      </c>
      <c r="U95" s="139">
        <f t="shared" si="48"/>
        <v>0</v>
      </c>
      <c r="V95" s="139">
        <f t="shared" si="49"/>
        <v>0</v>
      </c>
      <c r="W95" s="139">
        <f t="shared" si="50"/>
        <v>0</v>
      </c>
    </row>
    <row r="96" spans="2:23" s="20" customFormat="1" x14ac:dyDescent="0.25">
      <c r="B96" s="55">
        <f>ITE_LUC_Rates!B76</f>
        <v>820</v>
      </c>
      <c r="C96" s="56" t="str">
        <f>ITE_LUC_Rates!C76</f>
        <v>1 - 10,000</v>
      </c>
      <c r="D96" s="57" t="str">
        <f>ITE_LUC_Rates!D76</f>
        <v>1000 GSF</v>
      </c>
      <c r="E96" s="129">
        <f>ITE_LUC_Rates!H76</f>
        <v>156.80137359044605</v>
      </c>
      <c r="F96" s="58" t="s">
        <v>71</v>
      </c>
      <c r="G96" s="104">
        <f>ITE_LUC_Rates!Q76</f>
        <v>18799.7</v>
      </c>
      <c r="H96" s="104">
        <f>FEE_1_Out!$H94</f>
        <v>15020.90943270676</v>
      </c>
      <c r="I96" s="104">
        <f>FEE_1_Out!$H94</f>
        <v>15020.90943270676</v>
      </c>
      <c r="J96" s="104">
        <f>FEE_2_In!$H94</f>
        <v>18860.738367093789</v>
      </c>
      <c r="K96" s="104">
        <f>FEE_2_Out!$H94</f>
        <v>16446.16431968669</v>
      </c>
      <c r="L96" s="104">
        <f>FEE_3_In!$H94</f>
        <v>18761.19350746342</v>
      </c>
      <c r="M96" s="104">
        <f>FEE_3_Out!$H94</f>
        <v>18134.814770774665</v>
      </c>
      <c r="N96" s="104">
        <f>FEE_4_In!$H94</f>
        <v>17611.161090376714</v>
      </c>
      <c r="O96" s="104">
        <f>FEE_4_Out!$H94</f>
        <v>19001.361923000066</v>
      </c>
      <c r="P96" s="141">
        <f t="shared" si="43"/>
        <v>-0.20100270575026413</v>
      </c>
      <c r="Q96" s="139">
        <f t="shared" si="44"/>
        <v>-0.20100270575026413</v>
      </c>
      <c r="R96" s="139">
        <f t="shared" si="45"/>
        <v>-0.125190065815588</v>
      </c>
      <c r="S96" s="139">
        <f t="shared" si="46"/>
        <v>3.2467734641397072E-3</v>
      </c>
      <c r="T96" s="139">
        <f t="shared" si="47"/>
        <v>-3.5366799960921513E-2</v>
      </c>
      <c r="U96" s="139">
        <f t="shared" si="48"/>
        <v>-2.0482503729624124E-3</v>
      </c>
      <c r="V96" s="139">
        <f t="shared" si="49"/>
        <v>1.0726869205363032E-2</v>
      </c>
      <c r="W96" s="139">
        <f t="shared" si="50"/>
        <v>-6.3221163615551634E-2</v>
      </c>
    </row>
    <row r="97" spans="2:23" s="20" customFormat="1" x14ac:dyDescent="0.25">
      <c r="B97" s="55">
        <f>ITE_LUC_Rates!B77</f>
        <v>820</v>
      </c>
      <c r="C97" s="56" t="str">
        <f>ITE_LUC_Rates!C77</f>
        <v>10,001 - 50,000</v>
      </c>
      <c r="D97" s="57" t="str">
        <f>ITE_LUC_Rates!D77</f>
        <v>1000 GSF</v>
      </c>
      <c r="E97" s="129">
        <f>ITE_LUC_Rates!H77</f>
        <v>88.3774492278785</v>
      </c>
      <c r="F97" s="58" t="s">
        <v>71</v>
      </c>
      <c r="G97" s="104">
        <f>ITE_LUC_Rates!Q77</f>
        <v>14048.1</v>
      </c>
      <c r="H97" s="104">
        <f>FEE_1_Out!$H95</f>
        <v>8017.4970157077887</v>
      </c>
      <c r="I97" s="104">
        <f>FEE_1_Out!$H95</f>
        <v>8017.4970157077887</v>
      </c>
      <c r="J97" s="104">
        <f>FEE_2_In!$H95</f>
        <v>10067.02784872399</v>
      </c>
      <c r="K97" s="104">
        <f>FEE_2_Out!$H95</f>
        <v>8778.2350292200244</v>
      </c>
      <c r="L97" s="104">
        <f>FEE_3_In!$H95</f>
        <v>10013.895205950861</v>
      </c>
      <c r="M97" s="104">
        <f>FEE_3_Out!$H95</f>
        <v>9679.56194373373</v>
      </c>
      <c r="N97" s="104">
        <f>FEE_4_In!$H95</f>
        <v>9400.0587725932892</v>
      </c>
      <c r="O97" s="104">
        <f>FEE_4_Out!$H95</f>
        <v>10142.086482481671</v>
      </c>
      <c r="P97" s="141">
        <f t="shared" si="43"/>
        <v>-0.42928246412626703</v>
      </c>
      <c r="Q97" s="139">
        <f t="shared" si="44"/>
        <v>-0.42928246412626703</v>
      </c>
      <c r="R97" s="139">
        <f t="shared" si="45"/>
        <v>-0.37513008668645409</v>
      </c>
      <c r="S97" s="139">
        <f t="shared" si="46"/>
        <v>-0.28338865407250879</v>
      </c>
      <c r="T97" s="139">
        <f t="shared" si="47"/>
        <v>-0.31097002842137156</v>
      </c>
      <c r="U97" s="139">
        <f t="shared" si="48"/>
        <v>-0.287170848303268</v>
      </c>
      <c r="V97" s="139">
        <f t="shared" si="49"/>
        <v>-0.27804568002209051</v>
      </c>
      <c r="W97" s="139">
        <f t="shared" si="50"/>
        <v>-0.33086618314268201</v>
      </c>
    </row>
    <row r="98" spans="2:23" s="20" customFormat="1" x14ac:dyDescent="0.25">
      <c r="B98" s="55">
        <f>ITE_LUC_Rates!B78</f>
        <v>820</v>
      </c>
      <c r="C98" s="56" t="str">
        <f>ITE_LUC_Rates!C78</f>
        <v>50,001 - 100,000</v>
      </c>
      <c r="D98" s="57" t="str">
        <f>ITE_LUC_Rates!D78</f>
        <v>1000 GSF</v>
      </c>
      <c r="E98" s="129">
        <f>ITE_LUC_Rates!H78</f>
        <v>65.917489686786567</v>
      </c>
      <c r="F98" s="58" t="s">
        <v>71</v>
      </c>
      <c r="G98" s="104">
        <f>ITE_LUC_Rates!Q78</f>
        <v>13383.7</v>
      </c>
      <c r="H98" s="104">
        <f>FEE_1_Out!$H96</f>
        <v>5979.9562157995379</v>
      </c>
      <c r="I98" s="104">
        <f>FEE_1_Out!$H96</f>
        <v>5979.9562157995379</v>
      </c>
      <c r="J98" s="104">
        <f>FEE_2_In!$H96</f>
        <v>7508.6259016573622</v>
      </c>
      <c r="K98" s="104">
        <f>FEE_2_Out!$H96</f>
        <v>6547.3627272812128</v>
      </c>
      <c r="L98" s="104">
        <f>FEE_3_In!$H96</f>
        <v>7468.9962171323123</v>
      </c>
      <c r="M98" s="104">
        <f>FEE_3_Out!$H96</f>
        <v>7219.6293304809205</v>
      </c>
      <c r="N98" s="104">
        <f>FEE_4_In!$H96</f>
        <v>7011.1581926280023</v>
      </c>
      <c r="O98" s="104">
        <f>FEE_4_Out!$H96</f>
        <v>7564.6093766258309</v>
      </c>
      <c r="P98" s="141">
        <f t="shared" si="43"/>
        <v>-0.55319110441809527</v>
      </c>
      <c r="Q98" s="139">
        <f t="shared" si="44"/>
        <v>-0.55319110441809527</v>
      </c>
      <c r="R98" s="139">
        <f t="shared" si="45"/>
        <v>-0.51079576445368535</v>
      </c>
      <c r="S98" s="139">
        <f t="shared" si="46"/>
        <v>-0.43897233936375124</v>
      </c>
      <c r="T98" s="139">
        <f t="shared" si="47"/>
        <v>-0.46056551398485324</v>
      </c>
      <c r="U98" s="139">
        <f t="shared" si="48"/>
        <v>-0.44193338037072616</v>
      </c>
      <c r="V98" s="139">
        <f t="shared" si="49"/>
        <v>-0.43478937987060151</v>
      </c>
      <c r="W98" s="139">
        <f t="shared" si="50"/>
        <v>-0.47614200911347371</v>
      </c>
    </row>
    <row r="99" spans="2:23" s="20" customFormat="1" x14ac:dyDescent="0.25">
      <c r="B99" s="55">
        <f>ITE_LUC_Rates!B79</f>
        <v>820</v>
      </c>
      <c r="C99" s="56" t="str">
        <f>ITE_LUC_Rates!C79</f>
        <v>100,001 - 200,000</v>
      </c>
      <c r="D99" s="57" t="str">
        <f>ITE_LUC_Rates!D79</f>
        <v>1000 GSF</v>
      </c>
      <c r="E99" s="129">
        <f>ITE_LUC_Rates!H79</f>
        <v>52.804515394409307</v>
      </c>
      <c r="F99" s="58" t="s">
        <v>71</v>
      </c>
      <c r="G99" s="104">
        <f>ITE_LUC_Rates!Q79</f>
        <v>20241.2</v>
      </c>
      <c r="H99" s="104">
        <f>FEE_1_Out!$H97</f>
        <v>21646.213142011351</v>
      </c>
      <c r="I99" s="104">
        <f>FEE_1_Out!$H97</f>
        <v>21646.213142011351</v>
      </c>
      <c r="J99" s="104">
        <f>FEE_2_In!$H97</f>
        <v>27179.683396590084</v>
      </c>
      <c r="K99" s="104">
        <f>FEE_2_Out!$H97</f>
        <v>23700.108161049589</v>
      </c>
      <c r="L99" s="104">
        <f>FEE_3_In!$H97</f>
        <v>27036.232079051435</v>
      </c>
      <c r="M99" s="104">
        <f>FEE_3_Out!$H97</f>
        <v>26133.575172508503</v>
      </c>
      <c r="N99" s="104">
        <f>FEE_4_In!$H97</f>
        <v>25378.952476108276</v>
      </c>
      <c r="O99" s="104">
        <f>FEE_4_Out!$H97</f>
        <v>27382.332076257037</v>
      </c>
      <c r="P99" s="141">
        <f t="shared" si="43"/>
        <v>6.9413529929616358E-2</v>
      </c>
      <c r="Q99" s="139">
        <f t="shared" si="44"/>
        <v>6.9413529929616358E-2</v>
      </c>
      <c r="R99" s="139">
        <f t="shared" si="45"/>
        <v>0.17088454049412038</v>
      </c>
      <c r="S99" s="139">
        <f t="shared" si="46"/>
        <v>0.3427901209705988</v>
      </c>
      <c r="T99" s="139">
        <f t="shared" si="47"/>
        <v>0.29110799619135741</v>
      </c>
      <c r="U99" s="139">
        <f t="shared" si="48"/>
        <v>0.33570302546545827</v>
      </c>
      <c r="V99" s="139">
        <f t="shared" si="49"/>
        <v>0.35280181393677434</v>
      </c>
      <c r="W99" s="139">
        <f t="shared" si="50"/>
        <v>0.25382647649883783</v>
      </c>
    </row>
    <row r="100" spans="2:23" s="20" customFormat="1" x14ac:dyDescent="0.25">
      <c r="B100" s="55">
        <f>ITE_LUC_Rates!B80</f>
        <v>820</v>
      </c>
      <c r="C100" s="56" t="str">
        <f>ITE_LUC_Rates!C80</f>
        <v>200,001 - 300,000</v>
      </c>
      <c r="D100" s="57" t="str">
        <f>ITE_LUC_Rates!D80</f>
        <v>1000 GSF</v>
      </c>
      <c r="E100" s="129">
        <f>ITE_LUC_Rates!H80</f>
        <v>44.841430781139344</v>
      </c>
      <c r="F100" s="58" t="s">
        <v>71</v>
      </c>
      <c r="G100" s="104">
        <f>ITE_LUC_Rates!Q80</f>
        <v>18774.5</v>
      </c>
      <c r="H100" s="104">
        <f>FEE_1_Out!$H98</f>
        <v>18381.897097839061</v>
      </c>
      <c r="I100" s="104">
        <f>FEE_1_Out!$H98</f>
        <v>18381.897097839061</v>
      </c>
      <c r="J100" s="104">
        <f>FEE_2_In!$H98</f>
        <v>23080.902884500567</v>
      </c>
      <c r="K100" s="104">
        <f>FEE_2_Out!$H98</f>
        <v>20126.058381017527</v>
      </c>
      <c r="L100" s="104">
        <f>FEE_3_In!$H98</f>
        <v>22959.08447033984</v>
      </c>
      <c r="M100" s="104">
        <f>FEE_3_Out!$H98</f>
        <v>22192.551023502307</v>
      </c>
      <c r="N100" s="104">
        <f>FEE_4_In!$H98</f>
        <v>21551.727769018089</v>
      </c>
      <c r="O100" s="104">
        <f>FEE_4_Out!$H98</f>
        <v>23252.991515071288</v>
      </c>
      <c r="P100" s="141">
        <f t="shared" si="43"/>
        <v>-2.0911497092382714E-2</v>
      </c>
      <c r="Q100" s="139">
        <f t="shared" si="44"/>
        <v>-2.0911497092382714E-2</v>
      </c>
      <c r="R100" s="139">
        <f t="shared" si="45"/>
        <v>7.1989047964927222E-2</v>
      </c>
      <c r="S100" s="139">
        <f t="shared" si="46"/>
        <v>0.22937510370452308</v>
      </c>
      <c r="T100" s="139">
        <f t="shared" si="47"/>
        <v>0.18205816525086194</v>
      </c>
      <c r="U100" s="139">
        <f t="shared" si="48"/>
        <v>0.22288659992755289</v>
      </c>
      <c r="V100" s="139">
        <f t="shared" si="49"/>
        <v>0.23854118698614002</v>
      </c>
      <c r="W100" s="139">
        <f t="shared" si="50"/>
        <v>0.14792552499497136</v>
      </c>
    </row>
    <row r="101" spans="2:23" s="20" customFormat="1" x14ac:dyDescent="0.25">
      <c r="B101" s="55">
        <f>ITE_LUC_Rates!B81</f>
        <v>820</v>
      </c>
      <c r="C101" s="56" t="str">
        <f>ITE_LUC_Rates!C81</f>
        <v>300,001 - 400,000</v>
      </c>
      <c r="D101" s="57" t="str">
        <f>ITE_LUC_Rates!D81</f>
        <v>1000 GSF</v>
      </c>
      <c r="E101" s="129">
        <f>ITE_LUC_Rates!H81</f>
        <v>40.264145799881483</v>
      </c>
      <c r="F101" s="58" t="s">
        <v>71</v>
      </c>
      <c r="G101" s="104">
        <f>ITE_LUC_Rates!Q81</f>
        <v>25847.3</v>
      </c>
      <c r="H101" s="104">
        <f>FEE_1_Out!$H99</f>
        <v>16505.525625134949</v>
      </c>
      <c r="I101" s="104">
        <f>FEE_1_Out!$H99</f>
        <v>16505.525625134949</v>
      </c>
      <c r="J101" s="104">
        <f>FEE_2_In!$H99</f>
        <v>20724.870343015915</v>
      </c>
      <c r="K101" s="104">
        <f>FEE_2_Out!$H99</f>
        <v>18071.647913854253</v>
      </c>
      <c r="L101" s="104">
        <f>FEE_3_In!$H99</f>
        <v>20615.486804100368</v>
      </c>
      <c r="M101" s="104">
        <f>FEE_3_Out!$H99</f>
        <v>19927.19889877925</v>
      </c>
      <c r="N101" s="104">
        <f>FEE_4_In!$H99</f>
        <v>19351.789048981154</v>
      </c>
      <c r="O101" s="104">
        <f>FEE_4_Out!$H99</f>
        <v>20879.392658452743</v>
      </c>
      <c r="P101" s="141">
        <f t="shared" si="43"/>
        <v>-0.36142167169743267</v>
      </c>
      <c r="Q101" s="139">
        <f t="shared" si="44"/>
        <v>-0.36142167169743267</v>
      </c>
      <c r="R101" s="139">
        <f t="shared" si="45"/>
        <v>-0.30083034151132793</v>
      </c>
      <c r="S101" s="139">
        <f t="shared" si="46"/>
        <v>-0.19818045432149911</v>
      </c>
      <c r="T101" s="139">
        <f t="shared" si="47"/>
        <v>-0.22904137380773815</v>
      </c>
      <c r="U101" s="139">
        <f t="shared" si="48"/>
        <v>-0.20241236786432748</v>
      </c>
      <c r="V101" s="139">
        <f t="shared" si="49"/>
        <v>-0.19220217746330392</v>
      </c>
      <c r="W101" s="139">
        <f t="shared" si="50"/>
        <v>-0.25130326769213207</v>
      </c>
    </row>
    <row r="102" spans="2:23" s="20" customFormat="1" x14ac:dyDescent="0.25">
      <c r="B102" s="55">
        <f>ITE_LUC_Rates!B82</f>
        <v>820</v>
      </c>
      <c r="C102" s="56" t="str">
        <f>ITE_LUC_Rates!C82</f>
        <v>400,001 - 500,000</v>
      </c>
      <c r="D102" s="57" t="str">
        <f>ITE_LUC_Rates!D82</f>
        <v>1000 GSF</v>
      </c>
      <c r="E102" s="129">
        <f>ITE_LUC_Rates!H82</f>
        <v>37.152860747503944</v>
      </c>
      <c r="F102" s="58" t="s">
        <v>71</v>
      </c>
      <c r="G102" s="104">
        <f>ITE_LUC_Rates!Q82</f>
        <v>24653.1</v>
      </c>
      <c r="H102" s="104">
        <f>FEE_1_Out!$H100</f>
        <v>15230.113117581692</v>
      </c>
      <c r="I102" s="104">
        <f>FEE_1_Out!$H100</f>
        <v>15230.113117581692</v>
      </c>
      <c r="J102" s="104">
        <f>FEE_2_In!$H100</f>
        <v>19123.421261464115</v>
      </c>
      <c r="K102" s="104">
        <f>FEE_2_Out!$H100</f>
        <v>16675.218239034974</v>
      </c>
      <c r="L102" s="104">
        <f>FEE_3_In!$H100</f>
        <v>19022.489991008337</v>
      </c>
      <c r="M102" s="104">
        <f>FEE_3_Out!$H100</f>
        <v>18387.387365767456</v>
      </c>
      <c r="N102" s="104">
        <f>FEE_4_In!$H100</f>
        <v>17856.440499825156</v>
      </c>
      <c r="O102" s="104">
        <f>FEE_4_Out!$H100</f>
        <v>19266.003351652733</v>
      </c>
      <c r="P102" s="141">
        <f t="shared" si="43"/>
        <v>-0.38222320448212632</v>
      </c>
      <c r="Q102" s="139">
        <f t="shared" si="44"/>
        <v>-0.38222320448212632</v>
      </c>
      <c r="R102" s="139">
        <f t="shared" si="45"/>
        <v>-0.32360562205016918</v>
      </c>
      <c r="S102" s="139">
        <f t="shared" si="46"/>
        <v>-0.22429952981717849</v>
      </c>
      <c r="T102" s="139">
        <f t="shared" si="47"/>
        <v>-0.254155162402803</v>
      </c>
      <c r="U102" s="139">
        <f t="shared" si="48"/>
        <v>-0.22839358981189639</v>
      </c>
      <c r="V102" s="139">
        <f t="shared" si="49"/>
        <v>-0.21851599386475806</v>
      </c>
      <c r="W102" s="139">
        <f t="shared" si="50"/>
        <v>-0.27569188054138605</v>
      </c>
    </row>
    <row r="103" spans="2:23" s="20" customFormat="1" x14ac:dyDescent="0.25">
      <c r="B103" s="55">
        <f>ITE_LUC_Rates!B83</f>
        <v>820</v>
      </c>
      <c r="C103" s="56" t="str">
        <f>ITE_LUC_Rates!C83</f>
        <v>500,001 - 600,000</v>
      </c>
      <c r="D103" s="57" t="str">
        <f>ITE_LUC_Rates!D83</f>
        <v>1000 GSF</v>
      </c>
      <c r="E103" s="129">
        <f>ITE_LUC_Rates!H83</f>
        <v>34.84209042728628</v>
      </c>
      <c r="F103" s="58" t="s">
        <v>71</v>
      </c>
      <c r="G103" s="104">
        <f>ITE_LUC_Rates!Q83</f>
        <v>23479</v>
      </c>
      <c r="H103" s="104">
        <f>FEE_1_Out!$H101</f>
        <v>14282.856495679975</v>
      </c>
      <c r="I103" s="104">
        <f>FEE_1_Out!$H101</f>
        <v>14282.856495679975</v>
      </c>
      <c r="J103" s="104">
        <f>FEE_2_In!$H101</f>
        <v>17934.015294253921</v>
      </c>
      <c r="K103" s="104">
        <f>FEE_2_Out!$H101</f>
        <v>15638.081431406963</v>
      </c>
      <c r="L103" s="104">
        <f>FEE_3_In!$H101</f>
        <v>17839.361574959981</v>
      </c>
      <c r="M103" s="104">
        <f>FEE_3_Out!$H101</f>
        <v>17243.759980519193</v>
      </c>
      <c r="N103" s="104">
        <f>FEE_4_In!$H101</f>
        <v>16745.836042952997</v>
      </c>
      <c r="O103" s="104">
        <f>FEE_4_Out!$H101</f>
        <v>18067.729306572528</v>
      </c>
      <c r="P103" s="141">
        <f t="shared" si="43"/>
        <v>-0.39167526318497492</v>
      </c>
      <c r="Q103" s="139">
        <f t="shared" si="44"/>
        <v>-0.39167526318497492</v>
      </c>
      <c r="R103" s="139">
        <f t="shared" si="45"/>
        <v>-0.33395453676021281</v>
      </c>
      <c r="S103" s="139">
        <f t="shared" si="46"/>
        <v>-0.23616783959053111</v>
      </c>
      <c r="T103" s="139">
        <f t="shared" si="47"/>
        <v>-0.26556667743433737</v>
      </c>
      <c r="U103" s="139">
        <f t="shared" si="48"/>
        <v>-0.24019925997870517</v>
      </c>
      <c r="V103" s="139">
        <f t="shared" si="49"/>
        <v>-0.23047279242844554</v>
      </c>
      <c r="W103" s="139">
        <f t="shared" si="50"/>
        <v>-0.2867738812150008</v>
      </c>
    </row>
    <row r="104" spans="2:23" s="20" customFormat="1" x14ac:dyDescent="0.25">
      <c r="B104" s="55">
        <f>ITE_LUC_Rates!B84</f>
        <v>820</v>
      </c>
      <c r="C104" s="56" t="str">
        <f>ITE_LUC_Rates!C84</f>
        <v>600,001 - 800,000</v>
      </c>
      <c r="D104" s="57" t="str">
        <f>ITE_LUC_Rates!D84</f>
        <v>1000 GSF</v>
      </c>
      <c r="E104" s="129">
        <f>ITE_LUC_Rates!H84</f>
        <v>32.254394347161764</v>
      </c>
      <c r="F104" s="58" t="s">
        <v>71</v>
      </c>
      <c r="G104" s="104">
        <f>ITE_LUC_Rates!Q84</f>
        <v>21864.3</v>
      </c>
      <c r="H104" s="104">
        <f>FEE_1_Out!$H102</f>
        <v>13222.079392079224</v>
      </c>
      <c r="I104" s="104">
        <f>FEE_1_Out!$H102</f>
        <v>13222.079392079224</v>
      </c>
      <c r="J104" s="104">
        <f>FEE_2_In!$H102</f>
        <v>16602.069348740555</v>
      </c>
      <c r="K104" s="104">
        <f>FEE_2_Out!$H102</f>
        <v>14476.65278219398</v>
      </c>
      <c r="L104" s="104">
        <f>FEE_3_In!$H102</f>
        <v>16514.445490611153</v>
      </c>
      <c r="M104" s="104">
        <f>FEE_3_Out!$H102</f>
        <v>15963.078782549152</v>
      </c>
      <c r="N104" s="104">
        <f>FEE_4_In!$H102</f>
        <v>15502.135284607526</v>
      </c>
      <c r="O104" s="104">
        <f>FEE_4_Out!$H102</f>
        <v>16725.852521052395</v>
      </c>
      <c r="P104" s="141">
        <f t="shared" si="43"/>
        <v>-0.39526628375574679</v>
      </c>
      <c r="Q104" s="139">
        <f t="shared" si="44"/>
        <v>-0.39526628375574679</v>
      </c>
      <c r="R104" s="139">
        <f t="shared" si="45"/>
        <v>-0.33788629033657691</v>
      </c>
      <c r="S104" s="139">
        <f t="shared" si="46"/>
        <v>-0.24067684084372443</v>
      </c>
      <c r="T104" s="139">
        <f t="shared" si="47"/>
        <v>-0.26990213349848147</v>
      </c>
      <c r="U104" s="139">
        <f t="shared" si="48"/>
        <v>-0.2446844632295041</v>
      </c>
      <c r="V104" s="139">
        <f t="shared" si="49"/>
        <v>-0.23501541229070244</v>
      </c>
      <c r="W104" s="139">
        <f t="shared" si="50"/>
        <v>-0.29098414837851994</v>
      </c>
    </row>
    <row r="105" spans="2:23" s="20" customFormat="1" x14ac:dyDescent="0.25">
      <c r="B105" s="55">
        <f>ITE_LUC_Rates!B85</f>
        <v>820</v>
      </c>
      <c r="C105" s="56" t="str">
        <f>ITE_LUC_Rates!C85</f>
        <v>800,001 - 1,000,000</v>
      </c>
      <c r="D105" s="57" t="str">
        <f>ITE_LUC_Rates!D85</f>
        <v>1000 GSF</v>
      </c>
      <c r="E105" s="129">
        <f>ITE_LUC_Rates!H85</f>
        <v>29.762037611107274</v>
      </c>
      <c r="F105" s="58" t="s">
        <v>71</v>
      </c>
      <c r="G105" s="104">
        <f>ITE_LUC_Rates!Q85</f>
        <v>20513.7</v>
      </c>
      <c r="H105" s="104">
        <f>FEE_1_Out!$H103</f>
        <v>12200.384850777269</v>
      </c>
      <c r="I105" s="104">
        <f>FEE_1_Out!$H103</f>
        <v>12200.384850777269</v>
      </c>
      <c r="J105" s="104">
        <f>FEE_2_In!$H103</f>
        <v>15319.196729015843</v>
      </c>
      <c r="K105" s="104">
        <f>FEE_2_Out!$H103</f>
        <v>13358.015033523985</v>
      </c>
      <c r="L105" s="104">
        <f>FEE_3_In!$H103</f>
        <v>15238.34372854687</v>
      </c>
      <c r="M105" s="104">
        <f>FEE_3_Out!$H103</f>
        <v>14729.582146288305</v>
      </c>
      <c r="N105" s="104">
        <f>FEE_4_In!$H103</f>
        <v>14304.256605381315</v>
      </c>
      <c r="O105" s="104">
        <f>FEE_4_Out!$H103</f>
        <v>15433.414946549708</v>
      </c>
      <c r="P105" s="141">
        <f t="shared" si="43"/>
        <v>-0.40525673814196028</v>
      </c>
      <c r="Q105" s="139">
        <f t="shared" si="44"/>
        <v>-0.40525673814196028</v>
      </c>
      <c r="R105" s="139">
        <f t="shared" si="45"/>
        <v>-0.34882468625728247</v>
      </c>
      <c r="S105" s="139">
        <f t="shared" si="46"/>
        <v>-0.25322117760248797</v>
      </c>
      <c r="T105" s="139">
        <f t="shared" si="47"/>
        <v>-0.28196365617668662</v>
      </c>
      <c r="U105" s="139">
        <f t="shared" si="48"/>
        <v>-0.25716259238719152</v>
      </c>
      <c r="V105" s="139">
        <f t="shared" si="49"/>
        <v>-0.24765327822139804</v>
      </c>
      <c r="W105" s="139">
        <f t="shared" si="50"/>
        <v>-0.30269738733717888</v>
      </c>
    </row>
    <row r="106" spans="2:23" s="20" customFormat="1" x14ac:dyDescent="0.25">
      <c r="B106" s="55">
        <f>ITE_LUC_Rates!B86</f>
        <v>820</v>
      </c>
      <c r="C106" s="56" t="str">
        <f>ITE_LUC_Rates!C86</f>
        <v>1,000,001 - 1,200,000</v>
      </c>
      <c r="D106" s="57" t="str">
        <f>ITE_LUC_Rates!D86</f>
        <v>1000 GSF</v>
      </c>
      <c r="E106" s="129">
        <f>ITE_LUC_Rates!H86</f>
        <v>27.910949113552771</v>
      </c>
      <c r="F106" s="58" t="s">
        <v>71</v>
      </c>
      <c r="G106" s="104">
        <f>ITE_LUC_Rates!Q86</f>
        <v>19521.3</v>
      </c>
      <c r="H106" s="104">
        <f>FEE_1_Out!$H104</f>
        <v>11441.566104624497</v>
      </c>
      <c r="I106" s="104">
        <f>FEE_1_Out!$H104</f>
        <v>11441.566104624497</v>
      </c>
      <c r="J106" s="104">
        <f>FEE_2_In!$H104</f>
        <v>14366.399436458403</v>
      </c>
      <c r="K106" s="104">
        <f>FEE_2_Out!$H104</f>
        <v>12527.195977993722</v>
      </c>
      <c r="L106" s="104">
        <f>FEE_3_In!$H104</f>
        <v>14290.5751931302</v>
      </c>
      <c r="M106" s="104">
        <f>FEE_3_Out!$H104</f>
        <v>13813.456696779338</v>
      </c>
      <c r="N106" s="104">
        <f>FEE_4_In!$H104</f>
        <v>13414.584829064243</v>
      </c>
      <c r="O106" s="104">
        <f>FEE_4_Out!$H104</f>
        <v>14473.513703938484</v>
      </c>
      <c r="P106" s="141">
        <f t="shared" si="43"/>
        <v>-0.41389322920991445</v>
      </c>
      <c r="Q106" s="139">
        <f t="shared" si="44"/>
        <v>-0.41389322920991445</v>
      </c>
      <c r="R106" s="139">
        <f t="shared" si="45"/>
        <v>-0.35828064842025265</v>
      </c>
      <c r="S106" s="139">
        <f t="shared" si="46"/>
        <v>-0.26406543434820406</v>
      </c>
      <c r="T106" s="139">
        <f t="shared" si="47"/>
        <v>-0.29239053255780412</v>
      </c>
      <c r="U106" s="139">
        <f t="shared" si="48"/>
        <v>-0.26794961436327491</v>
      </c>
      <c r="V106" s="139">
        <f t="shared" si="49"/>
        <v>-0.25857838853260362</v>
      </c>
      <c r="W106" s="139">
        <f t="shared" si="50"/>
        <v>-0.31282318139343979</v>
      </c>
    </row>
    <row r="107" spans="2:23" s="20" customFormat="1" x14ac:dyDescent="0.25">
      <c r="B107" s="55">
        <f>ITE_LUC_Rates!B87</f>
        <v>820</v>
      </c>
      <c r="C107" s="56" t="str">
        <f>ITE_LUC_Rates!C87</f>
        <v>1,200,001 - more</v>
      </c>
      <c r="D107" s="57" t="str">
        <f>ITE_LUC_Rates!D87</f>
        <v>1000 GSF</v>
      </c>
      <c r="E107" s="129">
        <f>ITE_LUC_Rates!H87</f>
        <v>26.458084032221276</v>
      </c>
      <c r="F107" s="58" t="s">
        <v>71</v>
      </c>
      <c r="G107" s="104">
        <f>ITE_LUC_Rates!Q87</f>
        <v>19248.8</v>
      </c>
      <c r="H107" s="104">
        <f>FEE_1_Out!$H105</f>
        <v>10845.991521992933</v>
      </c>
      <c r="I107" s="104">
        <f>FEE_1_Out!$H105</f>
        <v>10845.991521992933</v>
      </c>
      <c r="J107" s="104">
        <f>FEE_2_In!$H105</f>
        <v>13618.576780884296</v>
      </c>
      <c r="K107" s="104">
        <f>FEE_2_Out!$H105</f>
        <v>11875.110463833047</v>
      </c>
      <c r="L107" s="104">
        <f>FEE_3_In!$H105</f>
        <v>13546.699461575112</v>
      </c>
      <c r="M107" s="104">
        <f>FEE_3_Out!$H105</f>
        <v>13094.416695467078</v>
      </c>
      <c r="N107" s="104">
        <f>FEE_4_In!$H105</f>
        <v>12716.307540125936</v>
      </c>
      <c r="O107" s="104">
        <f>FEE_4_Out!$H105</f>
        <v>13720.115366279862</v>
      </c>
      <c r="P107" s="141">
        <f t="shared" si="43"/>
        <v>-0.43653674400518816</v>
      </c>
      <c r="Q107" s="139">
        <f t="shared" si="44"/>
        <v>-0.43653674400518816</v>
      </c>
      <c r="R107" s="139">
        <f t="shared" si="45"/>
        <v>-0.38307268692941654</v>
      </c>
      <c r="S107" s="139">
        <f t="shared" si="46"/>
        <v>-0.29249736186752961</v>
      </c>
      <c r="T107" s="139">
        <f t="shared" si="47"/>
        <v>-0.31972815471784843</v>
      </c>
      <c r="U107" s="139">
        <f t="shared" si="48"/>
        <v>-0.29623148136116995</v>
      </c>
      <c r="V107" s="139">
        <f t="shared" si="49"/>
        <v>-0.28722230132372595</v>
      </c>
      <c r="W107" s="139">
        <f t="shared" si="50"/>
        <v>-0.33937141327636344</v>
      </c>
    </row>
    <row r="108" spans="2:23" s="20" customFormat="1" x14ac:dyDescent="0.25">
      <c r="B108" s="134">
        <f>ITE_LUC_Rates!B88</f>
        <v>823</v>
      </c>
      <c r="C108" s="135" t="str">
        <f>ITE_LUC_Rates!C88</f>
        <v>Factory Outlet Center</v>
      </c>
      <c r="D108" s="232" t="str">
        <f>ITE_LUC_Rates!D88</f>
        <v>1000 GSF</v>
      </c>
      <c r="E108" s="233">
        <f>ITE_LUC_Rates!H88</f>
        <v>26.59</v>
      </c>
      <c r="F108" s="136" t="s">
        <v>71</v>
      </c>
      <c r="G108" s="137">
        <f>ITE_LUC_Rates!Q88</f>
        <v>0</v>
      </c>
      <c r="H108" s="104">
        <f>FEE_1_Out!$H106</f>
        <v>10900.067979925456</v>
      </c>
      <c r="I108" s="104">
        <f>FEE_1_Out!$H106</f>
        <v>10900.067979925456</v>
      </c>
      <c r="J108" s="104">
        <f>FEE_2_In!$H106</f>
        <v>13686.47692564275</v>
      </c>
      <c r="K108" s="104">
        <f>FEE_2_Out!$H106</f>
        <v>11934.317951699823</v>
      </c>
      <c r="L108" s="104">
        <f>FEE_3_In!$H106</f>
        <v>13614.241236992597</v>
      </c>
      <c r="M108" s="104">
        <f>FEE_3_Out!$H106</f>
        <v>13159.703458060196</v>
      </c>
      <c r="N108" s="104">
        <f>FEE_4_In!$H106</f>
        <v>12779.709108194305</v>
      </c>
      <c r="O108" s="104">
        <f>FEE_4_Out!$H106</f>
        <v>13788.521766923781</v>
      </c>
      <c r="P108" s="141">
        <f t="shared" si="43"/>
        <v>0</v>
      </c>
      <c r="Q108" s="139">
        <f t="shared" si="44"/>
        <v>0</v>
      </c>
      <c r="R108" s="139">
        <f t="shared" si="45"/>
        <v>0</v>
      </c>
      <c r="S108" s="139">
        <f t="shared" si="46"/>
        <v>0</v>
      </c>
      <c r="T108" s="139">
        <f t="shared" si="47"/>
        <v>0</v>
      </c>
      <c r="U108" s="139">
        <f t="shared" si="48"/>
        <v>0</v>
      </c>
      <c r="V108" s="139">
        <f t="shared" si="49"/>
        <v>0</v>
      </c>
      <c r="W108" s="139">
        <f t="shared" si="50"/>
        <v>0</v>
      </c>
    </row>
    <row r="109" spans="2:23" s="20" customFormat="1" x14ac:dyDescent="0.25">
      <c r="B109" s="55">
        <f>ITE_LUC_Rates!B89</f>
        <v>840</v>
      </c>
      <c r="C109" s="56" t="str">
        <f>ITE_LUC_Rates!C89</f>
        <v>Car Sales (New &amp; Used Car Sales Area)</v>
      </c>
      <c r="D109" s="57" t="str">
        <f>ITE_LUC_Rates!D89</f>
        <v>1000 GSF</v>
      </c>
      <c r="E109" s="129">
        <f>ITE_LUC_Rates!H89</f>
        <v>27.84</v>
      </c>
      <c r="F109" s="58" t="s">
        <v>71</v>
      </c>
      <c r="G109" s="104">
        <f>ITE_LUC_Rates!Q89</f>
        <v>24316.7</v>
      </c>
      <c r="H109" s="104">
        <f>FEE_1_Out!$H107</f>
        <v>11412.481856379267</v>
      </c>
      <c r="I109" s="104">
        <f>FEE_1_Out!$H107</f>
        <v>11412.481856379267</v>
      </c>
      <c r="J109" s="104">
        <f>FEE_2_In!$H107</f>
        <v>14329.880316280334</v>
      </c>
      <c r="K109" s="104">
        <f>FEE_2_Out!$H107</f>
        <v>12495.352078801168</v>
      </c>
      <c r="L109" s="104">
        <f>FEE_3_In!$H107</f>
        <v>14254.248816768479</v>
      </c>
      <c r="M109" s="104">
        <f>FEE_3_Out!$H107</f>
        <v>13778.343146761785</v>
      </c>
      <c r="N109" s="104">
        <f>FEE_4_In!$H107</f>
        <v>13380.485203916116</v>
      </c>
      <c r="O109" s="104">
        <f>FEE_4_Out!$H107</f>
        <v>14436.722301284617</v>
      </c>
      <c r="P109" s="141">
        <f t="shared" si="43"/>
        <v>-0.53067308243391298</v>
      </c>
      <c r="Q109" s="139">
        <f t="shared" si="44"/>
        <v>-0.53067308243391298</v>
      </c>
      <c r="R109" s="139">
        <f t="shared" si="45"/>
        <v>-0.48614112610670168</v>
      </c>
      <c r="S109" s="139">
        <f t="shared" si="46"/>
        <v>-0.41069798466566876</v>
      </c>
      <c r="T109" s="139">
        <f t="shared" si="47"/>
        <v>-0.43337939988724683</v>
      </c>
      <c r="U109" s="139">
        <f t="shared" si="48"/>
        <v>-0.4138082545424141</v>
      </c>
      <c r="V109" s="139">
        <f t="shared" si="49"/>
        <v>-0.40630421474605449</v>
      </c>
      <c r="W109" s="139">
        <f t="shared" si="50"/>
        <v>-0.44974091040658826</v>
      </c>
    </row>
    <row r="110" spans="2:23" s="20" customFormat="1" x14ac:dyDescent="0.25">
      <c r="B110" s="55">
        <f>ITE_LUC_Rates!B90</f>
        <v>843</v>
      </c>
      <c r="C110" s="56" t="str">
        <f>ITE_LUC_Rates!C90</f>
        <v>Car Sales (Parts Sales)</v>
      </c>
      <c r="D110" s="57" t="str">
        <f>ITE_LUC_Rates!D90</f>
        <v>1000 GSF</v>
      </c>
      <c r="E110" s="129">
        <f>ITE_LUC_Rates!H90</f>
        <v>55.34</v>
      </c>
      <c r="F110" s="58" t="s">
        <v>71</v>
      </c>
      <c r="G110" s="104">
        <f>ITE_LUC_Rates!Q90</f>
        <v>15535</v>
      </c>
      <c r="H110" s="104">
        <f>FEE_1_Out!$H108</f>
        <v>22685.587138363098</v>
      </c>
      <c r="I110" s="104">
        <f>FEE_1_Out!$H108</f>
        <v>22685.587138363098</v>
      </c>
      <c r="J110" s="104">
        <f>FEE_2_In!$H108</f>
        <v>28484.754910307252</v>
      </c>
      <c r="K110" s="104">
        <f>FEE_2_Out!$H108</f>
        <v>24838.102875030771</v>
      </c>
      <c r="L110" s="104">
        <f>FEE_3_In!$H108</f>
        <v>28334.415571837922</v>
      </c>
      <c r="M110" s="104">
        <f>FEE_3_Out!$H108</f>
        <v>27388.416298196742</v>
      </c>
      <c r="N110" s="104">
        <f>FEE_4_In!$H108</f>
        <v>26597.559309795903</v>
      </c>
      <c r="O110" s="104">
        <f>FEE_4_Out!$H108</f>
        <v>28697.134057223095</v>
      </c>
      <c r="P110" s="141">
        <f t="shared" si="43"/>
        <v>0.46028884057696162</v>
      </c>
      <c r="Q110" s="139">
        <f t="shared" si="44"/>
        <v>0.46028884057696162</v>
      </c>
      <c r="R110" s="139">
        <f t="shared" si="45"/>
        <v>0.59884794818350628</v>
      </c>
      <c r="S110" s="139">
        <f t="shared" si="46"/>
        <v>0.83358576828498565</v>
      </c>
      <c r="T110" s="139">
        <f t="shared" si="47"/>
        <v>0.76301360142882158</v>
      </c>
      <c r="U110" s="139">
        <f t="shared" si="48"/>
        <v>0.82390830845432395</v>
      </c>
      <c r="V110" s="139">
        <f t="shared" si="49"/>
        <v>0.84725677870763394</v>
      </c>
      <c r="W110" s="139">
        <f t="shared" si="50"/>
        <v>0.71210552364312218</v>
      </c>
    </row>
    <row r="111" spans="2:23" s="20" customFormat="1" x14ac:dyDescent="0.25">
      <c r="B111" s="55">
        <f>ITE_LUC_Rates!B91</f>
        <v>848</v>
      </c>
      <c r="C111" s="56" t="str">
        <f>ITE_LUC_Rates!C91</f>
        <v>Tire Stores</v>
      </c>
      <c r="D111" s="57" t="str">
        <f>ITE_LUC_Rates!D91</f>
        <v>1000 GSF</v>
      </c>
      <c r="E111" s="129">
        <f>ITE_LUC_Rates!H91</f>
        <v>28.52</v>
      </c>
      <c r="F111" s="58" t="s">
        <v>71</v>
      </c>
      <c r="G111" s="104">
        <f>ITE_LUC_Rates!Q91</f>
        <v>24027.4</v>
      </c>
      <c r="H111" s="104">
        <f>FEE_1_Out!$H109</f>
        <v>11691.23500517014</v>
      </c>
      <c r="I111" s="104">
        <f>FEE_1_Out!$H109</f>
        <v>11691.23500517014</v>
      </c>
      <c r="J111" s="104">
        <f>FEE_2_In!$H109</f>
        <v>14679.891760787183</v>
      </c>
      <c r="K111" s="104">
        <f>FEE_2_Out!$H109</f>
        <v>12800.554643944297</v>
      </c>
      <c r="L111" s="104">
        <f>FEE_3_In!$H109</f>
        <v>14602.412940166558</v>
      </c>
      <c r="M111" s="104">
        <f>FEE_3_Out!$H109</f>
        <v>14114.883137415449</v>
      </c>
      <c r="N111" s="104">
        <f>FEE_4_In!$H109</f>
        <v>13707.307399988777</v>
      </c>
      <c r="O111" s="104">
        <f>FEE_4_Out!$H109</f>
        <v>14789.343391976912</v>
      </c>
      <c r="P111" s="141">
        <f t="shared" si="43"/>
        <v>-0.51342071946319034</v>
      </c>
      <c r="Q111" s="139">
        <f t="shared" si="44"/>
        <v>-0.51342071946319034</v>
      </c>
      <c r="R111" s="139">
        <f t="shared" si="45"/>
        <v>-0.46725177738980095</v>
      </c>
      <c r="S111" s="139">
        <f t="shared" si="46"/>
        <v>-0.38903536126309202</v>
      </c>
      <c r="T111" s="139">
        <f t="shared" si="47"/>
        <v>-0.41255054074034447</v>
      </c>
      <c r="U111" s="139">
        <f t="shared" si="48"/>
        <v>-0.39225996403412122</v>
      </c>
      <c r="V111" s="139">
        <f t="shared" si="49"/>
        <v>-0.38448007724610611</v>
      </c>
      <c r="W111" s="139">
        <f t="shared" si="50"/>
        <v>-0.4295134970912885</v>
      </c>
    </row>
    <row r="112" spans="2:23" s="20" customFormat="1" x14ac:dyDescent="0.25">
      <c r="B112" s="55">
        <f>ITE_LUC_Rates!B92</f>
        <v>850</v>
      </c>
      <c r="C112" s="56" t="str">
        <f>ITE_LUC_Rates!C92</f>
        <v>Supermarket (free standing)</v>
      </c>
      <c r="D112" s="57" t="str">
        <f>ITE_LUC_Rates!D92</f>
        <v>1000 GSF</v>
      </c>
      <c r="E112" s="129">
        <f>ITE_LUC_Rates!H92</f>
        <v>106.78</v>
      </c>
      <c r="F112" s="58" t="s">
        <v>71</v>
      </c>
      <c r="G112" s="104">
        <f>ITE_LUC_Rates!Q92</f>
        <v>19750</v>
      </c>
      <c r="H112" s="104">
        <f>FEE_1_Out!$H110</f>
        <v>9686.9545208283726</v>
      </c>
      <c r="I112" s="104">
        <f>FEE_1_Out!$H110</f>
        <v>9686.9545208283726</v>
      </c>
      <c r="J112" s="104">
        <f>FEE_2_In!$H110</f>
        <v>12163.252538721774</v>
      </c>
      <c r="K112" s="104">
        <f>FEE_2_Out!$H110</f>
        <v>10606.098553525939</v>
      </c>
      <c r="L112" s="104">
        <f>FEE_3_In!$H110</f>
        <v>12099.056257375321</v>
      </c>
      <c r="M112" s="104">
        <f>FEE_3_Out!$H110</f>
        <v>11695.105859944259</v>
      </c>
      <c r="N112" s="104">
        <f>FEE_4_In!$H110</f>
        <v>11357.402646340284</v>
      </c>
      <c r="O112" s="104">
        <f>FEE_4_Out!$H110</f>
        <v>12253.940389329222</v>
      </c>
      <c r="P112" s="141">
        <f t="shared" si="43"/>
        <v>-0.50952129008463931</v>
      </c>
      <c r="Q112" s="139">
        <f t="shared" si="44"/>
        <v>-0.50952129008463931</v>
      </c>
      <c r="R112" s="139">
        <f t="shared" si="45"/>
        <v>-0.46298235172020563</v>
      </c>
      <c r="S112" s="139">
        <f t="shared" si="46"/>
        <v>-0.38413911196345452</v>
      </c>
      <c r="T112" s="139">
        <f t="shared" si="47"/>
        <v>-0.40784274126864517</v>
      </c>
      <c r="U112" s="139">
        <f t="shared" si="48"/>
        <v>-0.38738955658859131</v>
      </c>
      <c r="V112" s="139">
        <f t="shared" si="49"/>
        <v>-0.37954732205927988</v>
      </c>
      <c r="W112" s="139">
        <f t="shared" si="50"/>
        <v>-0.42494163815998565</v>
      </c>
    </row>
    <row r="113" spans="2:23" s="20" customFormat="1" x14ac:dyDescent="0.25">
      <c r="B113" s="55">
        <f>ITE_LUC_Rates!B93</f>
        <v>851</v>
      </c>
      <c r="C113" s="56" t="str">
        <f>ITE_LUC_Rates!C93</f>
        <v>Convenience market</v>
      </c>
      <c r="D113" s="57" t="str">
        <f>ITE_LUC_Rates!D93</f>
        <v>1000 GSF</v>
      </c>
      <c r="E113" s="129">
        <f>ITE_LUC_Rates!H93</f>
        <v>762.28</v>
      </c>
      <c r="F113" s="58" t="s">
        <v>71</v>
      </c>
      <c r="G113" s="104">
        <f>ITE_LUC_Rates!Q93</f>
        <v>52868.6</v>
      </c>
      <c r="H113" s="104">
        <f>FEE_1_Out!$H111</f>
        <v>73023.204964202989</v>
      </c>
      <c r="I113" s="104">
        <f>FEE_1_Out!$H111</f>
        <v>73023.204964202989</v>
      </c>
      <c r="J113" s="104">
        <f>FEE_2_In!$H111</f>
        <v>91690.291438520027</v>
      </c>
      <c r="K113" s="104">
        <f>FEE_2_Out!$H111</f>
        <v>79951.991813256871</v>
      </c>
      <c r="L113" s="104">
        <f>FEE_3_In!$H111</f>
        <v>91206.360374260126</v>
      </c>
      <c r="M113" s="104">
        <f>FEE_3_Out!$H111</f>
        <v>88161.259604605933</v>
      </c>
      <c r="N113" s="104">
        <f>FEE_4_In!$H111</f>
        <v>85615.550224939681</v>
      </c>
      <c r="O113" s="104">
        <f>FEE_4_Out!$H111</f>
        <v>92373.923996970829</v>
      </c>
      <c r="P113" s="141">
        <f t="shared" si="43"/>
        <v>0.38122070499697336</v>
      </c>
      <c r="Q113" s="139">
        <f t="shared" si="44"/>
        <v>0.38122070499697336</v>
      </c>
      <c r="R113" s="139">
        <f t="shared" si="45"/>
        <v>0.51227745416479475</v>
      </c>
      <c r="S113" s="139">
        <f t="shared" si="46"/>
        <v>0.73430526699250653</v>
      </c>
      <c r="T113" s="139">
        <f t="shared" si="47"/>
        <v>0.66755426859432521</v>
      </c>
      <c r="U113" s="139">
        <f t="shared" si="48"/>
        <v>0.72515179850157052</v>
      </c>
      <c r="V113" s="139">
        <f t="shared" si="49"/>
        <v>0.74723605310091123</v>
      </c>
      <c r="W113" s="139">
        <f t="shared" si="50"/>
        <v>0.61940263644090598</v>
      </c>
    </row>
    <row r="114" spans="2:23" s="20" customFormat="1" x14ac:dyDescent="0.25">
      <c r="B114" s="55">
        <f>ITE_LUC_Rates!B94</f>
        <v>853</v>
      </c>
      <c r="C114" s="56" t="str">
        <f>ITE_LUC_Rates!C94</f>
        <v>Convenience market with Gasoline Pump</v>
      </c>
      <c r="D114" s="57" t="str">
        <f>ITE_LUC_Rates!D94</f>
        <v>1000 GSF</v>
      </c>
      <c r="E114" s="129">
        <f>ITE_LUC_Rates!H94</f>
        <v>624.20000000000005</v>
      </c>
      <c r="F114" s="58" t="s">
        <v>71</v>
      </c>
      <c r="G114" s="104">
        <f>ITE_LUC_Rates!Q94</f>
        <v>60577.2</v>
      </c>
      <c r="H114" s="104">
        <f>FEE_1_Out!$H112</f>
        <v>59795.724062884394</v>
      </c>
      <c r="I114" s="104">
        <f>FEE_1_Out!$H112</f>
        <v>59795.724062884394</v>
      </c>
      <c r="J114" s="104">
        <f>FEE_2_In!$H112</f>
        <v>75081.43978055859</v>
      </c>
      <c r="K114" s="104">
        <f>FEE_2_Out!$H112</f>
        <v>65469.425001095311</v>
      </c>
      <c r="L114" s="104">
        <f>FEE_3_In!$H112</f>
        <v>74685.168370694737</v>
      </c>
      <c r="M114" s="104">
        <f>FEE_3_Out!$H112</f>
        <v>72191.659554487895</v>
      </c>
      <c r="N114" s="104">
        <f>FEE_4_In!$H112</f>
        <v>70107.08197828535</v>
      </c>
      <c r="O114" s="104">
        <f>FEE_4_Out!$H112</f>
        <v>75641.238598558528</v>
      </c>
      <c r="P114" s="141">
        <f t="shared" si="43"/>
        <v>-1.2900496178687715E-2</v>
      </c>
      <c r="Q114" s="139">
        <f t="shared" si="44"/>
        <v>-1.2900496178687715E-2</v>
      </c>
      <c r="R114" s="139">
        <f t="shared" si="45"/>
        <v>8.0760170511270157E-2</v>
      </c>
      <c r="S114" s="139">
        <f t="shared" si="46"/>
        <v>0.23943397483803475</v>
      </c>
      <c r="T114" s="139">
        <f t="shared" si="47"/>
        <v>0.19172988442001104</v>
      </c>
      <c r="U114" s="139">
        <f t="shared" si="48"/>
        <v>0.23289238146851843</v>
      </c>
      <c r="V114" s="139">
        <f t="shared" si="49"/>
        <v>0.24867505593785344</v>
      </c>
      <c r="W114" s="139">
        <f t="shared" si="50"/>
        <v>0.15731796745781179</v>
      </c>
    </row>
    <row r="115" spans="2:23" s="20" customFormat="1" x14ac:dyDescent="0.25">
      <c r="B115" s="134">
        <f>ITE_LUC_Rates!B95</f>
        <v>857</v>
      </c>
      <c r="C115" s="135" t="str">
        <f>ITE_LUC_Rates!C95</f>
        <v>Discount Club</v>
      </c>
      <c r="D115" s="232" t="str">
        <f>ITE_LUC_Rates!D95</f>
        <v>1000 GSF</v>
      </c>
      <c r="E115" s="233">
        <f>ITE_LUC_Rates!H95</f>
        <v>41.8</v>
      </c>
      <c r="F115" s="136" t="s">
        <v>71</v>
      </c>
      <c r="G115" s="137">
        <f>ITE_LUC_Rates!Q95</f>
        <v>0</v>
      </c>
      <c r="H115" s="104">
        <f>FEE_1_Out!$H113</f>
        <v>17135.120028615424</v>
      </c>
      <c r="I115" s="104">
        <f>FEE_1_Out!$H113</f>
        <v>17135.120028615424</v>
      </c>
      <c r="J115" s="104">
        <f>FEE_2_In!$H113</f>
        <v>21515.409382920909</v>
      </c>
      <c r="K115" s="104">
        <f>FEE_2_Out!$H113</f>
        <v>18760.981210268998</v>
      </c>
      <c r="L115" s="104">
        <f>FEE_3_In!$H113</f>
        <v>21401.853467705547</v>
      </c>
      <c r="M115" s="104">
        <f>FEE_3_Out!$H113</f>
        <v>20687.311190181132</v>
      </c>
      <c r="N115" s="104">
        <f>FEE_4_In!$H113</f>
        <v>20089.952640937274</v>
      </c>
      <c r="O115" s="104">
        <f>FEE_4_Out!$H113</f>
        <v>21675.825869026474</v>
      </c>
      <c r="P115" s="141">
        <f t="shared" si="43"/>
        <v>0</v>
      </c>
      <c r="Q115" s="139">
        <f t="shared" si="44"/>
        <v>0</v>
      </c>
      <c r="R115" s="139">
        <f t="shared" si="45"/>
        <v>0</v>
      </c>
      <c r="S115" s="139">
        <f t="shared" si="46"/>
        <v>0</v>
      </c>
      <c r="T115" s="139">
        <f t="shared" si="47"/>
        <v>0</v>
      </c>
      <c r="U115" s="139">
        <f t="shared" si="48"/>
        <v>0</v>
      </c>
      <c r="V115" s="139">
        <f t="shared" si="49"/>
        <v>0</v>
      </c>
      <c r="W115" s="139">
        <f t="shared" si="50"/>
        <v>0</v>
      </c>
    </row>
    <row r="116" spans="2:23" s="20" customFormat="1" x14ac:dyDescent="0.25">
      <c r="B116" s="134">
        <f>ITE_LUC_Rates!B96</f>
        <v>861</v>
      </c>
      <c r="C116" s="135" t="str">
        <f>ITE_LUC_Rates!C96</f>
        <v>Sporting Goods Store</v>
      </c>
      <c r="D116" s="232" t="str">
        <f>ITE_LUC_Rates!D96</f>
        <v>1000 GSF</v>
      </c>
      <c r="E116" s="233">
        <f>ITE_LUC_Rates!H96</f>
        <v>28.75</v>
      </c>
      <c r="F116" s="136" t="s">
        <v>71</v>
      </c>
      <c r="G116" s="137">
        <f>ITE_LUC_Rates!Q96</f>
        <v>0</v>
      </c>
      <c r="H116" s="104">
        <f>FEE_1_Out!$H114</f>
        <v>11785.519158437643</v>
      </c>
      <c r="I116" s="104">
        <f>FEE_1_Out!$H114</f>
        <v>11785.519158437643</v>
      </c>
      <c r="J116" s="104">
        <f>FEE_2_In!$H114</f>
        <v>14798.277984664495</v>
      </c>
      <c r="K116" s="104">
        <f>FEE_2_Out!$H114</f>
        <v>12903.784923330946</v>
      </c>
      <c r="L116" s="104">
        <f>FEE_3_In!$H114</f>
        <v>14720.174334845322</v>
      </c>
      <c r="M116" s="104">
        <f>FEE_3_Out!$H114</f>
        <v>14228.712840136544</v>
      </c>
      <c r="N116" s="104">
        <f>FEE_4_In!$H114</f>
        <v>13817.85020160159</v>
      </c>
      <c r="O116" s="104">
        <f>FEE_4_Out!$H114</f>
        <v>14908.61229029931</v>
      </c>
      <c r="P116" s="141">
        <f t="shared" si="43"/>
        <v>0</v>
      </c>
      <c r="Q116" s="139">
        <f t="shared" si="44"/>
        <v>0</v>
      </c>
      <c r="R116" s="139">
        <f t="shared" si="45"/>
        <v>0</v>
      </c>
      <c r="S116" s="139">
        <f t="shared" si="46"/>
        <v>0</v>
      </c>
      <c r="T116" s="139">
        <f t="shared" si="47"/>
        <v>0</v>
      </c>
      <c r="U116" s="139">
        <f t="shared" si="48"/>
        <v>0</v>
      </c>
      <c r="V116" s="139">
        <f t="shared" si="49"/>
        <v>0</v>
      </c>
      <c r="W116" s="139">
        <f t="shared" si="50"/>
        <v>0</v>
      </c>
    </row>
    <row r="117" spans="2:23" s="20" customFormat="1" x14ac:dyDescent="0.25">
      <c r="B117" s="55">
        <f>ITE_LUC_Rates!B97</f>
        <v>862</v>
      </c>
      <c r="C117" s="56" t="str">
        <f>ITE_LUC_Rates!C97</f>
        <v>Home Improvements Superstore</v>
      </c>
      <c r="D117" s="57" t="str">
        <f>ITE_LUC_Rates!D97</f>
        <v>1000 GSF</v>
      </c>
      <c r="E117" s="129">
        <f>ITE_LUC_Rates!H97</f>
        <v>30.74</v>
      </c>
      <c r="F117" s="58" t="s">
        <v>71</v>
      </c>
      <c r="G117" s="104">
        <f>ITE_LUC_Rates!Q97</f>
        <v>22273</v>
      </c>
      <c r="H117" s="104">
        <f>FEE_1_Out!$H115</f>
        <v>12601.282049752108</v>
      </c>
      <c r="I117" s="104">
        <f>FEE_1_Out!$H115</f>
        <v>12601.282049752108</v>
      </c>
      <c r="J117" s="104">
        <f>FEE_2_In!$H115</f>
        <v>15822.576182559535</v>
      </c>
      <c r="K117" s="104">
        <f>FEE_2_Out!$H115</f>
        <v>13796.951253676285</v>
      </c>
      <c r="L117" s="104">
        <f>FEE_3_In!$H115</f>
        <v>15739.066401848529</v>
      </c>
      <c r="M117" s="104">
        <f>FEE_3_Out!$H115</f>
        <v>15213.587224549472</v>
      </c>
      <c r="N117" s="104">
        <f>FEE_4_In!$H115</f>
        <v>14774.28574599071</v>
      </c>
      <c r="O117" s="104">
        <f>FEE_4_Out!$H115</f>
        <v>15940.547541001766</v>
      </c>
      <c r="P117" s="141">
        <f t="shared" si="43"/>
        <v>-0.43423508060197957</v>
      </c>
      <c r="Q117" s="139">
        <f t="shared" si="44"/>
        <v>-0.43423508060197957</v>
      </c>
      <c r="R117" s="139">
        <f t="shared" si="45"/>
        <v>-0.38055263082313628</v>
      </c>
      <c r="S117" s="139">
        <f t="shared" si="46"/>
        <v>-0.28960731906076709</v>
      </c>
      <c r="T117" s="139">
        <f t="shared" si="47"/>
        <v>-0.31694934564048527</v>
      </c>
      <c r="U117" s="139">
        <f t="shared" si="48"/>
        <v>-0.29335669187587976</v>
      </c>
      <c r="V117" s="139">
        <f t="shared" si="49"/>
        <v>-0.28431071068101443</v>
      </c>
      <c r="W117" s="139">
        <f t="shared" si="50"/>
        <v>-0.33667284398191932</v>
      </c>
    </row>
    <row r="118" spans="2:23" s="20" customFormat="1" x14ac:dyDescent="0.25">
      <c r="B118" s="134">
        <f>ITE_LUC_Rates!B98</f>
        <v>863</v>
      </c>
      <c r="C118" s="135" t="str">
        <f>ITE_LUC_Rates!C98</f>
        <v>Electronics Superstore</v>
      </c>
      <c r="D118" s="232" t="str">
        <f>ITE_LUC_Rates!D98</f>
        <v>1000 GSF</v>
      </c>
      <c r="E118" s="233">
        <f>ITE_LUC_Rates!H98</f>
        <v>41.05</v>
      </c>
      <c r="F118" s="136" t="s">
        <v>71</v>
      </c>
      <c r="G118" s="137">
        <f>ITE_LUC_Rates!Q98</f>
        <v>0</v>
      </c>
      <c r="H118" s="104">
        <f>FEE_1_Out!$H116</f>
        <v>16827.671702743133</v>
      </c>
      <c r="I118" s="104">
        <f>FEE_1_Out!$H116</f>
        <v>16827.671702743133</v>
      </c>
      <c r="J118" s="104">
        <f>FEE_2_In!$H116</f>
        <v>21129.367348538355</v>
      </c>
      <c r="K118" s="104">
        <f>FEE_2_Out!$H116</f>
        <v>18424.360734008183</v>
      </c>
      <c r="L118" s="104">
        <f>FEE_3_In!$H116</f>
        <v>21017.848919840017</v>
      </c>
      <c r="M118" s="104">
        <f>FEE_3_Out!$H116</f>
        <v>20316.127376960176</v>
      </c>
      <c r="N118" s="104">
        <f>FEE_4_In!$H116</f>
        <v>19729.486983504186</v>
      </c>
      <c r="O118" s="104">
        <f>FEE_4_Out!$H116</f>
        <v>21286.90554840997</v>
      </c>
      <c r="P118" s="141">
        <f t="shared" si="43"/>
        <v>0</v>
      </c>
      <c r="Q118" s="139">
        <f t="shared" si="44"/>
        <v>0</v>
      </c>
      <c r="R118" s="139">
        <f t="shared" si="45"/>
        <v>0</v>
      </c>
      <c r="S118" s="139">
        <f t="shared" si="46"/>
        <v>0</v>
      </c>
      <c r="T118" s="139">
        <f t="shared" si="47"/>
        <v>0</v>
      </c>
      <c r="U118" s="139">
        <f t="shared" si="48"/>
        <v>0</v>
      </c>
      <c r="V118" s="139">
        <f t="shared" si="49"/>
        <v>0</v>
      </c>
      <c r="W118" s="139">
        <f t="shared" si="50"/>
        <v>0</v>
      </c>
    </row>
    <row r="119" spans="2:23" s="20" customFormat="1" x14ac:dyDescent="0.25">
      <c r="B119" s="134">
        <f>ITE_LUC_Rates!B99</f>
        <v>868</v>
      </c>
      <c r="C119" s="135" t="str">
        <f>ITE_LUC_Rates!C99</f>
        <v>Book Superstore</v>
      </c>
      <c r="D119" s="232" t="str">
        <f>ITE_LUC_Rates!D99</f>
        <v>1000 GSF</v>
      </c>
      <c r="E119" s="233">
        <f>ITE_LUC_Rates!H99</f>
        <v>143.6</v>
      </c>
      <c r="F119" s="136" t="s">
        <v>71</v>
      </c>
      <c r="G119" s="137">
        <f>ITE_LUC_Rates!Q99</f>
        <v>0</v>
      </c>
      <c r="H119" s="104">
        <f>FEE_1_Out!$H117</f>
        <v>58866.106127013743</v>
      </c>
      <c r="I119" s="104">
        <f>FEE_1_Out!$H117</f>
        <v>58866.106127013743</v>
      </c>
      <c r="J119" s="104">
        <f>FEE_2_In!$H117</f>
        <v>73914.181516445984</v>
      </c>
      <c r="K119" s="104">
        <f>FEE_2_Out!$H117</f>
        <v>64451.600521402564</v>
      </c>
      <c r="L119" s="104">
        <f>FEE_3_In!$H117</f>
        <v>73524.070764653501</v>
      </c>
      <c r="M119" s="104">
        <f>FEE_3_Out!$H117</f>
        <v>71069.327438038512</v>
      </c>
      <c r="N119" s="104">
        <f>FEE_4_In!$H117</f>
        <v>69017.157876521334</v>
      </c>
      <c r="O119" s="104">
        <f>FEE_4_Out!$H117</f>
        <v>74465.277387373237</v>
      </c>
      <c r="P119" s="141">
        <f t="shared" si="43"/>
        <v>0</v>
      </c>
      <c r="Q119" s="139">
        <f t="shared" si="44"/>
        <v>0</v>
      </c>
      <c r="R119" s="139">
        <f t="shared" si="45"/>
        <v>0</v>
      </c>
      <c r="S119" s="139">
        <f t="shared" si="46"/>
        <v>0</v>
      </c>
      <c r="T119" s="139">
        <f t="shared" si="47"/>
        <v>0</v>
      </c>
      <c r="U119" s="139">
        <f t="shared" si="48"/>
        <v>0</v>
      </c>
      <c r="V119" s="139">
        <f t="shared" si="49"/>
        <v>0</v>
      </c>
      <c r="W119" s="139">
        <f t="shared" si="50"/>
        <v>0</v>
      </c>
    </row>
    <row r="120" spans="2:23" s="20" customFormat="1" x14ac:dyDescent="0.25">
      <c r="B120" s="134">
        <f>ITE_LUC_Rates!B100</f>
        <v>869</v>
      </c>
      <c r="C120" s="135" t="str">
        <f>ITE_LUC_Rates!C100</f>
        <v>Discount Home Furnishing Superstore</v>
      </c>
      <c r="D120" s="232" t="str">
        <f>ITE_LUC_Rates!D100</f>
        <v>1000 GSF</v>
      </c>
      <c r="E120" s="233">
        <f>ITE_LUC_Rates!H100</f>
        <v>20</v>
      </c>
      <c r="F120" s="136" t="s">
        <v>71</v>
      </c>
      <c r="G120" s="137">
        <f>ITE_LUC_Rates!Q100</f>
        <v>0</v>
      </c>
      <c r="H120" s="104">
        <f>FEE_1_Out!$H118</f>
        <v>8198.6220232609685</v>
      </c>
      <c r="I120" s="104">
        <f>FEE_1_Out!$H118</f>
        <v>8198.6220232609685</v>
      </c>
      <c r="J120" s="104">
        <f>FEE_2_In!$H118</f>
        <v>10294.45425020139</v>
      </c>
      <c r="K120" s="104">
        <f>FEE_2_Out!$H118</f>
        <v>8976.5460336215256</v>
      </c>
      <c r="L120" s="104">
        <f>FEE_3_In!$H118</f>
        <v>10240.121276414138</v>
      </c>
      <c r="M120" s="104">
        <f>FEE_3_Out!$H118</f>
        <v>9898.2350192254198</v>
      </c>
      <c r="N120" s="104">
        <f>FEE_4_In!$H118</f>
        <v>9612.4175315489338</v>
      </c>
      <c r="O120" s="104">
        <f>FEE_4_Out!$H118</f>
        <v>10371.208549773433</v>
      </c>
      <c r="P120" s="141">
        <f t="shared" si="43"/>
        <v>0</v>
      </c>
      <c r="Q120" s="139">
        <f t="shared" si="44"/>
        <v>0</v>
      </c>
      <c r="R120" s="139">
        <f t="shared" si="45"/>
        <v>0</v>
      </c>
      <c r="S120" s="139">
        <f t="shared" si="46"/>
        <v>0</v>
      </c>
      <c r="T120" s="139">
        <f t="shared" si="47"/>
        <v>0</v>
      </c>
      <c r="U120" s="139">
        <f t="shared" si="48"/>
        <v>0</v>
      </c>
      <c r="V120" s="139">
        <f t="shared" si="49"/>
        <v>0</v>
      </c>
      <c r="W120" s="139">
        <f t="shared" si="50"/>
        <v>0</v>
      </c>
    </row>
    <row r="121" spans="2:23" s="20" customFormat="1" x14ac:dyDescent="0.25">
      <c r="B121" s="55">
        <f>ITE_LUC_Rates!B101</f>
        <v>875</v>
      </c>
      <c r="C121" s="56" t="str">
        <f>ITE_LUC_Rates!C101</f>
        <v>Department Store (free standing)</v>
      </c>
      <c r="D121" s="57" t="str">
        <f>ITE_LUC_Rates!D101</f>
        <v>1000 GSF</v>
      </c>
      <c r="E121" s="129">
        <f>ITE_LUC_Rates!H101</f>
        <v>22.88</v>
      </c>
      <c r="F121" s="58" t="s">
        <v>71</v>
      </c>
      <c r="G121" s="104">
        <f>ITE_LUC_Rates!Q101</f>
        <v>9283</v>
      </c>
      <c r="H121" s="104">
        <f>FEE_1_Out!$H119</f>
        <v>9379.2235946105466</v>
      </c>
      <c r="I121" s="104">
        <f>FEE_1_Out!$H119</f>
        <v>9379.2235946105466</v>
      </c>
      <c r="J121" s="104">
        <f>FEE_2_In!$H119</f>
        <v>11776.855662230388</v>
      </c>
      <c r="K121" s="104">
        <f>FEE_2_Out!$H119</f>
        <v>10269.168662463026</v>
      </c>
      <c r="L121" s="104">
        <f>FEE_3_In!$H119</f>
        <v>11714.698740217775</v>
      </c>
      <c r="M121" s="104">
        <f>FEE_3_Out!$H119</f>
        <v>11323.580861993882</v>
      </c>
      <c r="N121" s="104">
        <f>FEE_4_In!$H119</f>
        <v>10996.605656091981</v>
      </c>
      <c r="O121" s="104">
        <f>FEE_4_Out!$H119</f>
        <v>11864.662580940803</v>
      </c>
      <c r="P121" s="141">
        <f t="shared" si="43"/>
        <v>1.0365570894166343E-2</v>
      </c>
      <c r="Q121" s="139">
        <f t="shared" si="44"/>
        <v>1.0365570894166343E-2</v>
      </c>
      <c r="R121" s="139">
        <f t="shared" si="45"/>
        <v>0.10623383200075676</v>
      </c>
      <c r="S121" s="139">
        <f t="shared" si="46"/>
        <v>0.26864759907684888</v>
      </c>
      <c r="T121" s="139">
        <f t="shared" si="47"/>
        <v>0.21981911687965972</v>
      </c>
      <c r="U121" s="139">
        <f t="shared" si="48"/>
        <v>0.2619518194783772</v>
      </c>
      <c r="V121" s="139">
        <f t="shared" si="49"/>
        <v>0.27810649369178098</v>
      </c>
      <c r="W121" s="139">
        <f t="shared" si="50"/>
        <v>0.18459610644101909</v>
      </c>
    </row>
    <row r="122" spans="2:23" s="20" customFormat="1" x14ac:dyDescent="0.25">
      <c r="B122" s="134">
        <f>ITE_LUC_Rates!B102</f>
        <v>876</v>
      </c>
      <c r="C122" s="135" t="str">
        <f>ITE_LUC_Rates!C102</f>
        <v>Apparel Store</v>
      </c>
      <c r="D122" s="232" t="str">
        <f>ITE_LUC_Rates!D102</f>
        <v>1000 GSF</v>
      </c>
      <c r="E122" s="233">
        <f>ITE_LUC_Rates!H102</f>
        <v>66.400000000000006</v>
      </c>
      <c r="F122" s="136" t="s">
        <v>71</v>
      </c>
      <c r="G122" s="137">
        <f>ITE_LUC_Rates!Q102</f>
        <v>0</v>
      </c>
      <c r="H122" s="104">
        <f>FEE_1_Out!$H120</f>
        <v>27219.425117226412</v>
      </c>
      <c r="I122" s="104">
        <f>FEE_1_Out!$H120</f>
        <v>27219.425117226412</v>
      </c>
      <c r="J122" s="104">
        <f>FEE_2_In!$H120</f>
        <v>34177.588110668621</v>
      </c>
      <c r="K122" s="104">
        <f>FEE_2_Out!$H120</f>
        <v>29802.132831623472</v>
      </c>
      <c r="L122" s="104">
        <f>FEE_3_In!$H120</f>
        <v>33997.202637694943</v>
      </c>
      <c r="M122" s="104">
        <f>FEE_3_Out!$H120</f>
        <v>32862.140263828398</v>
      </c>
      <c r="N122" s="104">
        <f>FEE_4_In!$H120</f>
        <v>31913.226204742459</v>
      </c>
      <c r="O122" s="104">
        <f>FEE_4_Out!$H120</f>
        <v>34432.412385247793</v>
      </c>
      <c r="P122" s="141">
        <f t="shared" si="43"/>
        <v>0</v>
      </c>
      <c r="Q122" s="139">
        <f t="shared" si="44"/>
        <v>0</v>
      </c>
      <c r="R122" s="139">
        <f t="shared" si="45"/>
        <v>0</v>
      </c>
      <c r="S122" s="139">
        <f t="shared" si="46"/>
        <v>0</v>
      </c>
      <c r="T122" s="139">
        <f t="shared" si="47"/>
        <v>0</v>
      </c>
      <c r="U122" s="139">
        <f t="shared" si="48"/>
        <v>0</v>
      </c>
      <c r="V122" s="139">
        <f t="shared" si="49"/>
        <v>0</v>
      </c>
      <c r="W122" s="139">
        <f t="shared" si="50"/>
        <v>0</v>
      </c>
    </row>
    <row r="123" spans="2:23" s="20" customFormat="1" x14ac:dyDescent="0.25">
      <c r="B123" s="134">
        <f>ITE_LUC_Rates!B103</f>
        <v>879</v>
      </c>
      <c r="C123" s="135" t="str">
        <f>ITE_LUC_Rates!C103</f>
        <v>Arts &amp; Crafts Store</v>
      </c>
      <c r="D123" s="232" t="str">
        <f>ITE_LUC_Rates!D103</f>
        <v>1000 GSF</v>
      </c>
      <c r="E123" s="233">
        <f>ITE_LUC_Rates!H103</f>
        <v>56.55</v>
      </c>
      <c r="F123" s="136" t="s">
        <v>71</v>
      </c>
      <c r="G123" s="137">
        <f>ITE_LUC_Rates!Q103</f>
        <v>0</v>
      </c>
      <c r="H123" s="104">
        <f>FEE_1_Out!$H121</f>
        <v>23181.603770770387</v>
      </c>
      <c r="I123" s="104">
        <f>FEE_1_Out!$H121</f>
        <v>23181.603770770387</v>
      </c>
      <c r="J123" s="104">
        <f>FEE_2_In!$H121</f>
        <v>29107.569392444428</v>
      </c>
      <c r="K123" s="104">
        <f>FEE_2_Out!$H121</f>
        <v>25381.183910064861</v>
      </c>
      <c r="L123" s="104">
        <f>FEE_3_In!$H121</f>
        <v>28953.942909060966</v>
      </c>
      <c r="M123" s="104">
        <f>FEE_3_Out!$H121</f>
        <v>27987.259516859878</v>
      </c>
      <c r="N123" s="104">
        <f>FEE_4_In!$H121</f>
        <v>27179.110570454606</v>
      </c>
      <c r="O123" s="104">
        <f>FEE_4_Out!$H121</f>
        <v>29324.592174484373</v>
      </c>
      <c r="P123" s="141">
        <f t="shared" si="43"/>
        <v>0</v>
      </c>
      <c r="Q123" s="139">
        <f t="shared" si="44"/>
        <v>0</v>
      </c>
      <c r="R123" s="139">
        <f t="shared" si="45"/>
        <v>0</v>
      </c>
      <c r="S123" s="139">
        <f t="shared" si="46"/>
        <v>0</v>
      </c>
      <c r="T123" s="139">
        <f t="shared" si="47"/>
        <v>0</v>
      </c>
      <c r="U123" s="139">
        <f t="shared" si="48"/>
        <v>0</v>
      </c>
      <c r="V123" s="139">
        <f t="shared" si="49"/>
        <v>0</v>
      </c>
      <c r="W123" s="139">
        <f t="shared" si="50"/>
        <v>0</v>
      </c>
    </row>
    <row r="124" spans="2:23" s="20" customFormat="1" x14ac:dyDescent="0.25">
      <c r="B124" s="55">
        <f>ITE_LUC_Rates!B104</f>
        <v>880</v>
      </c>
      <c r="C124" s="56" t="str">
        <f>ITE_LUC_Rates!C104</f>
        <v>Pharmacy/Drugstore w/o Drive-Thru</v>
      </c>
      <c r="D124" s="57" t="str">
        <f>ITE_LUC_Rates!D104</f>
        <v>1000 GSF</v>
      </c>
      <c r="E124" s="129">
        <f>ITE_LUC_Rates!H104</f>
        <v>90.08</v>
      </c>
      <c r="F124" s="58" t="s">
        <v>71</v>
      </c>
      <c r="G124" s="104">
        <f>ITE_LUC_Rates!Q104</f>
        <v>11136.5</v>
      </c>
      <c r="H124" s="104">
        <f>FEE_1_Out!$H122</f>
        <v>8629.2836007443511</v>
      </c>
      <c r="I124" s="104">
        <f>FEE_1_Out!$H122</f>
        <v>8629.2836007443511</v>
      </c>
      <c r="J124" s="104">
        <f>FEE_2_In!$H122</f>
        <v>10835.206817418642</v>
      </c>
      <c r="K124" s="104">
        <f>FEE_2_Out!$H122</f>
        <v>9448.0708172038867</v>
      </c>
      <c r="L124" s="104">
        <f>FEE_3_In!$H122</f>
        <v>10778.019812291221</v>
      </c>
      <c r="M124" s="104">
        <f>FEE_3_Out!$H122</f>
        <v>10418.174771977361</v>
      </c>
      <c r="N124" s="104">
        <f>FEE_4_In!$H122</f>
        <v>10117.343711316795</v>
      </c>
      <c r="O124" s="104">
        <f>FEE_4_Out!$H122</f>
        <v>10915.992907654843</v>
      </c>
      <c r="P124" s="141">
        <f t="shared" si="43"/>
        <v>-0.22513504236121307</v>
      </c>
      <c r="Q124" s="139">
        <f t="shared" si="44"/>
        <v>-0.22513504236121307</v>
      </c>
      <c r="R124" s="139">
        <f t="shared" si="45"/>
        <v>-0.15161219259157843</v>
      </c>
      <c r="S124" s="139">
        <f t="shared" si="46"/>
        <v>-2.7054566747304554E-2</v>
      </c>
      <c r="T124" s="139">
        <f t="shared" si="47"/>
        <v>-6.4501883717742459E-2</v>
      </c>
      <c r="U124" s="139">
        <f t="shared" si="48"/>
        <v>-3.2189663512663724E-2</v>
      </c>
      <c r="V124" s="139">
        <f t="shared" si="49"/>
        <v>-1.9800394409837607E-2</v>
      </c>
      <c r="W124" s="139">
        <f t="shared" si="50"/>
        <v>-9.1514954310888075E-2</v>
      </c>
    </row>
    <row r="125" spans="2:23" s="20" customFormat="1" x14ac:dyDescent="0.25">
      <c r="B125" s="55">
        <f>ITE_LUC_Rates!B105</f>
        <v>881</v>
      </c>
      <c r="C125" s="56" t="str">
        <f>ITE_LUC_Rates!C105</f>
        <v>Pharmacy/Drugstore w/ Drive-Thru</v>
      </c>
      <c r="D125" s="57" t="str">
        <f>ITE_LUC_Rates!D105</f>
        <v>1000 GSF</v>
      </c>
      <c r="E125" s="129">
        <f>ITE_LUC_Rates!H105</f>
        <v>109.16</v>
      </c>
      <c r="F125" s="58" t="s">
        <v>71</v>
      </c>
      <c r="G125" s="104">
        <f>ITE_LUC_Rates!Q105</f>
        <v>11984.3</v>
      </c>
      <c r="H125" s="104">
        <f>FEE_1_Out!$H123</f>
        <v>10457.06702772262</v>
      </c>
      <c r="I125" s="104">
        <f>FEE_1_Out!$H123</f>
        <v>10457.06702772262</v>
      </c>
      <c r="J125" s="104">
        <f>FEE_2_In!$H123</f>
        <v>13130.230641534406</v>
      </c>
      <c r="K125" s="104">
        <f>FEE_2_Out!$H123</f>
        <v>11449.282975199556</v>
      </c>
      <c r="L125" s="104">
        <f>FEE_3_In!$H123</f>
        <v>13060.930758322707</v>
      </c>
      <c r="M125" s="104">
        <f>FEE_3_Out!$H123</f>
        <v>12624.866320038283</v>
      </c>
      <c r="N125" s="104">
        <f>FEE_4_In!$H123</f>
        <v>12260.315714113471</v>
      </c>
      <c r="O125" s="104">
        <f>FEE_4_Out!$H123</f>
        <v>13228.128172730934</v>
      </c>
      <c r="P125" s="141">
        <f t="shared" si="43"/>
        <v>-0.12743614331061304</v>
      </c>
      <c r="Q125" s="139">
        <f t="shared" si="44"/>
        <v>-0.12743614331061304</v>
      </c>
      <c r="R125" s="139">
        <f t="shared" si="45"/>
        <v>-4.4643160201300325E-2</v>
      </c>
      <c r="S125" s="139">
        <f t="shared" si="46"/>
        <v>9.5619322074247837E-2</v>
      </c>
      <c r="T125" s="139">
        <f t="shared" si="47"/>
        <v>5.3450457685328745E-2</v>
      </c>
      <c r="U125" s="139">
        <f t="shared" si="48"/>
        <v>8.9836766296129689E-2</v>
      </c>
      <c r="V125" s="139">
        <f t="shared" si="49"/>
        <v>0.10378813720709057</v>
      </c>
      <c r="W125" s="139">
        <f t="shared" si="50"/>
        <v>2.303144231314902E-2</v>
      </c>
    </row>
    <row r="126" spans="2:23" s="20" customFormat="1" x14ac:dyDescent="0.25">
      <c r="B126" s="134">
        <f>ITE_LUC_Rates!B106</f>
        <v>882</v>
      </c>
      <c r="C126" s="135" t="str">
        <f>ITE_LUC_Rates!C106</f>
        <v>Marijuana Dispensary</v>
      </c>
      <c r="D126" s="232" t="str">
        <f>ITE_LUC_Rates!D106</f>
        <v>1000 GSF</v>
      </c>
      <c r="E126" s="233">
        <f>ITE_LUC_Rates!H106</f>
        <v>252.7</v>
      </c>
      <c r="F126" s="136" t="s">
        <v>71</v>
      </c>
      <c r="G126" s="137">
        <f>ITE_LUC_Rates!Q106</f>
        <v>0</v>
      </c>
      <c r="H126" s="104">
        <f>FEE_1_Out!$H124</f>
        <v>103589.58926390232</v>
      </c>
      <c r="I126" s="104">
        <f>FEE_1_Out!$H124</f>
        <v>103589.58926390232</v>
      </c>
      <c r="J126" s="104">
        <f>FEE_2_In!$H124</f>
        <v>130070.42945129455</v>
      </c>
      <c r="K126" s="104">
        <f>FEE_2_Out!$H124</f>
        <v>113418.659134808</v>
      </c>
      <c r="L126" s="104">
        <f>FEE_3_In!$H124</f>
        <v>129383.9323274926</v>
      </c>
      <c r="M126" s="104">
        <f>FEE_3_Out!$H124</f>
        <v>125064.19946791319</v>
      </c>
      <c r="N126" s="104">
        <f>FEE_4_In!$H124</f>
        <v>121452.89551112076</v>
      </c>
      <c r="O126" s="104">
        <f>FEE_4_Out!$H124</f>
        <v>131040.22002638729</v>
      </c>
      <c r="P126" s="141">
        <f t="shared" si="43"/>
        <v>0</v>
      </c>
      <c r="Q126" s="139">
        <f t="shared" si="44"/>
        <v>0</v>
      </c>
      <c r="R126" s="139">
        <f t="shared" si="45"/>
        <v>0</v>
      </c>
      <c r="S126" s="139">
        <f t="shared" si="46"/>
        <v>0</v>
      </c>
      <c r="T126" s="139">
        <f t="shared" si="47"/>
        <v>0</v>
      </c>
      <c r="U126" s="139">
        <f t="shared" si="48"/>
        <v>0</v>
      </c>
      <c r="V126" s="139">
        <f t="shared" si="49"/>
        <v>0</v>
      </c>
      <c r="W126" s="139">
        <f t="shared" si="50"/>
        <v>0</v>
      </c>
    </row>
    <row r="127" spans="2:23" s="20" customFormat="1" x14ac:dyDescent="0.25">
      <c r="B127" s="55">
        <f>ITE_LUC_Rates!B107</f>
        <v>890</v>
      </c>
      <c r="C127" s="56" t="str">
        <f>ITE_LUC_Rates!C107</f>
        <v>Furniture Store (free standing)</v>
      </c>
      <c r="D127" s="57" t="str">
        <f>ITE_LUC_Rates!D107</f>
        <v>1000 GSF</v>
      </c>
      <c r="E127" s="129">
        <f>ITE_LUC_Rates!H107</f>
        <v>6.3</v>
      </c>
      <c r="F127" s="58" t="s">
        <v>71</v>
      </c>
      <c r="G127" s="104">
        <f>ITE_LUC_Rates!Q107</f>
        <v>1656.8</v>
      </c>
      <c r="H127" s="104">
        <f>FEE_1_Out!$H125</f>
        <v>2582.5659373272056</v>
      </c>
      <c r="I127" s="104">
        <f>FEE_1_Out!$H125</f>
        <v>2582.5659373272056</v>
      </c>
      <c r="J127" s="104">
        <f>FEE_2_In!$H125</f>
        <v>3242.7530888134388</v>
      </c>
      <c r="K127" s="104">
        <f>FEE_2_Out!$H125</f>
        <v>2827.6120005907819</v>
      </c>
      <c r="L127" s="104">
        <f>FEE_3_In!$H125</f>
        <v>3225.6382020704536</v>
      </c>
      <c r="M127" s="104">
        <f>FEE_3_Out!$H125</f>
        <v>3117.9440310560076</v>
      </c>
      <c r="N127" s="104">
        <f>FEE_4_In!$H125</f>
        <v>3027.9115224379138</v>
      </c>
      <c r="O127" s="104">
        <f>FEE_4_Out!$H125</f>
        <v>3266.9306931786318</v>
      </c>
      <c r="P127" s="141">
        <f t="shared" si="43"/>
        <v>0.55876746579382286</v>
      </c>
      <c r="Q127" s="139">
        <f t="shared" si="44"/>
        <v>0.55876746579382286</v>
      </c>
      <c r="R127" s="139">
        <f t="shared" si="45"/>
        <v>0.70667069084426726</v>
      </c>
      <c r="S127" s="139">
        <f t="shared" si="46"/>
        <v>0.95723870643012976</v>
      </c>
      <c r="T127" s="139">
        <f t="shared" si="47"/>
        <v>0.88190730990826149</v>
      </c>
      <c r="U127" s="139">
        <f t="shared" si="48"/>
        <v>0.94690862027429601</v>
      </c>
      <c r="V127" s="139">
        <f t="shared" si="49"/>
        <v>0.97183165933041527</v>
      </c>
      <c r="W127" s="139">
        <f t="shared" si="50"/>
        <v>0.82756610480318327</v>
      </c>
    </row>
    <row r="128" spans="2:23" s="20" customFormat="1" x14ac:dyDescent="0.25">
      <c r="B128" s="134">
        <f>ITE_LUC_Rates!B108</f>
        <v>899</v>
      </c>
      <c r="C128" s="135" t="str">
        <f>ITE_LUC_Rates!C108</f>
        <v>Liquor Store</v>
      </c>
      <c r="D128" s="232" t="str">
        <f>ITE_LUC_Rates!D108</f>
        <v>1000 GSF</v>
      </c>
      <c r="E128" s="233">
        <f>ITE_LUC_Rates!H108</f>
        <v>101.49</v>
      </c>
      <c r="F128" s="136" t="s">
        <v>71</v>
      </c>
      <c r="G128" s="137">
        <f>ITE_LUC_Rates!Q108</f>
        <v>0</v>
      </c>
      <c r="H128" s="104">
        <f>FEE_1_Out!$H126</f>
        <v>34120.251590454747</v>
      </c>
      <c r="I128" s="104">
        <f>FEE_1_Out!$H126</f>
        <v>34120.251590454747</v>
      </c>
      <c r="J128" s="104">
        <f>FEE_2_In!$H126</f>
        <v>42842.488409239988</v>
      </c>
      <c r="K128" s="104">
        <f>FEE_2_Out!$H126</f>
        <v>37357.742339076984</v>
      </c>
      <c r="L128" s="104">
        <f>FEE_3_In!$H126</f>
        <v>42616.370565287805</v>
      </c>
      <c r="M128" s="104">
        <f>FEE_3_Out!$H126</f>
        <v>41193.540597336905</v>
      </c>
      <c r="N128" s="104">
        <f>FEE_4_In!$H126</f>
        <v>40004.052344212803</v>
      </c>
      <c r="O128" s="104">
        <f>FEE_4_Out!$H126</f>
        <v>43161.917211374908</v>
      </c>
      <c r="P128" s="141">
        <f t="shared" si="43"/>
        <v>0</v>
      </c>
      <c r="Q128" s="139">
        <f t="shared" si="44"/>
        <v>0</v>
      </c>
      <c r="R128" s="139">
        <f t="shared" si="45"/>
        <v>0</v>
      </c>
      <c r="S128" s="139">
        <f t="shared" si="46"/>
        <v>0</v>
      </c>
      <c r="T128" s="139">
        <f t="shared" si="47"/>
        <v>0</v>
      </c>
      <c r="U128" s="139">
        <f t="shared" si="48"/>
        <v>0</v>
      </c>
      <c r="V128" s="139">
        <f t="shared" si="49"/>
        <v>0</v>
      </c>
      <c r="W128" s="139">
        <f t="shared" si="50"/>
        <v>0</v>
      </c>
    </row>
    <row r="129" spans="1:23" s="20" customFormat="1" x14ac:dyDescent="0.25">
      <c r="B129" s="105" t="e">
        <f>ITE_LUC_Rates!#REF!</f>
        <v>#REF!</v>
      </c>
      <c r="C129" s="106"/>
      <c r="D129" s="107"/>
      <c r="E129" s="130"/>
      <c r="F129" s="114"/>
      <c r="G129" s="110"/>
      <c r="H129" s="110"/>
      <c r="I129" s="110"/>
      <c r="J129" s="110"/>
      <c r="K129" s="110"/>
      <c r="L129" s="110"/>
      <c r="M129" s="110"/>
      <c r="N129" s="110"/>
      <c r="O129" s="110"/>
      <c r="P129" s="110"/>
      <c r="Q129" s="112"/>
      <c r="R129" s="112"/>
      <c r="S129" s="112"/>
      <c r="T129" s="112"/>
      <c r="U129" s="112"/>
      <c r="V129" s="112"/>
      <c r="W129" s="112"/>
    </row>
    <row r="130" spans="1:23" s="20" customFormat="1" x14ac:dyDescent="0.25">
      <c r="B130" s="55">
        <f>ITE_LUC_Rates!B109</f>
        <v>911</v>
      </c>
      <c r="C130" s="56" t="str">
        <f>ITE_LUC_Rates!C109</f>
        <v>Bank (Walk-in)</v>
      </c>
      <c r="D130" s="57" t="str">
        <f>ITE_LUC_Rates!D109</f>
        <v>1000 GSF</v>
      </c>
      <c r="E130" s="129">
        <f>ITE_LUC_Rates!H109</f>
        <v>12.13</v>
      </c>
      <c r="F130" s="58" t="s">
        <v>71</v>
      </c>
      <c r="G130" s="104">
        <f>ITE_LUC_Rates!Q109</f>
        <v>16014.3</v>
      </c>
      <c r="H130" s="104">
        <f>FEE_1_Out!$H128</f>
        <v>1162.0027761659528</v>
      </c>
      <c r="I130" s="104">
        <f>FEE_1_Out!$H128</f>
        <v>1162.0027761659528</v>
      </c>
      <c r="J130" s="104">
        <f>FEE_2_In!$H128</f>
        <v>1459.0481649121687</v>
      </c>
      <c r="K130" s="104">
        <f>FEE_2_Out!$H128</f>
        <v>1272.2590920590933</v>
      </c>
      <c r="L130" s="104">
        <f>FEE_3_In!$H128</f>
        <v>1451.3474725032474</v>
      </c>
      <c r="M130" s="104">
        <f>FEE_3_Out!$H128</f>
        <v>1402.8914296634703</v>
      </c>
      <c r="N130" s="104">
        <f>FEE_4_In!$H128</f>
        <v>1362.3820961175925</v>
      </c>
      <c r="O130" s="104">
        <f>FEE_4_Out!$H128</f>
        <v>1469.9266648518344</v>
      </c>
      <c r="P130" s="141">
        <f t="shared" ref="P130:P139" si="51">IFERROR(H130/$G130-1,0)</f>
        <v>-0.92743967727806065</v>
      </c>
      <c r="Q130" s="139">
        <f t="shared" ref="Q130:Q139" si="52">IFERROR(I130/$G130-1,0)</f>
        <v>-0.92743967727806065</v>
      </c>
      <c r="R130" s="139">
        <f t="shared" ref="R130:R139" si="53">IFERROR(K130/$G130-1,0)</f>
        <v>-0.92055481088407898</v>
      </c>
      <c r="S130" s="139">
        <f>IFERROR(J130/$G130-1,0)</f>
        <v>-0.90889091843463854</v>
      </c>
      <c r="T130" s="139">
        <f t="shared" ref="T130:T139" si="54">IFERROR(M130/$G130-1,0)</f>
        <v>-0.91239758030863227</v>
      </c>
      <c r="U130" s="139">
        <f t="shared" ref="U130:U139" si="55">IFERROR(L130/$G130-1,0)</f>
        <v>-0.90937178193843959</v>
      </c>
      <c r="V130" s="139">
        <f t="shared" ref="V130:V139" si="56">IFERROR(O130/$G130-1,0)</f>
        <v>-0.90821161931200023</v>
      </c>
      <c r="W130" s="139">
        <f t="shared" ref="W130:W139" si="57">IFERROR(N130/$G130-1,0)</f>
        <v>-0.91492715284979098</v>
      </c>
    </row>
    <row r="131" spans="1:23" s="20" customFormat="1" x14ac:dyDescent="0.25">
      <c r="B131" s="55">
        <f>ITE_LUC_Rates!B110</f>
        <v>912</v>
      </c>
      <c r="C131" s="56" t="str">
        <f>ITE_LUC_Rates!C110</f>
        <v>Bank (Drive-in)</v>
      </c>
      <c r="D131" s="57" t="str">
        <f>ITE_LUC_Rates!D110</f>
        <v>1000 GSF</v>
      </c>
      <c r="E131" s="129">
        <f>ITE_LUC_Rates!H110</f>
        <v>100.03</v>
      </c>
      <c r="F131" s="58" t="s">
        <v>71</v>
      </c>
      <c r="G131" s="104">
        <f>ITE_LUC_Rates!Q110</f>
        <v>25226.6</v>
      </c>
      <c r="H131" s="104">
        <f>FEE_1_Out!$H129</f>
        <v>9582.4515828425592</v>
      </c>
      <c r="I131" s="104">
        <f>FEE_1_Out!$H129</f>
        <v>9582.4515828425592</v>
      </c>
      <c r="J131" s="104">
        <f>FEE_2_In!$H129</f>
        <v>12032.03527915616</v>
      </c>
      <c r="K131" s="104">
        <f>FEE_2_Out!$H129</f>
        <v>10491.67988282532</v>
      </c>
      <c r="L131" s="104">
        <f>FEE_3_In!$H129</f>
        <v>11968.531547774102</v>
      </c>
      <c r="M131" s="104">
        <f>FEE_3_Out!$H129</f>
        <v>11568.938970258609</v>
      </c>
      <c r="N131" s="104">
        <f>FEE_4_In!$H129</f>
        <v>11234.878901454475</v>
      </c>
      <c r="O131" s="104">
        <f>FEE_4_Out!$H129</f>
        <v>12121.744788551445</v>
      </c>
      <c r="P131" s="141">
        <f t="shared" si="51"/>
        <v>-0.62014494292363775</v>
      </c>
      <c r="Q131" s="139">
        <f t="shared" si="52"/>
        <v>-0.62014494292363775</v>
      </c>
      <c r="R131" s="139">
        <f t="shared" si="53"/>
        <v>-0.58410249963033789</v>
      </c>
      <c r="S131" s="139">
        <f>IFERROR(J131/$G131-1,0)</f>
        <v>-0.5230417385158459</v>
      </c>
      <c r="T131" s="139">
        <f t="shared" si="54"/>
        <v>-0.54139919885126775</v>
      </c>
      <c r="U131" s="139">
        <f t="shared" si="55"/>
        <v>-0.52555907067246066</v>
      </c>
      <c r="V131" s="139">
        <f t="shared" si="56"/>
        <v>-0.51948559106056913</v>
      </c>
      <c r="W131" s="139">
        <f t="shared" si="57"/>
        <v>-0.55464157272662684</v>
      </c>
    </row>
    <row r="132" spans="1:23" s="20" customFormat="1" x14ac:dyDescent="0.25">
      <c r="B132" s="55">
        <f>ITE_LUC_Rates!B111</f>
        <v>931</v>
      </c>
      <c r="C132" s="56" t="str">
        <f>ITE_LUC_Rates!C111</f>
        <v>Quality Restaurant</v>
      </c>
      <c r="D132" s="57" t="str">
        <f>ITE_LUC_Rates!D111</f>
        <v>1000 GSF</v>
      </c>
      <c r="E132" s="129">
        <f>ITE_LUC_Rates!H111</f>
        <v>83.84</v>
      </c>
      <c r="F132" s="58" t="s">
        <v>71</v>
      </c>
      <c r="G132" s="104">
        <f>ITE_LUC_Rates!Q111</f>
        <v>68047</v>
      </c>
      <c r="H132" s="104">
        <f>FEE_1_Out!$H130</f>
        <v>28186.440963087269</v>
      </c>
      <c r="I132" s="104">
        <f>FEE_1_Out!$H130</f>
        <v>28186.440963087269</v>
      </c>
      <c r="J132" s="104">
        <f>FEE_2_In!$H130</f>
        <v>35391.80439679457</v>
      </c>
      <c r="K132" s="104">
        <f>FEE_2_Out!$H130</f>
        <v>30860.903711776664</v>
      </c>
      <c r="L132" s="104">
        <f>FEE_3_In!$H130</f>
        <v>35205.010426581233</v>
      </c>
      <c r="M132" s="104">
        <f>FEE_3_Out!$H130</f>
        <v>34029.623053312898</v>
      </c>
      <c r="N132" s="104">
        <f>FEE_4_In!$H130</f>
        <v>33046.997226710038</v>
      </c>
      <c r="O132" s="104">
        <f>FEE_4_Out!$H130</f>
        <v>35655.681732206824</v>
      </c>
      <c r="P132" s="141">
        <f t="shared" si="51"/>
        <v>-0.58577981449458072</v>
      </c>
      <c r="Q132" s="139">
        <f t="shared" si="52"/>
        <v>-0.58577981449458072</v>
      </c>
      <c r="R132" s="139">
        <f t="shared" si="53"/>
        <v>-0.54647664538074181</v>
      </c>
      <c r="S132" s="139">
        <f>IFERROR(J132/$G132-1,0)</f>
        <v>-0.47989177484981604</v>
      </c>
      <c r="T132" s="139">
        <f t="shared" si="54"/>
        <v>-0.49991001729227003</v>
      </c>
      <c r="U132" s="139">
        <f t="shared" si="55"/>
        <v>-0.4826368476702686</v>
      </c>
      <c r="V132" s="139">
        <f t="shared" si="56"/>
        <v>-0.47601390609127769</v>
      </c>
      <c r="W132" s="139">
        <f t="shared" si="57"/>
        <v>-0.51435041623128075</v>
      </c>
    </row>
    <row r="133" spans="1:23" s="20" customFormat="1" x14ac:dyDescent="0.25">
      <c r="B133" s="55">
        <f>ITE_LUC_Rates!B112</f>
        <v>931</v>
      </c>
      <c r="C133" s="56" t="str">
        <f>ITE_LUC_Rates!C112</f>
        <v>Quality Restaurant / Seats</v>
      </c>
      <c r="D133" s="57" t="str">
        <f>ITE_LUC_Rates!D112</f>
        <v>Seat</v>
      </c>
      <c r="E133" s="129">
        <f>ITE_LUC_Rates!H112</f>
        <v>2.6</v>
      </c>
      <c r="F133" s="58" t="s">
        <v>71</v>
      </c>
      <c r="G133" s="104">
        <f>ITE_LUC_Rates!Q112</f>
        <v>2163.0520000000001</v>
      </c>
      <c r="H133" s="104">
        <f>FEE_1_Out!$H131</f>
        <v>874.10241536291608</v>
      </c>
      <c r="I133" s="104">
        <f>FEE_1_Out!$H131</f>
        <v>874.10241536291608</v>
      </c>
      <c r="J133" s="104">
        <f>FEE_2_In!$H131</f>
        <v>1097.5511859692972</v>
      </c>
      <c r="K133" s="104">
        <f>FEE_2_Out!$H131</f>
        <v>957.04138419154731</v>
      </c>
      <c r="L133" s="104">
        <f>FEE_3_In!$H131</f>
        <v>1091.7584340304295</v>
      </c>
      <c r="M133" s="104">
        <f>FEE_3_Out!$H131</f>
        <v>1055.3079668250659</v>
      </c>
      <c r="N133" s="104">
        <f>FEE_4_In!$H131</f>
        <v>1024.8353147596149</v>
      </c>
      <c r="O133" s="104">
        <f>FEE_4_Out!$H131</f>
        <v>1105.7344048632847</v>
      </c>
      <c r="P133" s="141">
        <f t="shared" si="51"/>
        <v>-0.59589394274251561</v>
      </c>
      <c r="Q133" s="139">
        <f t="shared" si="52"/>
        <v>-0.59589394274251561</v>
      </c>
      <c r="R133" s="139">
        <f t="shared" si="53"/>
        <v>-0.55755044992374336</v>
      </c>
      <c r="S133" s="139">
        <f>IFERROR(J133/$G133-1,0)</f>
        <v>-0.49259140049832495</v>
      </c>
      <c r="T133" s="139">
        <f t="shared" si="54"/>
        <v>-0.51212085200676372</v>
      </c>
      <c r="U133" s="139">
        <f t="shared" si="55"/>
        <v>-0.4952694461203756</v>
      </c>
      <c r="V133" s="139">
        <f t="shared" si="56"/>
        <v>-0.48880821872831326</v>
      </c>
      <c r="W133" s="139">
        <f t="shared" si="57"/>
        <v>-0.52620865575140363</v>
      </c>
    </row>
    <row r="134" spans="1:23" s="20" customFormat="1" x14ac:dyDescent="0.25">
      <c r="B134" s="55">
        <f>ITE_LUC_Rates!B113</f>
        <v>932</v>
      </c>
      <c r="C134" s="56" t="str">
        <f>ITE_LUC_Rates!C113</f>
        <v>High Turnover Rest</v>
      </c>
      <c r="D134" s="57" t="str">
        <f>ITE_LUC_Rates!D113</f>
        <v>1000 GSF</v>
      </c>
      <c r="E134" s="129">
        <f>ITE_LUC_Rates!H113</f>
        <v>112.18</v>
      </c>
      <c r="F134" s="58" t="s">
        <v>71</v>
      </c>
      <c r="G134" s="104">
        <f>ITE_LUC_Rates!Q113</f>
        <v>51864.5</v>
      </c>
      <c r="H134" s="104">
        <f>FEE_1_Out!$H132</f>
        <v>10746.37027455042</v>
      </c>
      <c r="I134" s="104">
        <f>FEE_1_Out!$H132</f>
        <v>10746.37027455042</v>
      </c>
      <c r="J134" s="104">
        <f>FEE_2_In!$H132</f>
        <v>13493.489129418553</v>
      </c>
      <c r="K134" s="104">
        <f>FEE_2_Out!$H132</f>
        <v>11766.036681548976</v>
      </c>
      <c r="L134" s="104">
        <f>FEE_3_In!$H132</f>
        <v>13422.272008690377</v>
      </c>
      <c r="M134" s="104">
        <f>FEE_3_Out!$H132</f>
        <v>12974.143493787969</v>
      </c>
      <c r="N134" s="104">
        <f>FEE_4_In!$H132</f>
        <v>12599.507299461791</v>
      </c>
      <c r="O134" s="104">
        <f>FEE_4_Out!$H132</f>
        <v>13594.095075274425</v>
      </c>
      <c r="P134" s="141">
        <f t="shared" si="51"/>
        <v>-0.79279911549228432</v>
      </c>
      <c r="Q134" s="139">
        <f t="shared" si="52"/>
        <v>-0.79279911549228432</v>
      </c>
      <c r="R134" s="139">
        <f t="shared" si="53"/>
        <v>-0.77313891618450048</v>
      </c>
      <c r="S134" s="139">
        <f>IFERROR(#REF!/$G134-1,0)</f>
        <v>0</v>
      </c>
      <c r="T134" s="139">
        <f t="shared" si="54"/>
        <v>-0.74984539533229921</v>
      </c>
      <c r="U134" s="139">
        <f t="shared" si="55"/>
        <v>-0.74120502446393244</v>
      </c>
      <c r="V134" s="139">
        <f t="shared" si="56"/>
        <v>-0.73789210201053845</v>
      </c>
      <c r="W134" s="139">
        <f t="shared" si="57"/>
        <v>-0.75706875995214862</v>
      </c>
    </row>
    <row r="135" spans="1:23" s="20" customFormat="1" x14ac:dyDescent="0.25">
      <c r="B135" s="55">
        <f>ITE_LUC_Rates!B114</f>
        <v>932</v>
      </c>
      <c r="C135" s="56" t="str">
        <f>ITE_LUC_Rates!C114</f>
        <v>High Turnover Rest</v>
      </c>
      <c r="D135" s="57" t="str">
        <f>ITE_LUC_Rates!D114</f>
        <v>Seat</v>
      </c>
      <c r="E135" s="129">
        <f>ITE_LUC_Rates!H114</f>
        <v>4.37</v>
      </c>
      <c r="F135" s="58" t="s">
        <v>71</v>
      </c>
      <c r="G135" s="104">
        <f>ITE_LUC_Rates!Q114</f>
        <v>1581.08</v>
      </c>
      <c r="H135" s="104">
        <f>FEE_1_Out!$H133</f>
        <v>418.62754590644789</v>
      </c>
      <c r="I135" s="104">
        <f>FEE_1_Out!$H133</f>
        <v>418.62754590644789</v>
      </c>
      <c r="J135" s="104">
        <f>FEE_2_In!$H133</f>
        <v>525.64224902441674</v>
      </c>
      <c r="K135" s="104">
        <f>FEE_2_Out!$H133</f>
        <v>458.34890620760416</v>
      </c>
      <c r="L135" s="104">
        <f>FEE_3_In!$H133</f>
        <v>522.867968247254</v>
      </c>
      <c r="M135" s="104">
        <f>FEE_3_Out!$H133</f>
        <v>505.41100969739199</v>
      </c>
      <c r="N135" s="104">
        <f>FEE_4_In!$H133</f>
        <v>490.81696290468909</v>
      </c>
      <c r="O135" s="104">
        <f>FEE_4_Out!$H133</f>
        <v>529.56137884604414</v>
      </c>
      <c r="P135" s="141">
        <f t="shared" si="51"/>
        <v>-0.73522684120572779</v>
      </c>
      <c r="Q135" s="139">
        <f t="shared" si="52"/>
        <v>-0.73522684120572779</v>
      </c>
      <c r="R135" s="139">
        <f t="shared" si="53"/>
        <v>-0.71010391238419046</v>
      </c>
      <c r="S135" s="139">
        <f>IFERROR(#REF!/$G135-1,0)</f>
        <v>0</v>
      </c>
      <c r="T135" s="139">
        <f t="shared" si="54"/>
        <v>-0.68033811717472115</v>
      </c>
      <c r="U135" s="139">
        <f t="shared" si="55"/>
        <v>-0.66929695635435649</v>
      </c>
      <c r="V135" s="139">
        <f t="shared" si="56"/>
        <v>-0.6650635142775545</v>
      </c>
      <c r="W135" s="139">
        <f t="shared" si="57"/>
        <v>-0.6895685462439034</v>
      </c>
    </row>
    <row r="136" spans="1:23" s="20" customFormat="1" x14ac:dyDescent="0.25">
      <c r="B136" s="55">
        <f>ITE_LUC_Rates!B115</f>
        <v>933</v>
      </c>
      <c r="C136" s="56" t="str">
        <f>ITE_LUC_Rates!C115</f>
        <v>Fast Food Rest. w/o Drive-Thru</v>
      </c>
      <c r="D136" s="57" t="str">
        <f>ITE_LUC_Rates!D115</f>
        <v>1000 GSF</v>
      </c>
      <c r="E136" s="129">
        <f>ITE_LUC_Rates!H115</f>
        <v>346.23</v>
      </c>
      <c r="F136" s="58" t="s">
        <v>71</v>
      </c>
      <c r="G136" s="104">
        <f>ITE_LUC_Rates!Q115</f>
        <v>73276.3</v>
      </c>
      <c r="H136" s="104">
        <f>FEE_1_Out!$H134</f>
        <v>31409.573550724923</v>
      </c>
      <c r="I136" s="104">
        <f>FEE_1_Out!$H134</f>
        <v>31409.573550724923</v>
      </c>
      <c r="J136" s="104">
        <f>FEE_2_In!$H134</f>
        <v>39438.873632530805</v>
      </c>
      <c r="K136" s="104">
        <f>FEE_2_Out!$H134</f>
        <v>34389.862354254401</v>
      </c>
      <c r="L136" s="104">
        <f>FEE_3_In!$H134</f>
        <v>39230.719685250588</v>
      </c>
      <c r="M136" s="104">
        <f>FEE_3_Out!$H134</f>
        <v>37920.926221094778</v>
      </c>
      <c r="N136" s="104">
        <f>FEE_4_In!$H134</f>
        <v>36825.936675804427</v>
      </c>
      <c r="O136" s="104">
        <f>FEE_4_Out!$H134</f>
        <v>39732.925463546133</v>
      </c>
      <c r="P136" s="141">
        <f t="shared" si="51"/>
        <v>-0.57135426391991784</v>
      </c>
      <c r="Q136" s="139">
        <f t="shared" si="52"/>
        <v>-0.57135426391991784</v>
      </c>
      <c r="R136" s="139">
        <f t="shared" si="53"/>
        <v>-0.53068233038165957</v>
      </c>
      <c r="S136" s="139">
        <f>IFERROR(#REF!/$G136-1,0)</f>
        <v>0</v>
      </c>
      <c r="T136" s="139">
        <f t="shared" si="54"/>
        <v>-0.48249398207749605</v>
      </c>
      <c r="U136" s="139">
        <f t="shared" si="55"/>
        <v>-0.46461926045323543</v>
      </c>
      <c r="V136" s="139">
        <f t="shared" si="56"/>
        <v>-0.45776566961560383</v>
      </c>
      <c r="W136" s="139">
        <f t="shared" si="57"/>
        <v>-0.49743727950504557</v>
      </c>
    </row>
    <row r="137" spans="1:23" s="20" customFormat="1" x14ac:dyDescent="0.25">
      <c r="B137" s="55">
        <f>ITE_LUC_Rates!B116</f>
        <v>934</v>
      </c>
      <c r="C137" s="56" t="str">
        <f>ITE_LUC_Rates!C116</f>
        <v>Fast Food Rest. w/ Drive-Thru</v>
      </c>
      <c r="D137" s="57" t="str">
        <f>ITE_LUC_Rates!D116</f>
        <v>1000 GSF</v>
      </c>
      <c r="E137" s="129">
        <f>ITE_LUC_Rates!H116</f>
        <v>470.95</v>
      </c>
      <c r="F137" s="58" t="s">
        <v>71</v>
      </c>
      <c r="G137" s="104">
        <f>ITE_LUC_Rates!Q116</f>
        <v>50772.9</v>
      </c>
      <c r="H137" s="104">
        <f>FEE_1_Out!$H135</f>
        <v>42724.023521109964</v>
      </c>
      <c r="I137" s="104">
        <f>FEE_1_Out!$H135</f>
        <v>42724.023521109964</v>
      </c>
      <c r="J137" s="104">
        <f>FEE_2_In!$H135</f>
        <v>53645.66195084303</v>
      </c>
      <c r="K137" s="104">
        <f>FEE_2_Out!$H135</f>
        <v>46777.880818346508</v>
      </c>
      <c r="L137" s="104">
        <f>FEE_3_In!$H135</f>
        <v>53362.526169796845</v>
      </c>
      <c r="M137" s="104">
        <f>FEE_3_Out!$H135</f>
        <v>51580.915009746663</v>
      </c>
      <c r="N137" s="104">
        <f>FEE_4_In!$H135</f>
        <v>50091.485074863784</v>
      </c>
      <c r="O137" s="104">
        <f>FEE_4_Out!$H135</f>
        <v>54045.638006692221</v>
      </c>
      <c r="P137" s="141">
        <f t="shared" si="51"/>
        <v>-0.15852701891934551</v>
      </c>
      <c r="Q137" s="139">
        <f t="shared" si="52"/>
        <v>-0.15852701891934551</v>
      </c>
      <c r="R137" s="139">
        <f t="shared" si="53"/>
        <v>-7.8684085046422325E-2</v>
      </c>
      <c r="S137" s="139">
        <f>IFERROR(#REF!/$G137-1,0)</f>
        <v>0</v>
      </c>
      <c r="T137" s="139">
        <f t="shared" si="54"/>
        <v>1.5914296992030508E-2</v>
      </c>
      <c r="U137" s="139">
        <f t="shared" si="55"/>
        <v>5.1004101987415451E-2</v>
      </c>
      <c r="V137" s="139">
        <f t="shared" si="56"/>
        <v>6.4458362762265242E-2</v>
      </c>
      <c r="W137" s="139">
        <f t="shared" si="57"/>
        <v>-1.3420839170821819E-2</v>
      </c>
    </row>
    <row r="138" spans="1:23" s="20" customFormat="1" x14ac:dyDescent="0.25">
      <c r="B138" s="55">
        <f>ITE_LUC_Rates!B117</f>
        <v>937</v>
      </c>
      <c r="C138" s="56" t="str">
        <f>ITE_LUC_Rates!C117</f>
        <v>Coffee/Donut Shop</v>
      </c>
      <c r="D138" s="57" t="str">
        <f>ITE_LUC_Rates!D117</f>
        <v>1000 GSF</v>
      </c>
      <c r="E138" s="129">
        <f>ITE_LUC_Rates!H117</f>
        <v>820.38</v>
      </c>
      <c r="F138" s="58" t="s">
        <v>71</v>
      </c>
      <c r="G138" s="104">
        <f>ITE_LUC_Rates!Q117</f>
        <v>58641.2</v>
      </c>
      <c r="H138" s="104">
        <f>FEE_1_Out!$H136</f>
        <v>74423.897263506093</v>
      </c>
      <c r="I138" s="104">
        <f>FEE_1_Out!$H136</f>
        <v>74423.897263506093</v>
      </c>
      <c r="J138" s="104">
        <f>FEE_2_In!$H136</f>
        <v>93449.045867358756</v>
      </c>
      <c r="K138" s="104">
        <f>FEE_2_Out!$H136</f>
        <v>81485.588418632775</v>
      </c>
      <c r="L138" s="104">
        <f>FEE_3_In!$H136</f>
        <v>92955.832294676598</v>
      </c>
      <c r="M138" s="104">
        <f>FEE_3_Out!$H136</f>
        <v>89852.322020800464</v>
      </c>
      <c r="N138" s="104">
        <f>FEE_4_In!$H136</f>
        <v>87257.782197084118</v>
      </c>
      <c r="O138" s="104">
        <f>FEE_4_Out!$H136</f>
        <v>94145.791502134365</v>
      </c>
      <c r="P138" s="141">
        <f t="shared" si="51"/>
        <v>0.26914008007179424</v>
      </c>
      <c r="Q138" s="139">
        <f t="shared" si="52"/>
        <v>0.26914008007179424</v>
      </c>
      <c r="R138" s="139">
        <f t="shared" si="53"/>
        <v>0.38956208977020901</v>
      </c>
      <c r="S138" s="139">
        <f>IFERROR(#REF!/$G138-1,0)</f>
        <v>0</v>
      </c>
      <c r="T138" s="139">
        <f t="shared" si="54"/>
        <v>0.53223880174349203</v>
      </c>
      <c r="U138" s="139">
        <f t="shared" si="55"/>
        <v>0.58516251875262792</v>
      </c>
      <c r="V138" s="139">
        <f t="shared" si="56"/>
        <v>0.6054547229956817</v>
      </c>
      <c r="W138" s="139">
        <f t="shared" si="57"/>
        <v>0.48799448505631071</v>
      </c>
    </row>
    <row r="139" spans="1:23" s="20" customFormat="1" x14ac:dyDescent="0.25">
      <c r="A139" s="102"/>
      <c r="B139" s="55">
        <f>ITE_LUC_Rates!B118</f>
        <v>944</v>
      </c>
      <c r="C139" s="56" t="str">
        <f>ITE_LUC_Rates!C118</f>
        <v>Service Stations w/ Gasoline</v>
      </c>
      <c r="D139" s="57" t="str">
        <f>ITE_LUC_Rates!D118</f>
        <v>Pump</v>
      </c>
      <c r="E139" s="129">
        <f>ITE_LUC_Rates!H118</f>
        <v>172.01</v>
      </c>
      <c r="F139" s="58" t="s">
        <v>71</v>
      </c>
      <c r="G139" s="104">
        <f>ITE_LUC_Rates!Q118</f>
        <v>12075.078</v>
      </c>
      <c r="H139" s="104">
        <f>FEE_1_Out!$H137</f>
        <v>15604.542490425996</v>
      </c>
      <c r="I139" s="104">
        <f>FEE_1_Out!$H137</f>
        <v>15604.542490425996</v>
      </c>
      <c r="J139" s="104">
        <f>FEE_2_In!$H137</f>
        <v>19593.566858826856</v>
      </c>
      <c r="K139" s="104">
        <f>FEE_2_Out!$H137</f>
        <v>17085.175240606823</v>
      </c>
      <c r="L139" s="104">
        <f>FEE_3_In!$H137</f>
        <v>19490.15421269085</v>
      </c>
      <c r="M139" s="104">
        <f>FEE_3_Out!$H137</f>
        <v>18839.437712764673</v>
      </c>
      <c r="N139" s="104">
        <f>FEE_4_In!$H137</f>
        <v>18295.437621249224</v>
      </c>
      <c r="O139" s="104">
        <f>FEE_4_Out!$H137</f>
        <v>19739.654302008978</v>
      </c>
      <c r="P139" s="141">
        <f t="shared" si="51"/>
        <v>0.29229330778865337</v>
      </c>
      <c r="Q139" s="139">
        <f t="shared" si="52"/>
        <v>0.29229330778865337</v>
      </c>
      <c r="R139" s="139">
        <f t="shared" si="53"/>
        <v>0.41491220517224181</v>
      </c>
      <c r="S139" s="139">
        <f>IFERROR(#REF!/$G139-1,0)</f>
        <v>0</v>
      </c>
      <c r="T139" s="139">
        <f t="shared" si="54"/>
        <v>0.56019180271669256</v>
      </c>
      <c r="U139" s="139">
        <f t="shared" si="55"/>
        <v>0.61408101982371055</v>
      </c>
      <c r="V139" s="139">
        <f t="shared" si="56"/>
        <v>0.63474341962917169</v>
      </c>
      <c r="W139" s="139">
        <f t="shared" si="57"/>
        <v>0.51514032631915296</v>
      </c>
    </row>
    <row r="140" spans="1:23" s="20" customFormat="1" x14ac:dyDescent="0.25">
      <c r="A140" s="102"/>
      <c r="B140" s="101"/>
      <c r="C140" s="56"/>
      <c r="D140" s="119"/>
      <c r="E140" s="118"/>
      <c r="F140" s="100"/>
      <c r="G140" s="60"/>
      <c r="H140" s="60"/>
      <c r="I140" s="60"/>
      <c r="J140" s="60"/>
      <c r="K140" s="60"/>
      <c r="L140" s="60"/>
      <c r="M140" s="60"/>
      <c r="N140" s="60"/>
      <c r="O140" s="60"/>
    </row>
    <row r="141" spans="1:23" s="20" customFormat="1" x14ac:dyDescent="0.25">
      <c r="B141" s="68"/>
      <c r="C141" s="56"/>
      <c r="D141" s="119"/>
      <c r="E141" s="119"/>
      <c r="F141" s="100"/>
      <c r="G141" s="60"/>
      <c r="H141" s="60"/>
      <c r="I141" s="60"/>
      <c r="J141" s="60"/>
      <c r="K141" s="60"/>
      <c r="L141" s="60"/>
      <c r="M141" s="60"/>
      <c r="N141" s="60"/>
      <c r="O141" s="60"/>
    </row>
    <row r="142" spans="1:23" s="20" customFormat="1" x14ac:dyDescent="0.25">
      <c r="B142" s="68"/>
      <c r="C142" s="56"/>
      <c r="D142" s="119"/>
      <c r="E142" s="119"/>
      <c r="F142" s="100"/>
      <c r="G142" s="60"/>
      <c r="H142" s="60"/>
      <c r="I142" s="60"/>
      <c r="J142" s="60"/>
      <c r="K142" s="60"/>
      <c r="L142" s="60"/>
      <c r="M142" s="60"/>
      <c r="N142" s="60"/>
      <c r="O142" s="60"/>
    </row>
    <row r="143" spans="1:23" x14ac:dyDescent="0.25">
      <c r="C143" s="33"/>
      <c r="D143" s="119"/>
      <c r="E143" s="119"/>
      <c r="F143" s="100"/>
      <c r="G143" s="60"/>
      <c r="H143" s="60"/>
      <c r="I143" s="60"/>
      <c r="J143" s="60"/>
      <c r="K143" s="60"/>
      <c r="L143" s="60"/>
      <c r="M143" s="60"/>
      <c r="N143" s="60"/>
      <c r="O143" s="60"/>
    </row>
    <row r="144" spans="1:23" x14ac:dyDescent="0.25">
      <c r="C144" s="33"/>
      <c r="D144" s="119"/>
      <c r="E144" s="119"/>
      <c r="F144" s="100"/>
      <c r="G144" s="60"/>
      <c r="H144" s="60"/>
      <c r="I144" s="60"/>
      <c r="J144" s="60"/>
      <c r="K144" s="60"/>
      <c r="L144" s="60"/>
      <c r="M144" s="60"/>
      <c r="N144" s="60"/>
      <c r="O144" s="60"/>
    </row>
    <row r="145" spans="3:15" x14ac:dyDescent="0.25">
      <c r="C145" s="33"/>
      <c r="D145" s="119"/>
      <c r="E145" s="119"/>
      <c r="F145" s="100"/>
      <c r="G145" s="60"/>
      <c r="H145" s="60"/>
      <c r="I145" s="60"/>
      <c r="J145" s="60"/>
      <c r="K145" s="60"/>
      <c r="L145" s="60"/>
      <c r="M145" s="60"/>
      <c r="N145" s="60"/>
      <c r="O145" s="60"/>
    </row>
    <row r="146" spans="3:15" x14ac:dyDescent="0.25">
      <c r="C146" s="33"/>
      <c r="D146" s="119"/>
      <c r="E146" s="119"/>
      <c r="F146" s="100"/>
      <c r="G146" s="60"/>
      <c r="H146" s="60"/>
      <c r="I146" s="60"/>
      <c r="J146" s="60"/>
      <c r="K146" s="60"/>
      <c r="L146" s="60"/>
      <c r="M146" s="60"/>
      <c r="N146" s="60"/>
      <c r="O146" s="60"/>
    </row>
    <row r="147" spans="3:15" x14ac:dyDescent="0.25">
      <c r="C147" s="33"/>
      <c r="F147" s="121"/>
      <c r="G147" s="60"/>
      <c r="H147" s="60"/>
      <c r="I147" s="60"/>
      <c r="J147" s="60"/>
      <c r="K147" s="60"/>
      <c r="L147" s="60"/>
      <c r="M147" s="60"/>
      <c r="N147" s="60"/>
      <c r="O147" s="60"/>
    </row>
    <row r="148" spans="3:15" x14ac:dyDescent="0.25">
      <c r="C148" s="33"/>
      <c r="F148" s="121"/>
      <c r="G148" s="60"/>
      <c r="H148" s="60"/>
      <c r="I148" s="60"/>
      <c r="J148" s="60"/>
      <c r="K148" s="60"/>
      <c r="L148" s="60"/>
      <c r="M148" s="60"/>
      <c r="N148" s="60"/>
      <c r="O148" s="60"/>
    </row>
    <row r="149" spans="3:15" x14ac:dyDescent="0.25">
      <c r="C149" s="33"/>
      <c r="F149" s="121"/>
      <c r="G149" s="122"/>
      <c r="H149" s="122"/>
      <c r="I149" s="122"/>
      <c r="J149" s="122"/>
      <c r="K149" s="122"/>
      <c r="L149" s="122"/>
      <c r="M149" s="122"/>
      <c r="N149" s="122"/>
      <c r="O149" s="122"/>
    </row>
    <row r="150" spans="3:15" x14ac:dyDescent="0.25">
      <c r="C150" s="33"/>
      <c r="F150" s="121"/>
      <c r="G150" s="122"/>
      <c r="H150" s="122"/>
      <c r="I150" s="122"/>
      <c r="J150" s="122"/>
      <c r="K150" s="122"/>
      <c r="L150" s="122"/>
      <c r="M150" s="122"/>
      <c r="N150" s="122"/>
      <c r="O150" s="122"/>
    </row>
    <row r="151" spans="3:15" x14ac:dyDescent="0.25">
      <c r="C151" s="33"/>
      <c r="F151" s="121"/>
      <c r="G151" s="122"/>
      <c r="H151" s="122"/>
      <c r="I151" s="122"/>
      <c r="J151" s="122"/>
      <c r="K151" s="122"/>
      <c r="L151" s="122"/>
      <c r="M151" s="122"/>
      <c r="N151" s="122"/>
      <c r="O151" s="122"/>
    </row>
    <row r="152" spans="3:15" x14ac:dyDescent="0.25">
      <c r="C152" s="33"/>
    </row>
    <row r="153" spans="3:15" x14ac:dyDescent="0.25">
      <c r="C153" s="33"/>
    </row>
    <row r="154" spans="3:15" x14ac:dyDescent="0.25">
      <c r="C154" s="33"/>
    </row>
    <row r="155" spans="3:15" x14ac:dyDescent="0.25">
      <c r="C155" s="33"/>
    </row>
    <row r="156" spans="3:15" x14ac:dyDescent="0.25">
      <c r="C156" s="33"/>
    </row>
    <row r="157" spans="3:15" x14ac:dyDescent="0.25">
      <c r="C157" s="33"/>
    </row>
    <row r="158" spans="3:15" x14ac:dyDescent="0.25">
      <c r="C158" s="33"/>
    </row>
    <row r="159" spans="3:15" x14ac:dyDescent="0.25">
      <c r="C159" s="33"/>
    </row>
    <row r="160" spans="3:15" x14ac:dyDescent="0.25">
      <c r="C160" s="33"/>
    </row>
    <row r="161" spans="1:50" x14ac:dyDescent="0.25">
      <c r="C161" s="33"/>
    </row>
    <row r="162" spans="1:50" s="34" customFormat="1" x14ac:dyDescent="0.25">
      <c r="A162" s="11"/>
      <c r="B162" s="10"/>
      <c r="C162" s="33"/>
      <c r="F162" s="69"/>
      <c r="G162" s="13"/>
      <c r="H162" s="13"/>
      <c r="I162" s="13"/>
      <c r="J162" s="13"/>
      <c r="K162" s="13"/>
      <c r="L162" s="13"/>
      <c r="M162" s="13"/>
      <c r="N162" s="13"/>
      <c r="O162" s="13"/>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row>
    <row r="163" spans="1:50" s="34" customFormat="1" x14ac:dyDescent="0.25">
      <c r="A163" s="11"/>
      <c r="B163" s="10"/>
      <c r="C163" s="33"/>
      <c r="F163" s="69"/>
      <c r="G163" s="13"/>
      <c r="H163" s="13"/>
      <c r="I163" s="13"/>
      <c r="J163" s="13"/>
      <c r="K163" s="13"/>
      <c r="L163" s="13"/>
      <c r="M163" s="13"/>
      <c r="N163" s="13"/>
      <c r="O163" s="13"/>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row>
  </sheetData>
  <mergeCells count="10">
    <mergeCell ref="P11:Q11"/>
    <mergeCell ref="R11:S11"/>
    <mergeCell ref="T11:U11"/>
    <mergeCell ref="V11:W11"/>
    <mergeCell ref="H10:O10"/>
    <mergeCell ref="H11:I11"/>
    <mergeCell ref="P10:W10"/>
    <mergeCell ref="J11:K11"/>
    <mergeCell ref="L11:M11"/>
    <mergeCell ref="N11:O11"/>
  </mergeCells>
  <conditionalFormatting sqref="P14:W139">
    <cfRule type="colorScale" priority="1">
      <colorScale>
        <cfvo type="min"/>
        <cfvo type="percentile" val="50"/>
        <cfvo type="max"/>
        <color rgb="FF63BE7B"/>
        <color rgb="FFFCFCFF"/>
        <color rgb="FFF8696B"/>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DBA57-F70E-4D7F-BD0D-CD013143E7EE}">
  <sheetPr>
    <tabColor theme="9" tint="-0.249977111117893"/>
  </sheetPr>
  <dimension ref="A1:BN163"/>
  <sheetViews>
    <sheetView zoomScale="113" zoomScaleNormal="140" workbookViewId="0">
      <selection activeCell="G19" sqref="G19"/>
    </sheetView>
  </sheetViews>
  <sheetFormatPr defaultColWidth="4.42578125" defaultRowHeight="15.75" x14ac:dyDescent="0.25"/>
  <cols>
    <col min="1" max="1" width="4.42578125" style="11"/>
    <col min="2" max="2" width="13.42578125" style="10" customWidth="1"/>
    <col min="3" max="3" width="31.5703125" style="11" customWidth="1"/>
    <col min="4" max="4" width="12.140625" style="34" customWidth="1"/>
    <col min="5" max="5" width="12.85546875" style="34" hidden="1" customWidth="1"/>
    <col min="6" max="6" width="12.85546875" style="69" hidden="1" customWidth="1"/>
    <col min="7" max="39" width="12.85546875" style="13" customWidth="1"/>
    <col min="40" max="16384" width="4.42578125" style="11"/>
  </cols>
  <sheetData>
    <row r="1" spans="1:39" x14ac:dyDescent="0.25">
      <c r="A1" s="10" t="s">
        <v>52</v>
      </c>
      <c r="D1" s="69"/>
      <c r="E1" s="69"/>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row>
    <row r="2" spans="1:39" x14ac:dyDescent="0.25">
      <c r="A2" s="10"/>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row>
    <row r="3" spans="1:39" x14ac:dyDescent="0.25">
      <c r="A3" s="10"/>
      <c r="B3" s="10" t="s">
        <v>99</v>
      </c>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row>
    <row r="4" spans="1:39" hidden="1" x14ac:dyDescent="0.25">
      <c r="A4" s="10"/>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row>
    <row r="5" spans="1:39" hidden="1" x14ac:dyDescent="0.25">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row>
    <row r="6" spans="1:39" hidden="1" x14ac:dyDescent="0.25">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row>
    <row r="7" spans="1:39" hidden="1" x14ac:dyDescent="0.25">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row>
    <row r="8" spans="1:39" hidden="1" x14ac:dyDescent="0.25">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row>
    <row r="9" spans="1:39" x14ac:dyDescent="0.25">
      <c r="D9" s="69"/>
      <c r="E9" s="69"/>
    </row>
    <row r="10" spans="1:39" x14ac:dyDescent="0.25">
      <c r="B10" s="28"/>
      <c r="C10" s="29"/>
      <c r="D10" s="30"/>
      <c r="E10" s="30"/>
      <c r="F10" s="30"/>
      <c r="G10" s="31"/>
      <c r="H10" s="786" t="s">
        <v>111</v>
      </c>
      <c r="I10" s="787"/>
      <c r="J10" s="787"/>
      <c r="K10" s="790"/>
      <c r="L10" s="786" t="s">
        <v>112</v>
      </c>
      <c r="M10" s="787"/>
      <c r="N10" s="787"/>
      <c r="O10" s="790"/>
      <c r="P10" s="786" t="s">
        <v>113</v>
      </c>
      <c r="Q10" s="787"/>
      <c r="R10" s="787"/>
      <c r="S10" s="787"/>
      <c r="T10" s="786" t="s">
        <v>114</v>
      </c>
      <c r="U10" s="787"/>
      <c r="V10" s="787"/>
      <c r="W10" s="787"/>
      <c r="X10" s="786" t="s">
        <v>115</v>
      </c>
      <c r="Y10" s="787"/>
      <c r="Z10" s="787"/>
      <c r="AA10" s="787"/>
      <c r="AB10" s="786" t="s">
        <v>116</v>
      </c>
      <c r="AC10" s="787"/>
      <c r="AD10" s="787"/>
      <c r="AE10" s="787"/>
      <c r="AF10" s="786" t="s">
        <v>117</v>
      </c>
      <c r="AG10" s="787"/>
      <c r="AH10" s="787"/>
      <c r="AI10" s="787"/>
      <c r="AJ10" s="786" t="s">
        <v>118</v>
      </c>
      <c r="AK10" s="787"/>
      <c r="AL10" s="787"/>
      <c r="AM10" s="787"/>
    </row>
    <row r="11" spans="1:39" x14ac:dyDescent="0.25">
      <c r="B11" s="134"/>
      <c r="C11" s="135"/>
      <c r="D11" s="136"/>
      <c r="E11" s="136"/>
      <c r="F11" s="136"/>
      <c r="G11" s="137"/>
      <c r="H11" s="788"/>
      <c r="I11" s="789"/>
      <c r="J11" s="789"/>
      <c r="K11" s="791"/>
      <c r="L11" s="788"/>
      <c r="M11" s="789"/>
      <c r="N11" s="789"/>
      <c r="O11" s="791"/>
      <c r="P11" s="788"/>
      <c r="Q11" s="789"/>
      <c r="R11" s="789"/>
      <c r="S11" s="789"/>
      <c r="T11" s="788"/>
      <c r="U11" s="789"/>
      <c r="V11" s="789"/>
      <c r="W11" s="789"/>
      <c r="X11" s="788"/>
      <c r="Y11" s="789"/>
      <c r="Z11" s="789"/>
      <c r="AA11" s="789"/>
      <c r="AB11" s="788"/>
      <c r="AC11" s="789"/>
      <c r="AD11" s="789"/>
      <c r="AE11" s="789"/>
      <c r="AF11" s="788"/>
      <c r="AG11" s="789"/>
      <c r="AH11" s="789"/>
      <c r="AI11" s="789"/>
      <c r="AJ11" s="788"/>
      <c r="AK11" s="789"/>
      <c r="AL11" s="789"/>
      <c r="AM11" s="789"/>
    </row>
    <row r="12" spans="1:39" s="9" customFormat="1" ht="55.5" customHeight="1" x14ac:dyDescent="0.25">
      <c r="B12" s="131" t="s">
        <v>76</v>
      </c>
      <c r="C12" s="132" t="s">
        <v>77</v>
      </c>
      <c r="D12" s="7" t="s">
        <v>78</v>
      </c>
      <c r="E12" s="7" t="s">
        <v>80</v>
      </c>
      <c r="F12" s="7" t="s">
        <v>81</v>
      </c>
      <c r="G12" s="8" t="s">
        <v>82</v>
      </c>
      <c r="H12" s="241" t="s">
        <v>98</v>
      </c>
      <c r="I12" s="138" t="s">
        <v>119</v>
      </c>
      <c r="J12" s="138" t="s">
        <v>61</v>
      </c>
      <c r="K12" s="138" t="s">
        <v>66</v>
      </c>
      <c r="L12" s="244" t="s">
        <v>98</v>
      </c>
      <c r="M12" s="7" t="s">
        <v>119</v>
      </c>
      <c r="N12" s="7" t="s">
        <v>61</v>
      </c>
      <c r="O12" s="138" t="s">
        <v>66</v>
      </c>
      <c r="P12" s="7" t="s">
        <v>98</v>
      </c>
      <c r="Q12" s="7" t="s">
        <v>119</v>
      </c>
      <c r="R12" s="7" t="s">
        <v>61</v>
      </c>
      <c r="S12" s="138" t="s">
        <v>66</v>
      </c>
      <c r="T12" s="7" t="s">
        <v>98</v>
      </c>
      <c r="U12" s="7" t="s">
        <v>119</v>
      </c>
      <c r="V12" s="7" t="s">
        <v>61</v>
      </c>
      <c r="W12" s="138" t="s">
        <v>66</v>
      </c>
      <c r="X12" s="7" t="s">
        <v>98</v>
      </c>
      <c r="Y12" s="7" t="s">
        <v>119</v>
      </c>
      <c r="Z12" s="7" t="s">
        <v>61</v>
      </c>
      <c r="AA12" s="138" t="s">
        <v>66</v>
      </c>
      <c r="AB12" s="7" t="s">
        <v>98</v>
      </c>
      <c r="AC12" s="7" t="s">
        <v>119</v>
      </c>
      <c r="AD12" s="7" t="s">
        <v>61</v>
      </c>
      <c r="AE12" s="138" t="s">
        <v>66</v>
      </c>
      <c r="AF12" s="7" t="s">
        <v>98</v>
      </c>
      <c r="AG12" s="7" t="s">
        <v>119</v>
      </c>
      <c r="AH12" s="7" t="s">
        <v>61</v>
      </c>
      <c r="AI12" s="138" t="s">
        <v>66</v>
      </c>
      <c r="AJ12" s="7" t="s">
        <v>98</v>
      </c>
      <c r="AK12" s="7" t="s">
        <v>119</v>
      </c>
      <c r="AL12" s="7" t="s">
        <v>61</v>
      </c>
      <c r="AM12" s="138" t="s">
        <v>66</v>
      </c>
    </row>
    <row r="13" spans="1:39" s="20" customFormat="1" x14ac:dyDescent="0.25">
      <c r="B13" s="105" t="e">
        <f>ITE_LUC_Rates!#REF!</f>
        <v>#REF!</v>
      </c>
      <c r="C13" s="106"/>
      <c r="D13" s="107"/>
      <c r="E13" s="108"/>
      <c r="F13" s="109"/>
      <c r="G13" s="110"/>
      <c r="H13" s="110"/>
      <c r="I13" s="113"/>
      <c r="J13" s="113"/>
      <c r="K13" s="113"/>
      <c r="L13" s="110"/>
      <c r="M13" s="111"/>
      <c r="N13" s="113"/>
      <c r="O13" s="113"/>
      <c r="P13" s="113"/>
      <c r="Q13" s="113"/>
      <c r="R13" s="113"/>
      <c r="S13" s="113"/>
      <c r="T13" s="113"/>
      <c r="U13" s="113"/>
      <c r="V13" s="113"/>
      <c r="W13" s="113"/>
      <c r="X13" s="113"/>
      <c r="Y13" s="113"/>
      <c r="Z13" s="113"/>
      <c r="AA13" s="113"/>
      <c r="AB13" s="113"/>
      <c r="AC13" s="113"/>
      <c r="AD13" s="113"/>
      <c r="AE13" s="113"/>
      <c r="AF13" s="113"/>
      <c r="AG13" s="113"/>
      <c r="AH13" s="113"/>
      <c r="AI13" s="113"/>
      <c r="AJ13" s="113"/>
      <c r="AK13" s="113"/>
      <c r="AL13" s="113"/>
      <c r="AM13" s="113"/>
    </row>
    <row r="14" spans="1:39" s="20" customFormat="1" x14ac:dyDescent="0.25">
      <c r="B14" s="55">
        <v>30</v>
      </c>
      <c r="C14" s="56" t="str">
        <f>+CurrentFee_RIF!C5</f>
        <v>Truck Terminal</v>
      </c>
      <c r="D14" s="20" t="s">
        <v>110</v>
      </c>
      <c r="E14" s="142"/>
      <c r="F14" s="58" t="s">
        <v>71</v>
      </c>
      <c r="G14" s="104">
        <f>ITE_LUC_Rates!Q2</f>
        <v>10080.200000000001</v>
      </c>
      <c r="H14" s="104">
        <f>FEE_1_In!$H12</f>
        <v>9088.9980417987063</v>
      </c>
      <c r="I14" s="61">
        <f>+FEE_1_In!S12</f>
        <v>6676.0130968930844</v>
      </c>
      <c r="J14" s="61">
        <f>+FEE_1_In!V12</f>
        <v>2270.3452252147245</v>
      </c>
      <c r="K14" s="61">
        <f>+FEE_1_In!Y12</f>
        <v>142.639719690899</v>
      </c>
      <c r="L14" s="104">
        <f>+FEE_2_In!H12</f>
        <v>10810.505844536758</v>
      </c>
      <c r="M14" s="61">
        <f>+FEE_2_In!S12</f>
        <v>8965.0123915136646</v>
      </c>
      <c r="N14" s="61">
        <f>+FEE_2_In!V12</f>
        <v>1769.0546577841046</v>
      </c>
      <c r="O14" s="61">
        <f>+FEE_2_In!Y12</f>
        <v>76.438795238988604</v>
      </c>
      <c r="P14" s="61">
        <f>+FEE_3_In!H12</f>
        <v>10753.449208371063</v>
      </c>
      <c r="Q14" s="61">
        <f>+FEE_3_In!S12</f>
        <v>9671.7128910457868</v>
      </c>
      <c r="R14" s="61">
        <f>+FEE_3_In!V12</f>
        <v>1035.2577609498314</v>
      </c>
      <c r="S14" s="61">
        <f>+FEE_3_In!Y12</f>
        <v>46.47855637544474</v>
      </c>
      <c r="T14" s="61">
        <f>+FEE_4_In!H12</f>
        <v>10094.279247771145</v>
      </c>
      <c r="U14" s="61">
        <f>+FEE_4_In!S12</f>
        <v>8400.3064635506253</v>
      </c>
      <c r="V14" s="61">
        <f>+FEE_4_In!V12</f>
        <v>1649.4146867337358</v>
      </c>
      <c r="W14" s="61">
        <f>+FEE_4_In!Y12</f>
        <v>44.558097486783502</v>
      </c>
      <c r="X14" s="163">
        <f>FEE_1_In!$H12</f>
        <v>9088.9980417987063</v>
      </c>
      <c r="Y14" s="163">
        <f>+FEE_1_Out!S12</f>
        <v>7878.3647359385168</v>
      </c>
      <c r="Z14" s="163">
        <f>+FEE_1_Out!V12</f>
        <v>617.10244518199841</v>
      </c>
      <c r="AA14" s="163">
        <f>+FEE_1_Out!Y12</f>
        <v>114.14428010644464</v>
      </c>
      <c r="AB14" s="163">
        <f>+FEE_2_Out!H12</f>
        <v>9426.5320921038983</v>
      </c>
      <c r="AC14" s="163">
        <f>+FEE_2_Out!S12</f>
        <v>8901.5474325426949</v>
      </c>
      <c r="AD14" s="163">
        <f>+FEE_2_Out!V12</f>
        <v>451.4869475699806</v>
      </c>
      <c r="AE14" s="163">
        <f>+FEE_2_Out!Y12</f>
        <v>73.497711991224264</v>
      </c>
      <c r="AF14" s="163">
        <f>+FEE_3_Out!H12</f>
        <v>10394.424505198176</v>
      </c>
      <c r="AG14" s="163">
        <f>+FEE_3_Out!S12</f>
        <v>9901.8986158533426</v>
      </c>
      <c r="AH14" s="163">
        <f>+FEE_3_Out!V12</f>
        <v>449.60863363099367</v>
      </c>
      <c r="AI14" s="163">
        <f>+FEE_3_Out!Y12</f>
        <v>42.917255713838706</v>
      </c>
      <c r="AJ14" s="163">
        <f>+FEE_4_Out!H12</f>
        <v>10891.107767081674</v>
      </c>
      <c r="AK14" s="163">
        <f>+FEE_4_Out!S12</f>
        <v>10198.580048443762</v>
      </c>
      <c r="AL14" s="163">
        <f>+FEE_4_Out!V12</f>
        <v>652.10164815732048</v>
      </c>
      <c r="AM14" s="163">
        <f>+FEE_4_Out!Y12</f>
        <v>40.426070480590717</v>
      </c>
    </row>
    <row r="15" spans="1:39" s="20" customFormat="1" x14ac:dyDescent="0.25">
      <c r="B15" s="105" t="e">
        <f>ITE_LUC_Rates!#REF!</f>
        <v>#REF!</v>
      </c>
      <c r="C15" s="106"/>
      <c r="D15" s="107"/>
      <c r="E15" s="130"/>
      <c r="F15" s="109"/>
      <c r="G15" s="110"/>
      <c r="H15" s="110"/>
      <c r="I15" s="113"/>
      <c r="J15" s="113"/>
      <c r="K15" s="113"/>
      <c r="L15" s="110"/>
      <c r="M15" s="113"/>
      <c r="N15" s="113"/>
      <c r="O15" s="113"/>
      <c r="P15" s="113"/>
      <c r="Q15" s="113"/>
      <c r="R15" s="113"/>
      <c r="S15" s="113"/>
      <c r="T15" s="113"/>
      <c r="U15" s="113"/>
      <c r="V15" s="113"/>
      <c r="W15" s="113"/>
      <c r="X15" s="113"/>
      <c r="Y15" s="113"/>
      <c r="Z15" s="113"/>
      <c r="AA15" s="113"/>
      <c r="AB15" s="113"/>
      <c r="AC15" s="113"/>
      <c r="AD15" s="113"/>
      <c r="AE15" s="113"/>
      <c r="AF15" s="113"/>
      <c r="AG15" s="113"/>
      <c r="AH15" s="113"/>
      <c r="AI15" s="113"/>
      <c r="AJ15" s="113"/>
      <c r="AK15" s="113"/>
      <c r="AL15" s="113"/>
      <c r="AM15" s="113"/>
    </row>
    <row r="16" spans="1:39" s="20" customFormat="1" x14ac:dyDescent="0.25">
      <c r="B16" s="55">
        <f>ITE_LUC_Rates!B3</f>
        <v>110</v>
      </c>
      <c r="C16" s="56" t="str">
        <f>ITE_LUC_Rates!C3</f>
        <v>General Light Industrial</v>
      </c>
      <c r="D16" s="57" t="str">
        <f>ITE_LUC_Rates!D3</f>
        <v>1000 GSF</v>
      </c>
      <c r="E16" s="129">
        <f>ITE_LUC_Rates!H3</f>
        <v>4.96</v>
      </c>
      <c r="F16" s="58" t="s">
        <v>71</v>
      </c>
      <c r="G16" s="104">
        <f>ITE_LUC_Rates!Q3</f>
        <v>0</v>
      </c>
      <c r="H16" s="104">
        <f>FEE_1_In!$H14</f>
        <v>4576.7949530275728</v>
      </c>
      <c r="I16" s="61">
        <f>+FEE_1_In!S14</f>
        <v>3361.7284223948932</v>
      </c>
      <c r="J16" s="61">
        <f>+FEE_1_In!V14</f>
        <v>1143.2398291436582</v>
      </c>
      <c r="K16" s="61">
        <f>+FEE_1_In!Y14</f>
        <v>71.826701489021218</v>
      </c>
      <c r="L16" s="104">
        <f>+FEE_2_In!H14</f>
        <v>5443.6658871982054</v>
      </c>
      <c r="M16" s="61">
        <f>+FEE_2_In!S14</f>
        <v>4514.3615697368305</v>
      </c>
      <c r="N16" s="61">
        <f>+FEE_2_In!V14</f>
        <v>890.81330990955928</v>
      </c>
      <c r="O16" s="61">
        <f>+FEE_2_In!Y14</f>
        <v>38.491007551815585</v>
      </c>
      <c r="P16" s="61">
        <f>+FEE_3_In!H14</f>
        <v>5414.9348297990318</v>
      </c>
      <c r="Q16" s="61">
        <f>+FEE_3_In!S14</f>
        <v>4870.2229380291465</v>
      </c>
      <c r="R16" s="61">
        <f>+FEE_3_In!V14</f>
        <v>521.30746135138725</v>
      </c>
      <c r="S16" s="61">
        <f>+FEE_3_In!Y14</f>
        <v>23.404430418498062</v>
      </c>
      <c r="T16" s="61">
        <f>+FEE_4_In!H14</f>
        <v>5083.0076212126769</v>
      </c>
      <c r="U16" s="61">
        <f>+FEE_4_In!S14</f>
        <v>4230.0020364681313</v>
      </c>
      <c r="V16" s="61">
        <f>+FEE_4_In!V14</f>
        <v>830.56820773597269</v>
      </c>
      <c r="W16" s="61">
        <f>+FEE_4_In!Y14</f>
        <v>22.437377008573215</v>
      </c>
      <c r="X16" s="163">
        <f>FEE_1_In!$H14</f>
        <v>4576.7949530275728</v>
      </c>
      <c r="Y16" s="163">
        <f>+FEE_1_Out!S14</f>
        <v>3967.1765573862995</v>
      </c>
      <c r="Z16" s="163">
        <f>+FEE_1_Out!V14</f>
        <v>310.74397239621447</v>
      </c>
      <c r="AA16" s="163">
        <f>+FEE_1_Out!Y14</f>
        <v>57.477728865783291</v>
      </c>
      <c r="AB16" s="163">
        <f>+FEE_2_Out!H14</f>
        <v>4746.761337749781</v>
      </c>
      <c r="AC16" s="163">
        <f>+FEE_2_Out!S14</f>
        <v>4482.4035802448489</v>
      </c>
      <c r="AD16" s="163">
        <f>+FEE_2_Out!V14</f>
        <v>227.34774212660955</v>
      </c>
      <c r="AE16" s="163">
        <f>+FEE_2_Out!Y14</f>
        <v>37.010015378322066</v>
      </c>
      <c r="AF16" s="163">
        <f>+FEE_3_Out!H14</f>
        <v>5234.1467559170515</v>
      </c>
      <c r="AG16" s="163">
        <f>+FEE_3_Out!S14</f>
        <v>4986.1337192520396</v>
      </c>
      <c r="AH16" s="163">
        <f>+FEE_3_Out!V14</f>
        <v>226.40191094515009</v>
      </c>
      <c r="AI16" s="163">
        <f>+FEE_3_Out!Y14</f>
        <v>21.611125719861931</v>
      </c>
      <c r="AJ16" s="163">
        <f>+FEE_4_Out!H14</f>
        <v>5484.2532512411262</v>
      </c>
      <c r="AK16" s="163">
        <f>+FEE_4_Out!S14</f>
        <v>5135.528633531072</v>
      </c>
      <c r="AL16" s="163">
        <f>+FEE_4_Out!V14</f>
        <v>328.36793653404169</v>
      </c>
      <c r="AM16" s="163">
        <f>+FEE_4_Out!Y14</f>
        <v>20.35668117601319</v>
      </c>
    </row>
    <row r="17" spans="2:39" s="20" customFormat="1" x14ac:dyDescent="0.25">
      <c r="B17" s="55">
        <f>ITE_LUC_Rates!B4</f>
        <v>130</v>
      </c>
      <c r="C17" s="56" t="str">
        <f>ITE_LUC_Rates!C4</f>
        <v>Industrial Park</v>
      </c>
      <c r="D17" s="57" t="str">
        <f>ITE_LUC_Rates!D4</f>
        <v>1000 GSF</v>
      </c>
      <c r="E17" s="129">
        <f>ITE_LUC_Rates!H4</f>
        <v>3.37</v>
      </c>
      <c r="F17" s="58" t="s">
        <v>71</v>
      </c>
      <c r="G17" s="104">
        <f>ITE_LUC_Rates!Q4</f>
        <v>7020.7</v>
      </c>
      <c r="H17" s="104">
        <f>FEE_1_In!$H15</f>
        <v>3109.6368934884913</v>
      </c>
      <c r="I17" s="61">
        <f>+FEE_1_In!S15</f>
        <v>2284.0775773126588</v>
      </c>
      <c r="J17" s="61">
        <f>+FEE_1_In!V15</f>
        <v>776.75770649478375</v>
      </c>
      <c r="K17" s="61">
        <f>+FEE_1_In!Y15</f>
        <v>48.801609681048696</v>
      </c>
      <c r="L17" s="104">
        <f>+FEE_2_In!H15</f>
        <v>3698.6197661003939</v>
      </c>
      <c r="M17" s="61">
        <f>+FEE_2_In!S15</f>
        <v>3067.2174375026448</v>
      </c>
      <c r="N17" s="61">
        <f>+FEE_2_In!V15</f>
        <v>605.25017225709985</v>
      </c>
      <c r="O17" s="61">
        <f>+FEE_2_In!Y15</f>
        <v>26.152156340648894</v>
      </c>
      <c r="P17" s="61">
        <f>+FEE_3_In!H15</f>
        <v>3679.0988662142618</v>
      </c>
      <c r="Q17" s="61">
        <f>+FEE_3_In!S15</f>
        <v>3309.0022784593198</v>
      </c>
      <c r="R17" s="61">
        <f>+FEE_3_In!V15</f>
        <v>354.19478724882555</v>
      </c>
      <c r="S17" s="61">
        <f>+FEE_3_In!Y15</f>
        <v>15.901800506116624</v>
      </c>
      <c r="T17" s="61">
        <f>+FEE_4_In!H15</f>
        <v>3453.5757426384525</v>
      </c>
      <c r="U17" s="61">
        <f>+FEE_4_In!S15</f>
        <v>2874.0134804229042</v>
      </c>
      <c r="V17" s="61">
        <f>+FEE_4_In!V15</f>
        <v>564.31751211093297</v>
      </c>
      <c r="W17" s="61">
        <f>+FEE_4_In!Y15</f>
        <v>15.244750104615269</v>
      </c>
      <c r="X17" s="163">
        <f>FEE_1_In!$H15</f>
        <v>3109.6368934884913</v>
      </c>
      <c r="Y17" s="163">
        <f>+FEE_1_Out!S15</f>
        <v>2695.4405238693198</v>
      </c>
      <c r="Z17" s="163">
        <f>+FEE_1_Out!V15</f>
        <v>211.13048124500861</v>
      </c>
      <c r="AA17" s="163">
        <f>+FEE_1_Out!Y15</f>
        <v>39.052408523727749</v>
      </c>
      <c r="AB17" s="163">
        <f>+FEE_2_Out!H15</f>
        <v>3225.1180863340246</v>
      </c>
      <c r="AC17" s="163">
        <f>+FEE_2_Out!S15</f>
        <v>3045.5040454486175</v>
      </c>
      <c r="AD17" s="163">
        <f>+FEE_2_Out!V15</f>
        <v>154.46812317876493</v>
      </c>
      <c r="AE17" s="163">
        <f>+FEE_2_Out!Y15</f>
        <v>25.145917706642209</v>
      </c>
      <c r="AF17" s="163">
        <f>+FEE_3_Out!H15</f>
        <v>3556.2650337581572</v>
      </c>
      <c r="AG17" s="163">
        <f>+FEE_3_Out!S15</f>
        <v>3387.7561761853567</v>
      </c>
      <c r="AH17" s="163">
        <f>+FEE_3_Out!V15</f>
        <v>153.82549191232982</v>
      </c>
      <c r="AI17" s="163">
        <f>+FEE_3_Out!Y15</f>
        <v>14.683365660470702</v>
      </c>
      <c r="AJ17" s="163">
        <f>+FEE_4_Out!H15</f>
        <v>3726.1962614279432</v>
      </c>
      <c r="AK17" s="163">
        <f>+FEE_4_Out!S15</f>
        <v>3489.2603820563936</v>
      </c>
      <c r="AL17" s="163">
        <f>+FEE_4_Out!V15</f>
        <v>223.1048278467178</v>
      </c>
      <c r="AM17" s="163">
        <f>+FEE_4_Out!Y15</f>
        <v>13.831051524831544</v>
      </c>
    </row>
    <row r="18" spans="2:39" s="20" customFormat="1" x14ac:dyDescent="0.25">
      <c r="B18" s="55">
        <f>ITE_LUC_Rates!B5</f>
        <v>140</v>
      </c>
      <c r="C18" s="56" t="str">
        <f>ITE_LUC_Rates!C5</f>
        <v>Manufacturing</v>
      </c>
      <c r="D18" s="57" t="str">
        <f>ITE_LUC_Rates!D5</f>
        <v>1000 GSF</v>
      </c>
      <c r="E18" s="129">
        <f>ITE_LUC_Rates!H5</f>
        <v>3.93</v>
      </c>
      <c r="F18" s="58" t="s">
        <v>71</v>
      </c>
      <c r="G18" s="104">
        <f>ITE_LUC_Rates!Q5</f>
        <v>3853.5</v>
      </c>
      <c r="H18" s="104">
        <f>FEE_1_In!$H16</f>
        <v>3626.371807539992</v>
      </c>
      <c r="I18" s="61">
        <f>+FEE_1_In!S16</f>
        <v>2663.6275604862763</v>
      </c>
      <c r="J18" s="61">
        <f>+FEE_1_In!V16</f>
        <v>905.83317107551943</v>
      </c>
      <c r="K18" s="61">
        <f>+FEE_1_In!Y16</f>
        <v>56.911075978196251</v>
      </c>
      <c r="L18" s="104">
        <f>+FEE_2_In!H16</f>
        <v>4313.2272049776102</v>
      </c>
      <c r="M18" s="61">
        <f>+FEE_2_In!S16</f>
        <v>3576.9034211826097</v>
      </c>
      <c r="N18" s="61">
        <f>+FEE_2_In!V16</f>
        <v>705.82586853721136</v>
      </c>
      <c r="O18" s="61">
        <f>+FEE_2_In!Y16</f>
        <v>30.497915257789366</v>
      </c>
      <c r="P18" s="61">
        <f>+FEE_3_In!H16</f>
        <v>4290.4624760302813</v>
      </c>
      <c r="Q18" s="61">
        <f>+FEE_3_In!S16</f>
        <v>3858.8661585593845</v>
      </c>
      <c r="R18" s="61">
        <f>+FEE_3_In!V16</f>
        <v>413.05208127236932</v>
      </c>
      <c r="S18" s="61">
        <f>+FEE_3_In!Y16</f>
        <v>18.544236198527695</v>
      </c>
      <c r="T18" s="61">
        <f>+FEE_4_In!H16</f>
        <v>4027.4636998721417</v>
      </c>
      <c r="U18" s="61">
        <f>+FEE_4_In!S16</f>
        <v>3351.5943555080157</v>
      </c>
      <c r="V18" s="61">
        <f>+FEE_4_In!V16</f>
        <v>658.09134201660731</v>
      </c>
      <c r="W18" s="61">
        <f>+FEE_4_In!Y16</f>
        <v>17.778002347518697</v>
      </c>
      <c r="X18" s="163">
        <f>FEE_1_In!$H16</f>
        <v>3626.371807539992</v>
      </c>
      <c r="Y18" s="163">
        <f>+FEE_1_Out!S16</f>
        <v>3143.3475545419669</v>
      </c>
      <c r="Z18" s="163">
        <f>+FEE_1_Out!V16</f>
        <v>246.21447812845219</v>
      </c>
      <c r="AA18" s="163">
        <f>+FEE_1_Out!Y16</f>
        <v>45.541829524703282</v>
      </c>
      <c r="AB18" s="163">
        <f>+FEE_2_Out!H16</f>
        <v>3761.0427534993219</v>
      </c>
      <c r="AC18" s="163">
        <f>+FEE_2_Out!S16</f>
        <v>3551.5818690246483</v>
      </c>
      <c r="AD18" s="163">
        <f>+FEE_2_Out!V16</f>
        <v>180.13641664467249</v>
      </c>
      <c r="AE18" s="163">
        <f>+FEE_2_Out!Y16</f>
        <v>29.324467830001147</v>
      </c>
      <c r="AF18" s="163">
        <f>+FEE_3_Out!H16</f>
        <v>4147.217086845566</v>
      </c>
      <c r="AG18" s="163">
        <f>+FEE_3_Out!S16</f>
        <v>3950.7067573912323</v>
      </c>
      <c r="AH18" s="163">
        <f>+FEE_3_Out!V16</f>
        <v>179.38699798678223</v>
      </c>
      <c r="AI18" s="163">
        <f>+FEE_3_Out!Y16</f>
        <v>17.123331467551889</v>
      </c>
      <c r="AJ18" s="163">
        <f>+FEE_4_Out!H16</f>
        <v>4345.3861446325864</v>
      </c>
      <c r="AK18" s="163">
        <f>+FEE_4_Out!S16</f>
        <v>4069.0781310034499</v>
      </c>
      <c r="AL18" s="163">
        <f>+FEE_4_Out!V16</f>
        <v>260.17862713281926</v>
      </c>
      <c r="AM18" s="163">
        <f>+FEE_4_Out!Y16</f>
        <v>16.129386496316904</v>
      </c>
    </row>
    <row r="19" spans="2:39" s="20" customFormat="1" x14ac:dyDescent="0.25">
      <c r="B19" s="55">
        <f>ITE_LUC_Rates!B6</f>
        <v>150</v>
      </c>
      <c r="C19" s="56" t="str">
        <f>ITE_LUC_Rates!C6</f>
        <v>Warehousing</v>
      </c>
      <c r="D19" s="57" t="str">
        <f>ITE_LUC_Rates!D6</f>
        <v>1000 GSF</v>
      </c>
      <c r="E19" s="129">
        <f>ITE_LUC_Rates!H6</f>
        <v>1.74</v>
      </c>
      <c r="F19" s="58" t="s">
        <v>71</v>
      </c>
      <c r="G19" s="104">
        <f>ITE_LUC_Rates!Q6</f>
        <v>5002.3</v>
      </c>
      <c r="H19" s="104">
        <f>FEE_1_In!$H17</f>
        <v>1605.5691972314467</v>
      </c>
      <c r="I19" s="61">
        <f>+FEE_1_In!S17</f>
        <v>1179.3160191465954</v>
      </c>
      <c r="J19" s="61">
        <f>+FEE_1_In!V17</f>
        <v>401.0559078044285</v>
      </c>
      <c r="K19" s="61">
        <f>+FEE_1_In!Y17</f>
        <v>25.197270280422764</v>
      </c>
      <c r="L19" s="104">
        <f>+FEE_2_In!H17</f>
        <v>1909.6731136542091</v>
      </c>
      <c r="M19" s="61">
        <f>+FEE_2_In!S17</f>
        <v>1583.6671635770333</v>
      </c>
      <c r="N19" s="61">
        <f>+FEE_2_In!V17</f>
        <v>312.50305629891795</v>
      </c>
      <c r="O19" s="61">
        <f>+FEE_2_In!Y17</f>
        <v>13.502893778257883</v>
      </c>
      <c r="P19" s="61">
        <f>+FEE_3_In!H17</f>
        <v>1899.5940733569182</v>
      </c>
      <c r="Q19" s="61">
        <f>+FEE_3_In!S17</f>
        <v>1708.5056274537731</v>
      </c>
      <c r="R19" s="61">
        <f>+FEE_3_In!V17</f>
        <v>182.87802071601081</v>
      </c>
      <c r="S19" s="61">
        <f>+FEE_3_In!Y17</f>
        <v>8.2104251871343994</v>
      </c>
      <c r="T19" s="61">
        <f>+FEE_4_In!H17</f>
        <v>1783.1518671189633</v>
      </c>
      <c r="U19" s="61">
        <f>+FEE_4_In!S17</f>
        <v>1483.9120047287395</v>
      </c>
      <c r="V19" s="61">
        <f>+FEE_4_In!V17</f>
        <v>291.3686857783452</v>
      </c>
      <c r="W19" s="61">
        <f>+FEE_4_In!Y17</f>
        <v>7.8711766118785063</v>
      </c>
      <c r="X19" s="163">
        <f>FEE_1_In!$H17</f>
        <v>1605.5691972314467</v>
      </c>
      <c r="Y19" s="163">
        <f>+FEE_1_Out!S17</f>
        <v>1391.7111310185803</v>
      </c>
      <c r="Z19" s="163">
        <f>+FEE_1_Out!V17</f>
        <v>109.01099031641394</v>
      </c>
      <c r="AA19" s="163">
        <f>+FEE_1_Out!Y17</f>
        <v>20.163558110173973</v>
      </c>
      <c r="AB19" s="163">
        <f>+FEE_2_Out!H17</f>
        <v>1665.1945015493181</v>
      </c>
      <c r="AC19" s="163">
        <f>+FEE_2_Out!S17</f>
        <v>1572.4560946826687</v>
      </c>
      <c r="AD19" s="163">
        <f>+FEE_2_Out!V17</f>
        <v>79.755054697641228</v>
      </c>
      <c r="AE19" s="163">
        <f>+FEE_2_Out!Y17</f>
        <v>12.983352169008144</v>
      </c>
      <c r="AF19" s="163">
        <f>+FEE_3_Out!H17</f>
        <v>1836.1724506644491</v>
      </c>
      <c r="AG19" s="163">
        <f>+FEE_3_Out!S17</f>
        <v>1749.1678773182553</v>
      </c>
      <c r="AH19" s="163">
        <f>+FEE_3_Out!V17</f>
        <v>79.423251017048628</v>
      </c>
      <c r="AI19" s="163">
        <f>+FEE_3_Out!Y17</f>
        <v>7.5813223291451113</v>
      </c>
      <c r="AJ19" s="163">
        <f>+FEE_4_Out!H17</f>
        <v>1923.9114228144274</v>
      </c>
      <c r="AK19" s="163">
        <f>+FEE_4_Out!S17</f>
        <v>1801.5765770854969</v>
      </c>
      <c r="AL19" s="163">
        <f>+FEE_4_Out!V17</f>
        <v>115.19359063895814</v>
      </c>
      <c r="AM19" s="163">
        <f>+FEE_4_Out!Y17</f>
        <v>7.141255089972371</v>
      </c>
    </row>
    <row r="20" spans="2:39" s="20" customFormat="1" x14ac:dyDescent="0.25">
      <c r="B20" s="55">
        <f>ITE_LUC_Rates!B7</f>
        <v>151</v>
      </c>
      <c r="C20" s="56" t="str">
        <f>ITE_LUC_Rates!C7</f>
        <v>Mini-Warehousing</v>
      </c>
      <c r="D20" s="57" t="str">
        <f>ITE_LUC_Rates!D7</f>
        <v>1000 GSF</v>
      </c>
      <c r="E20" s="129">
        <f>ITE_LUC_Rates!H7</f>
        <v>1.51</v>
      </c>
      <c r="F20" s="58" t="s">
        <v>71</v>
      </c>
      <c r="G20" s="104">
        <f>ITE_LUC_Rates!Q7</f>
        <v>2415.4</v>
      </c>
      <c r="H20" s="104">
        <f>FEE_1_In!$H18</f>
        <v>1393.3387861031524</v>
      </c>
      <c r="I20" s="61">
        <f>+FEE_1_In!S18</f>
        <v>1023.4294189145744</v>
      </c>
      <c r="J20" s="61">
        <f>+FEE_1_In!V18</f>
        <v>348.04277056591212</v>
      </c>
      <c r="K20" s="61">
        <f>+FEE_1_In!Y18</f>
        <v>21.866596622665732</v>
      </c>
      <c r="L20" s="104">
        <f>+FEE_2_In!H18</f>
        <v>1657.2450584010669</v>
      </c>
      <c r="M20" s="61">
        <f>+FEE_2_In!S18</f>
        <v>1374.3318488513337</v>
      </c>
      <c r="N20" s="61">
        <f>+FEE_2_In!V18</f>
        <v>271.19518104101508</v>
      </c>
      <c r="O20" s="61">
        <f>+FEE_2_In!Y18</f>
        <v>11.718028508718049</v>
      </c>
      <c r="P20" s="61">
        <f>+FEE_3_In!H18</f>
        <v>1648.4983050396245</v>
      </c>
      <c r="Q20" s="61">
        <f>+FEE_3_In!S18</f>
        <v>1482.6686766983892</v>
      </c>
      <c r="R20" s="61">
        <f>+FEE_3_In!V18</f>
        <v>158.70448924205539</v>
      </c>
      <c r="S20" s="61">
        <f>+FEE_3_In!Y18</f>
        <v>7.1251390991798536</v>
      </c>
      <c r="T20" s="61">
        <f>+FEE_4_In!H18</f>
        <v>1547.447884683698</v>
      </c>
      <c r="U20" s="61">
        <f>+FEE_4_In!S18</f>
        <v>1287.7627167473545</v>
      </c>
      <c r="V20" s="61">
        <f>+FEE_4_In!V18</f>
        <v>252.85443420994326</v>
      </c>
      <c r="W20" s="61">
        <f>+FEE_4_In!Y18</f>
        <v>6.8307337264003136</v>
      </c>
      <c r="X20" s="163">
        <f>FEE_1_In!$H18</f>
        <v>1393.3387861031524</v>
      </c>
      <c r="Y20" s="163">
        <f>+FEE_1_Out!S18</f>
        <v>1207.749314849458</v>
      </c>
      <c r="Z20" s="163">
        <f>+FEE_1_Out!V18</f>
        <v>94.60149159642819</v>
      </c>
      <c r="AA20" s="163">
        <f>+FEE_1_Out!Y18</f>
        <v>17.498260199059022</v>
      </c>
      <c r="AB20" s="163">
        <f>+FEE_2_Out!H18</f>
        <v>1445.0825846778566</v>
      </c>
      <c r="AC20" s="163">
        <f>+FEE_2_Out!S18</f>
        <v>1364.6027028567987</v>
      </c>
      <c r="AD20" s="163">
        <f>+FEE_2_Out!V18</f>
        <v>69.212719881286375</v>
      </c>
      <c r="AE20" s="163">
        <f>+FEE_2_Out!Y18</f>
        <v>11.267161939771434</v>
      </c>
      <c r="AF20" s="163">
        <f>+FEE_3_Out!H18</f>
        <v>1593.4600002892635</v>
      </c>
      <c r="AG20" s="163">
        <f>+FEE_3_Out!S18</f>
        <v>1517.9560314658424</v>
      </c>
      <c r="AH20" s="163">
        <f>+FEE_3_Out!V18</f>
        <v>68.924775307898528</v>
      </c>
      <c r="AI20" s="163">
        <f>+FEE_3_Out!Y18</f>
        <v>6.5791935155224808</v>
      </c>
      <c r="AJ20" s="163">
        <f>+FEE_4_Out!H18</f>
        <v>1669.6012922125205</v>
      </c>
      <c r="AK20" s="163">
        <f>+FEE_4_Out!S18</f>
        <v>1563.4371444822418</v>
      </c>
      <c r="AL20" s="163">
        <f>+FEE_4_Out!V18</f>
        <v>99.966851646452199</v>
      </c>
      <c r="AM20" s="163">
        <f>+FEE_4_Out!Y18</f>
        <v>6.1972960838265978</v>
      </c>
    </row>
    <row r="21" spans="2:39" s="20" customFormat="1" x14ac:dyDescent="0.25">
      <c r="B21" s="55">
        <f>ITE_LUC_Rates!B8</f>
        <v>160</v>
      </c>
      <c r="C21" s="56" t="str">
        <f>ITE_LUC_Rates!C8</f>
        <v>Data Center</v>
      </c>
      <c r="D21" s="57" t="str">
        <f>ITE_LUC_Rates!D8</f>
        <v>1000 GSF</v>
      </c>
      <c r="E21" s="129">
        <f>ITE_LUC_Rates!H8</f>
        <v>0.99</v>
      </c>
      <c r="F21" s="58" t="s">
        <v>71</v>
      </c>
      <c r="G21" s="104">
        <f>ITE_LUC_Rates!Q8</f>
        <v>0</v>
      </c>
      <c r="H21" s="104">
        <f>FEE_1_In!$H19</f>
        <v>913.51350876961624</v>
      </c>
      <c r="I21" s="61">
        <f>+FEE_1_In!S19</f>
        <v>670.99014882478707</v>
      </c>
      <c r="J21" s="61">
        <f>+FEE_1_In!V19</f>
        <v>228.18698202665755</v>
      </c>
      <c r="K21" s="61">
        <f>+FEE_1_In!Y19</f>
        <v>14.336377918171575</v>
      </c>
      <c r="L21" s="104">
        <f>+FEE_2_In!H19</f>
        <v>1086.5381508722226</v>
      </c>
      <c r="M21" s="61">
        <f>+FEE_2_In!S19</f>
        <v>901.05200686279488</v>
      </c>
      <c r="N21" s="61">
        <f>+FEE_2_In!V19</f>
        <v>177.80346306662574</v>
      </c>
      <c r="O21" s="61">
        <f>+FEE_2_In!Y19</f>
        <v>7.6826809428019001</v>
      </c>
      <c r="P21" s="61">
        <f>+FEE_3_In!H19</f>
        <v>1080.8035244961777</v>
      </c>
      <c r="Q21" s="61">
        <f>+FEE_3_In!S19</f>
        <v>972.08078803404328</v>
      </c>
      <c r="R21" s="61">
        <f>+FEE_3_In!V19</f>
        <v>104.05128764876477</v>
      </c>
      <c r="S21" s="61">
        <f>+FEE_3_In!Y19</f>
        <v>4.6714488133695724</v>
      </c>
      <c r="T21" s="61">
        <f>+FEE_4_In!H19</f>
        <v>1014.5519243952723</v>
      </c>
      <c r="U21" s="61">
        <f>+FEE_4_In!S19</f>
        <v>844.29476131117951</v>
      </c>
      <c r="V21" s="61">
        <f>+FEE_4_In!V19</f>
        <v>165.7787350118171</v>
      </c>
      <c r="W21" s="61">
        <f>+FEE_4_In!Y19</f>
        <v>4.4784280722757019</v>
      </c>
      <c r="X21" s="163">
        <f>FEE_1_In!$H19</f>
        <v>913.51350876961624</v>
      </c>
      <c r="Y21" s="163">
        <f>+FEE_1_Out!S19</f>
        <v>791.83564351057169</v>
      </c>
      <c r="Z21" s="163">
        <f>+FEE_1_Out!V19</f>
        <v>62.023494490373459</v>
      </c>
      <c r="AA21" s="163">
        <f>+FEE_1_Out!Y19</f>
        <v>11.472369269581746</v>
      </c>
      <c r="AB21" s="163">
        <f>+FEE_2_Out!H19</f>
        <v>947.43825088150868</v>
      </c>
      <c r="AC21" s="163">
        <f>+FEE_2_Out!S19</f>
        <v>894.6732952504841</v>
      </c>
      <c r="AD21" s="163">
        <f>+FEE_2_Out!V19</f>
        <v>45.377875948657945</v>
      </c>
      <c r="AE21" s="163">
        <f>+FEE_2_Out!Y19</f>
        <v>7.3870796823667026</v>
      </c>
      <c r="AF21" s="163">
        <f>+FEE_3_Out!H19</f>
        <v>1044.7188081366694</v>
      </c>
      <c r="AG21" s="163">
        <f>+FEE_3_Out!S19</f>
        <v>995.21620606038675</v>
      </c>
      <c r="AH21" s="163">
        <f>+FEE_3_Out!V19</f>
        <v>45.189091095906981</v>
      </c>
      <c r="AI21" s="163">
        <f>+FEE_3_Out!Y19</f>
        <v>4.3135109803756668</v>
      </c>
      <c r="AJ21" s="163">
        <f>+FEE_4_Out!H19</f>
        <v>1094.6392578082086</v>
      </c>
      <c r="AK21" s="163">
        <f>+FEE_4_Out!S19</f>
        <v>1025.0349490314034</v>
      </c>
      <c r="AL21" s="163">
        <f>+FEE_4_Out!V19</f>
        <v>65.541180880786527</v>
      </c>
      <c r="AM21" s="163">
        <f>+FEE_4_Out!Y19</f>
        <v>4.063127896018762</v>
      </c>
    </row>
    <row r="22" spans="2:39" s="20" customFormat="1" x14ac:dyDescent="0.25">
      <c r="B22" s="55">
        <f>ITE_LUC_Rates!B9</f>
        <v>170</v>
      </c>
      <c r="C22" s="56" t="str">
        <f>ITE_LUC_Rates!C9</f>
        <v>Utility</v>
      </c>
      <c r="D22" s="57" t="str">
        <f>ITE_LUC_Rates!D9</f>
        <v>1000 GSF</v>
      </c>
      <c r="E22" s="129">
        <f>ITE_LUC_Rates!H9</f>
        <v>13.24</v>
      </c>
      <c r="F22" s="58" t="s">
        <v>71</v>
      </c>
      <c r="G22" s="104">
        <f>ITE_LUC_Rates!Q9</f>
        <v>0</v>
      </c>
      <c r="H22" s="104">
        <f>FEE_1_In!$H20</f>
        <v>12217.089753646182</v>
      </c>
      <c r="I22" s="61">
        <f>+FEE_1_In!S20</f>
        <v>8973.6460307476573</v>
      </c>
      <c r="J22" s="61">
        <f>+FEE_1_In!V20</f>
        <v>3051.712769730249</v>
      </c>
      <c r="K22" s="61">
        <f>+FEE_1_In!Y20</f>
        <v>191.7309531682744</v>
      </c>
      <c r="L22" s="104">
        <f>+FEE_2_In!H20</f>
        <v>14531.075876311341</v>
      </c>
      <c r="M22" s="61">
        <f>+FEE_2_In!S20</f>
        <v>12050.432899862026</v>
      </c>
      <c r="N22" s="61">
        <f>+FEE_2_In!V20</f>
        <v>2377.8968191940653</v>
      </c>
      <c r="O22" s="61">
        <f>+FEE_2_In!Y20</f>
        <v>102.74615725524966</v>
      </c>
      <c r="P22" s="61">
        <f>+FEE_3_In!H20</f>
        <v>14454.382489221607</v>
      </c>
      <c r="Q22" s="61">
        <f>+FEE_3_In!S20</f>
        <v>13000.353165222963</v>
      </c>
      <c r="R22" s="61">
        <f>+FEE_3_In!V20</f>
        <v>1391.5545944137837</v>
      </c>
      <c r="S22" s="61">
        <f>+FEE_3_In!Y20</f>
        <v>62.474729584861755</v>
      </c>
      <c r="T22" s="61">
        <f>+FEE_4_In!H20</f>
        <v>13568.35098888223</v>
      </c>
      <c r="U22" s="61">
        <f>+FEE_4_In!S20</f>
        <v>11291.376403797998</v>
      </c>
      <c r="V22" s="61">
        <f>+FEE_4_In!V20</f>
        <v>2217.081264198443</v>
      </c>
      <c r="W22" s="61">
        <f>+FEE_4_In!Y20</f>
        <v>59.893320885788185</v>
      </c>
      <c r="X22" s="163">
        <f>FEE_1_In!$H20</f>
        <v>12217.089753646182</v>
      </c>
      <c r="Y22" s="163">
        <f>+FEE_1_Out!S20</f>
        <v>10589.801939474719</v>
      </c>
      <c r="Z22" s="163">
        <f>+FEE_1_Out!V20</f>
        <v>829.48592631570148</v>
      </c>
      <c r="AA22" s="163">
        <f>+FEE_1_Out!Y20</f>
        <v>153.4284536659215</v>
      </c>
      <c r="AB22" s="163">
        <f>+FEE_2_Out!H20</f>
        <v>12670.790345122397</v>
      </c>
      <c r="AC22" s="163">
        <f>+FEE_2_Out!S20</f>
        <v>11965.125685976169</v>
      </c>
      <c r="AD22" s="163">
        <f>+FEE_2_Out!V20</f>
        <v>606.87179551538509</v>
      </c>
      <c r="AE22" s="163">
        <f>+FEE_2_Out!Y20</f>
        <v>98.79286363084357</v>
      </c>
      <c r="AF22" s="163">
        <f>+FEE_3_Out!H20</f>
        <v>13971.794969423741</v>
      </c>
      <c r="AG22" s="163">
        <f>+FEE_3_Out!S20</f>
        <v>13309.760169938911</v>
      </c>
      <c r="AH22" s="163">
        <f>+FEE_3_Out!V20</f>
        <v>604.34703647455387</v>
      </c>
      <c r="AI22" s="163">
        <f>+FEE_3_Out!Y20</f>
        <v>57.687763010276598</v>
      </c>
      <c r="AJ22" s="163">
        <f>+FEE_4_Out!H20</f>
        <v>14639.41795290978</v>
      </c>
      <c r="AK22" s="163">
        <f>+FEE_4_Out!S20</f>
        <v>13708.548207248263</v>
      </c>
      <c r="AL22" s="163">
        <f>+FEE_4_Out!V20</f>
        <v>876.53054026425627</v>
      </c>
      <c r="AM22" s="163">
        <f>+FEE_4_Out!Y20</f>
        <v>54.339205397261019</v>
      </c>
    </row>
    <row r="23" spans="2:39" s="20" customFormat="1" x14ac:dyDescent="0.25">
      <c r="B23" s="105" t="e">
        <f>ITE_LUC_Rates!#REF!</f>
        <v>#REF!</v>
      </c>
      <c r="C23" s="106"/>
      <c r="D23" s="107"/>
      <c r="E23" s="130"/>
      <c r="F23" s="109"/>
      <c r="G23" s="110"/>
      <c r="H23" s="110"/>
      <c r="I23" s="113"/>
      <c r="J23" s="113"/>
      <c r="K23" s="113"/>
      <c r="L23" s="110"/>
      <c r="M23" s="113"/>
      <c r="N23" s="113"/>
      <c r="O23" s="113"/>
      <c r="P23" s="113"/>
      <c r="Q23" s="113"/>
      <c r="R23" s="113"/>
      <c r="S23" s="113"/>
      <c r="T23" s="113"/>
      <c r="U23" s="113"/>
      <c r="V23" s="113"/>
      <c r="W23" s="113"/>
      <c r="X23" s="113"/>
      <c r="Y23" s="113"/>
      <c r="Z23" s="113"/>
      <c r="AA23" s="113"/>
      <c r="AB23" s="113"/>
      <c r="AC23" s="113"/>
      <c r="AD23" s="113"/>
      <c r="AE23" s="113"/>
      <c r="AF23" s="113"/>
      <c r="AG23" s="113"/>
      <c r="AH23" s="113"/>
      <c r="AI23" s="113"/>
      <c r="AJ23" s="113"/>
      <c r="AK23" s="113"/>
      <c r="AL23" s="113"/>
      <c r="AM23" s="113"/>
    </row>
    <row r="24" spans="2:39" s="20" customFormat="1" x14ac:dyDescent="0.25">
      <c r="B24" s="55">
        <f>ITE_LUC_Rates!B10</f>
        <v>210</v>
      </c>
      <c r="C24" s="56" t="str">
        <f>ITE_LUC_Rates!C10</f>
        <v>Single Family Detached</v>
      </c>
      <c r="D24" s="57" t="str">
        <f>ITE_LUC_Rates!D10</f>
        <v>Dwelling unit</v>
      </c>
      <c r="E24" s="129">
        <f>ITE_LUC_Rates!H10</f>
        <v>9.44</v>
      </c>
      <c r="F24" s="58" t="s">
        <v>68</v>
      </c>
      <c r="G24" s="104">
        <f>ITE_LUC_Rates!Q10</f>
        <v>9543.67</v>
      </c>
      <c r="H24" s="104">
        <f>FEE_1_In!$H22</f>
        <v>9538.0028840764662</v>
      </c>
      <c r="I24" s="61">
        <f>+FEE_1_In!S22</f>
        <v>7843.4177405852297</v>
      </c>
      <c r="J24" s="61">
        <f>+FEE_1_In!V22</f>
        <v>1584.0785281900839</v>
      </c>
      <c r="K24" s="61">
        <f>+FEE_1_In!Y22</f>
        <v>110.50661530115225</v>
      </c>
      <c r="L24" s="104">
        <f>+FEE_2_In!H22</f>
        <v>10403.237169188493</v>
      </c>
      <c r="M24" s="61">
        <f>+FEE_2_In!S22</f>
        <v>8623.2698278700536</v>
      </c>
      <c r="N24" s="61">
        <f>+FEE_2_In!V22</f>
        <v>1706.5044396130345</v>
      </c>
      <c r="O24" s="61">
        <f>+FEE_2_In!Y22</f>
        <v>73.462901705404533</v>
      </c>
      <c r="P24" s="61">
        <f>+FEE_3_In!H22</f>
        <v>10238.879044885038</v>
      </c>
      <c r="Q24" s="61">
        <f>+FEE_3_In!S22</f>
        <v>9218.4896179009975</v>
      </c>
      <c r="R24" s="61">
        <f>+FEE_3_In!V22</f>
        <v>975.91493004221707</v>
      </c>
      <c r="S24" s="61">
        <f>+FEE_3_In!Y22</f>
        <v>44.474496941823112</v>
      </c>
      <c r="T24" s="61">
        <f>+FEE_4_In!H22</f>
        <v>9550.048853028884</v>
      </c>
      <c r="U24" s="61">
        <f>+FEE_4_In!S22</f>
        <v>7980.1108238479956</v>
      </c>
      <c r="V24" s="61">
        <f>+FEE_4_In!V22</f>
        <v>1527.5477625441074</v>
      </c>
      <c r="W24" s="61">
        <f>+FEE_4_In!Y22</f>
        <v>42.390266636781412</v>
      </c>
      <c r="X24" s="163">
        <f>FEE_1_In!$H22</f>
        <v>9538.0028840764662</v>
      </c>
      <c r="Y24" s="163">
        <f>+FEE_1_Out!S22</f>
        <v>6214.0811735644793</v>
      </c>
      <c r="Z24" s="163">
        <f>+FEE_1_Out!V22</f>
        <v>843.80543038227972</v>
      </c>
      <c r="AA24" s="163">
        <f>+FEE_1_Out!Y22</f>
        <v>136.53711208930599</v>
      </c>
      <c r="AB24" s="163">
        <f>+FEE_2_Out!H22</f>
        <v>9053.2244196898391</v>
      </c>
      <c r="AC24" s="163">
        <f>+FEE_2_Out!S22</f>
        <v>8549.2101811085904</v>
      </c>
      <c r="AD24" s="163">
        <f>+FEE_2_Out!V22</f>
        <v>433.83739163209788</v>
      </c>
      <c r="AE24" s="163">
        <f>+FEE_2_Out!Y22</f>
        <v>70.17684694915144</v>
      </c>
      <c r="AF24" s="163">
        <f>+FEE_3_Out!H22</f>
        <v>9958.2768754851477</v>
      </c>
      <c r="AG24" s="163">
        <f>+FEE_3_Out!S22</f>
        <v>9487.733920890234</v>
      </c>
      <c r="AH24" s="163">
        <f>+FEE_3_Out!V22</f>
        <v>429.36138614072826</v>
      </c>
      <c r="AI24" s="163">
        <f>+FEE_3_Out!Y22</f>
        <v>41.181568454185559</v>
      </c>
      <c r="AJ24" s="163">
        <f>+FEE_4_Out!H22</f>
        <v>10433.389475438586</v>
      </c>
      <c r="AK24" s="163">
        <f>+FEE_4_Out!S22</f>
        <v>9787.1888099722273</v>
      </c>
      <c r="AL24" s="163">
        <f>+FEE_4_Out!V22</f>
        <v>607.34970997571668</v>
      </c>
      <c r="AM24" s="163">
        <f>+FEE_4_Out!Y22</f>
        <v>38.850955490641837</v>
      </c>
    </row>
    <row r="25" spans="2:39" s="20" customFormat="1" x14ac:dyDescent="0.25">
      <c r="B25" s="55">
        <f>ITE_LUC_Rates!B11</f>
        <v>220</v>
      </c>
      <c r="C25" s="56" t="str">
        <f>ITE_LUC_Rates!C11</f>
        <v>Multi-family Housing (Low-Rise)</v>
      </c>
      <c r="D25" s="57" t="str">
        <f>ITE_LUC_Rates!D11</f>
        <v>Dwelling unit</v>
      </c>
      <c r="E25" s="129">
        <f>ITE_LUC_Rates!H11</f>
        <v>7.32</v>
      </c>
      <c r="F25" s="58" t="s">
        <v>68</v>
      </c>
      <c r="G25" s="104">
        <f>ITE_LUC_Rates!Q11</f>
        <v>6701.09</v>
      </c>
      <c r="H25" s="104">
        <f>FEE_1_In!$H23</f>
        <v>7395.9937618050581</v>
      </c>
      <c r="I25" s="61">
        <f>+FEE_1_In!S23</f>
        <v>6081.9722310470224</v>
      </c>
      <c r="J25" s="61">
        <f>+FEE_1_In!V23</f>
        <v>1228.3320790626501</v>
      </c>
      <c r="K25" s="61">
        <f>+FEE_1_In!Y23</f>
        <v>85.689451695385017</v>
      </c>
      <c r="L25" s="104">
        <f>+FEE_2_In!H23</f>
        <v>8066.91695746396</v>
      </c>
      <c r="M25" s="61">
        <f>+FEE_2_In!S23</f>
        <v>6686.6880444924582</v>
      </c>
      <c r="N25" s="61">
        <f>+FEE_2_In!V23</f>
        <v>1323.2640358016329</v>
      </c>
      <c r="O25" s="61">
        <f>+FEE_2_In!Y23</f>
        <v>56.964877169868785</v>
      </c>
      <c r="P25" s="61">
        <f>+FEE_3_In!H23</f>
        <v>7939.4697678557714</v>
      </c>
      <c r="Q25" s="61">
        <f>+FEE_3_In!S23</f>
        <v>7148.2355935418755</v>
      </c>
      <c r="R25" s="61">
        <f>+FEE_3_In!V23</f>
        <v>756.74759405815985</v>
      </c>
      <c r="S25" s="61">
        <f>+FEE_3_In!Y23</f>
        <v>34.486580255735724</v>
      </c>
      <c r="T25" s="61">
        <f>+FEE_4_In!H23</f>
        <v>7405.3344919673145</v>
      </c>
      <c r="U25" s="61">
        <f>+FEE_4_In!S23</f>
        <v>6187.9672913736586</v>
      </c>
      <c r="V25" s="61">
        <f>+FEE_4_In!V23</f>
        <v>1184.4967819727617</v>
      </c>
      <c r="W25" s="61">
        <f>+FEE_4_In!Y23</f>
        <v>32.870418620894064</v>
      </c>
      <c r="X25" s="163">
        <f>FEE_1_In!$H23</f>
        <v>7395.9937618050581</v>
      </c>
      <c r="Y25" s="163">
        <f>+FEE_1_Out!S23</f>
        <v>4818.5459947555082</v>
      </c>
      <c r="Z25" s="163">
        <f>+FEE_1_Out!V23</f>
        <v>654.3067532201577</v>
      </c>
      <c r="AA25" s="163">
        <f>+FEE_1_Out!Y23</f>
        <v>105.87411657772459</v>
      </c>
      <c r="AB25" s="163">
        <f>+FEE_2_Out!H23</f>
        <v>7020.0850373018702</v>
      </c>
      <c r="AC25" s="163">
        <f>+FEE_2_Out!S23</f>
        <v>6629.2604370460704</v>
      </c>
      <c r="AD25" s="163">
        <f>+FEE_2_Out!V23</f>
        <v>336.40780791810988</v>
      </c>
      <c r="AE25" s="163">
        <f>+FEE_2_Out!Y23</f>
        <v>54.416792337689479</v>
      </c>
      <c r="AF25" s="163">
        <f>+FEE_3_Out!H23</f>
        <v>7721.8841873465353</v>
      </c>
      <c r="AG25" s="163">
        <f>+FEE_3_Out!S23</f>
        <v>7357.0140149275985</v>
      </c>
      <c r="AH25" s="163">
        <f>+FEE_3_Out!V23</f>
        <v>332.93700704980205</v>
      </c>
      <c r="AI25" s="163">
        <f>+FEE_3_Out!Y23</f>
        <v>31.93316536913542</v>
      </c>
      <c r="AJ25" s="163">
        <f>+FEE_4_Out!H23</f>
        <v>8090.2977712087359</v>
      </c>
      <c r="AK25" s="163">
        <f>+FEE_4_Out!S23</f>
        <v>7589.2184416310083</v>
      </c>
      <c r="AL25" s="163">
        <f>+FEE_4_Out!V23</f>
        <v>470.95337680320415</v>
      </c>
      <c r="AM25" s="163">
        <f>+FEE_4_Out!Y23</f>
        <v>30.125952774523125</v>
      </c>
    </row>
    <row r="26" spans="2:39" s="20" customFormat="1" x14ac:dyDescent="0.25">
      <c r="B26" s="134">
        <f>ITE_LUC_Rates!B12</f>
        <v>221</v>
      </c>
      <c r="C26" s="135" t="str">
        <f>ITE_LUC_Rates!C12</f>
        <v>Multi-family Housing (Mid-Rise)</v>
      </c>
      <c r="D26" s="232" t="str">
        <f>ITE_LUC_Rates!D12</f>
        <v>Dwelling unit</v>
      </c>
      <c r="E26" s="233">
        <f>ITE_LUC_Rates!H12</f>
        <v>5.44</v>
      </c>
      <c r="F26" s="136" t="s">
        <v>68</v>
      </c>
      <c r="G26" s="137">
        <f>ITE_LUC_Rates!Q12</f>
        <v>0</v>
      </c>
      <c r="H26" s="104">
        <f>FEE_1_In!$H24</f>
        <v>5496.4762382813533</v>
      </c>
      <c r="I26" s="61">
        <f>+FEE_1_In!S24</f>
        <v>4519.9356471169122</v>
      </c>
      <c r="J26" s="61">
        <f>+FEE_1_In!V24</f>
        <v>912.85881285530286</v>
      </c>
      <c r="K26" s="61">
        <f>+FEE_1_In!Y24</f>
        <v>63.681778309138593</v>
      </c>
      <c r="L26" s="104">
        <f>+FEE_2_In!H24</f>
        <v>5995.0858263120135</v>
      </c>
      <c r="M26" s="61">
        <f>+FEE_2_In!S24</f>
        <v>4969.3419347047775</v>
      </c>
      <c r="N26" s="61">
        <f>+FEE_2_In!V24</f>
        <v>983.40933808208786</v>
      </c>
      <c r="O26" s="61">
        <f>+FEE_2_In!Y24</f>
        <v>42.334553525148387</v>
      </c>
      <c r="P26" s="61">
        <f>+FEE_3_In!H24</f>
        <v>5900.3709750184962</v>
      </c>
      <c r="Q26" s="61">
        <f>+FEE_3_In!S24</f>
        <v>5312.3499492988803</v>
      </c>
      <c r="R26" s="61">
        <f>+FEE_3_In!V24</f>
        <v>562.39165460059974</v>
      </c>
      <c r="S26" s="61">
        <f>+FEE_3_In!Y24</f>
        <v>25.62937111901671</v>
      </c>
      <c r="T26" s="61">
        <f>+FEE_4_In!H24</f>
        <v>5503.4179831013917</v>
      </c>
      <c r="U26" s="61">
        <f>+FEE_4_In!S24</f>
        <v>4598.7079323869812</v>
      </c>
      <c r="V26" s="61">
        <f>+FEE_4_In!V24</f>
        <v>880.28176146609587</v>
      </c>
      <c r="W26" s="61">
        <f>+FEE_4_In!Y24</f>
        <v>24.428289248314712</v>
      </c>
      <c r="X26" s="163">
        <f>FEE_1_In!$H24</f>
        <v>5496.4762382813533</v>
      </c>
      <c r="Y26" s="163">
        <f>+FEE_1_Out!S24</f>
        <v>3580.9959305286834</v>
      </c>
      <c r="Z26" s="163">
        <f>+FEE_1_Out!V24</f>
        <v>486.26075649148333</v>
      </c>
      <c r="AA26" s="163">
        <f>+FEE_1_Out!Y24</f>
        <v>78.68240357688822</v>
      </c>
      <c r="AB26" s="163">
        <f>+FEE_2_Out!H24</f>
        <v>5217.1123774483822</v>
      </c>
      <c r="AC26" s="163">
        <f>+FEE_2_Out!S24</f>
        <v>4926.6634941981711</v>
      </c>
      <c r="AD26" s="163">
        <f>+FEE_2_Out!V24</f>
        <v>250.00798839815812</v>
      </c>
      <c r="AE26" s="163">
        <f>+FEE_2_Out!Y24</f>
        <v>40.440894852053376</v>
      </c>
      <c r="AF26" s="163">
        <f>+FEE_3_Out!H24</f>
        <v>5738.6680299405944</v>
      </c>
      <c r="AG26" s="163">
        <f>+FEE_3_Out!S24</f>
        <v>5467.5076832248815</v>
      </c>
      <c r="AH26" s="163">
        <f>+FEE_3_Out!V24</f>
        <v>247.42859540313154</v>
      </c>
      <c r="AI26" s="163">
        <f>+FEE_3_Out!Y24</f>
        <v>23.731751312581512</v>
      </c>
      <c r="AJ26" s="163">
        <f>+FEE_4_Out!H24</f>
        <v>6012.4617316086778</v>
      </c>
      <c r="AK26" s="163">
        <f>+FEE_4_Out!S24</f>
        <v>5640.0749074416235</v>
      </c>
      <c r="AL26" s="163">
        <f>+FEE_4_Out!V24</f>
        <v>349.99813795210798</v>
      </c>
      <c r="AM26" s="163">
        <f>+FEE_4_Out!Y24</f>
        <v>22.388686214946141</v>
      </c>
    </row>
    <row r="27" spans="2:39" s="20" customFormat="1" x14ac:dyDescent="0.25">
      <c r="B27" s="55">
        <f>ITE_LUC_Rates!B13</f>
        <v>222</v>
      </c>
      <c r="C27" s="56" t="str">
        <f>ITE_LUC_Rates!C13</f>
        <v>Multi-family Housing (High-Rise)</v>
      </c>
      <c r="D27" s="57" t="str">
        <f>ITE_LUC_Rates!D13</f>
        <v>Dwelling unit</v>
      </c>
      <c r="E27" s="129">
        <f>ITE_LUC_Rates!H13</f>
        <v>4.45</v>
      </c>
      <c r="F27" s="58" t="s">
        <v>68</v>
      </c>
      <c r="G27" s="104">
        <f>ITE_LUC_Rates!Q13</f>
        <v>4188.18</v>
      </c>
      <c r="H27" s="104">
        <f>FEE_1_In!$H25</f>
        <v>4496.1983934470627</v>
      </c>
      <c r="I27" s="61">
        <f>+FEE_1_In!S25</f>
        <v>3697.3738289835037</v>
      </c>
      <c r="J27" s="61">
        <f>+FEE_1_In!V25</f>
        <v>746.73193330994445</v>
      </c>
      <c r="K27" s="61">
        <f>+FEE_1_In!Y25</f>
        <v>52.092631153615216</v>
      </c>
      <c r="L27" s="104">
        <f>+FEE_2_In!H25</f>
        <v>4904.0683689500847</v>
      </c>
      <c r="M27" s="61">
        <f>+FEE_2_In!S25</f>
        <v>4064.9947811463717</v>
      </c>
      <c r="N27" s="61">
        <f>+FEE_2_In!V25</f>
        <v>804.44330045317849</v>
      </c>
      <c r="O27" s="61">
        <f>+FEE_2_In!Y25</f>
        <v>34.630287350534992</v>
      </c>
      <c r="P27" s="61">
        <f>+FEE_3_In!H25</f>
        <v>4826.5902277265286</v>
      </c>
      <c r="Q27" s="61">
        <f>+FEE_3_In!S25</f>
        <v>4345.5803813198563</v>
      </c>
      <c r="R27" s="61">
        <f>+FEE_3_In!V25</f>
        <v>460.04464392879942</v>
      </c>
      <c r="S27" s="61">
        <f>+FEE_3_In!Y25</f>
        <v>20.965202477872129</v>
      </c>
      <c r="T27" s="61">
        <f>+FEE_4_In!H25</f>
        <v>4501.8768427943369</v>
      </c>
      <c r="U27" s="61">
        <f>+FEE_4_In!S25</f>
        <v>3761.8107167503804</v>
      </c>
      <c r="V27" s="61">
        <f>+FEE_4_In!V25</f>
        <v>720.08342619928817</v>
      </c>
      <c r="W27" s="61">
        <f>+FEE_4_In!Y25</f>
        <v>19.982699844669213</v>
      </c>
      <c r="X27" s="163">
        <f>FEE_1_In!$H25</f>
        <v>4496.1983934470627</v>
      </c>
      <c r="Y27" s="163">
        <f>+FEE_1_Out!S25</f>
        <v>2929.3073328773239</v>
      </c>
      <c r="Z27" s="163">
        <f>+FEE_1_Out!V25</f>
        <v>397.76844970351118</v>
      </c>
      <c r="AA27" s="163">
        <f>+FEE_1_Out!Y25</f>
        <v>64.363363220064826</v>
      </c>
      <c r="AB27" s="163">
        <f>+FEE_2_Out!H25</f>
        <v>4267.6746469936224</v>
      </c>
      <c r="AC27" s="163">
        <f>+FEE_2_Out!S25</f>
        <v>4030.0831891878433</v>
      </c>
      <c r="AD27" s="163">
        <f>+FEE_2_Out!V25</f>
        <v>204.51021109775806</v>
      </c>
      <c r="AE27" s="163">
        <f>+FEE_2_Out!Y25</f>
        <v>33.081246708021609</v>
      </c>
      <c r="AF27" s="163">
        <f>+FEE_3_Out!H25</f>
        <v>4694.3148406683185</v>
      </c>
      <c r="AG27" s="163">
        <f>+FEE_3_Out!S25</f>
        <v>4472.5016894027076</v>
      </c>
      <c r="AH27" s="163">
        <f>+FEE_3_Out!V25</f>
        <v>202.40022969557643</v>
      </c>
      <c r="AI27" s="163">
        <f>+FEE_3_Out!Y25</f>
        <v>19.412921570034513</v>
      </c>
      <c r="AJ27" s="163">
        <f>+FEE_4_Out!H25</f>
        <v>4918.2821150107748</v>
      </c>
      <c r="AK27" s="163">
        <f>+FEE_4_Out!S25</f>
        <v>4613.6642165652984</v>
      </c>
      <c r="AL27" s="163">
        <f>+FEE_4_Out!V25</f>
        <v>286.30362387626479</v>
      </c>
      <c r="AM27" s="163">
        <f>+FEE_4_Out!Y25</f>
        <v>18.314274569211459</v>
      </c>
    </row>
    <row r="28" spans="2:39" s="20" customFormat="1" x14ac:dyDescent="0.25">
      <c r="B28" s="55">
        <f>ITE_LUC_Rates!B14</f>
        <v>230</v>
      </c>
      <c r="C28" s="56" t="str">
        <f>ITE_LUC_Rates!C14</f>
        <v xml:space="preserve">Residential Condominium/Townhouse </v>
      </c>
      <c r="D28" s="57" t="str">
        <f>ITE_LUC_Rates!D14</f>
        <v>Dwelling unit</v>
      </c>
      <c r="E28" s="129">
        <f>ITE_LUC_Rates!H14</f>
        <v>5.86</v>
      </c>
      <c r="F28" s="58" t="s">
        <v>68</v>
      </c>
      <c r="G28" s="104">
        <f>ITE_LUC_Rates!Q14</f>
        <v>5843.27</v>
      </c>
      <c r="H28" s="104">
        <f>FEE_1_In!$H26</f>
        <v>5920.8365360898406</v>
      </c>
      <c r="I28" s="61">
        <f>+FEE_1_In!S26</f>
        <v>4868.901266931086</v>
      </c>
      <c r="J28" s="61">
        <f>+FEE_1_In!V26</f>
        <v>983.33688296545483</v>
      </c>
      <c r="K28" s="61">
        <f>+FEE_1_In!Y26</f>
        <v>68.598386193300044</v>
      </c>
      <c r="L28" s="104">
        <f>+FEE_2_In!H26</f>
        <v>6457.9417173140455</v>
      </c>
      <c r="M28" s="61">
        <f>+FEE_2_In!S26</f>
        <v>5353.0043634871327</v>
      </c>
      <c r="N28" s="61">
        <f>+FEE_2_In!V26</f>
        <v>1059.3343237428371</v>
      </c>
      <c r="O28" s="61">
        <f>+FEE_2_In!Y26</f>
        <v>45.603030084075286</v>
      </c>
      <c r="P28" s="61">
        <f>+FEE_3_In!H26</f>
        <v>6355.9143223544843</v>
      </c>
      <c r="Q28" s="61">
        <f>+FEE_3_In!S26</f>
        <v>5722.494614502104</v>
      </c>
      <c r="R28" s="61">
        <f>+FEE_3_In!V26</f>
        <v>605.81159852196959</v>
      </c>
      <c r="S28" s="61">
        <f>+FEE_3_In!Y26</f>
        <v>27.608109330411388</v>
      </c>
      <c r="T28" s="61">
        <f>+FEE_4_In!H26</f>
        <v>5928.3142244437795</v>
      </c>
      <c r="U28" s="61">
        <f>+FEE_4_In!S26</f>
        <v>4953.7552359903884</v>
      </c>
      <c r="V28" s="61">
        <f>+FEE_4_In!V26</f>
        <v>948.24469157928729</v>
      </c>
      <c r="W28" s="61">
        <f>+FEE_4_In!Y26</f>
        <v>26.314296874103722</v>
      </c>
      <c r="X28" s="163">
        <f>FEE_1_In!$H26</f>
        <v>5920.8365360898406</v>
      </c>
      <c r="Y28" s="163">
        <f>+FEE_1_Out!S26</f>
        <v>3857.469881047442</v>
      </c>
      <c r="Z28" s="163">
        <f>+FEE_1_Out!V26</f>
        <v>523.80294725001704</v>
      </c>
      <c r="AA28" s="163">
        <f>+FEE_1_Out!Y26</f>
        <v>84.757147970692088</v>
      </c>
      <c r="AB28" s="163">
        <f>+FEE_2_Out!H26</f>
        <v>5619.9041418837369</v>
      </c>
      <c r="AC28" s="163">
        <f>+FEE_2_Out!S26</f>
        <v>5307.0308963237667</v>
      </c>
      <c r="AD28" s="163">
        <f>+FEE_2_Out!V26</f>
        <v>269.31007573772183</v>
      </c>
      <c r="AE28" s="163">
        <f>+FEE_2_Out!Y26</f>
        <v>43.563169822248682</v>
      </c>
      <c r="AF28" s="163">
        <f>+FEE_3_Out!H26</f>
        <v>6181.7269587227729</v>
      </c>
      <c r="AG28" s="163">
        <f>+FEE_3_Out!S26</f>
        <v>5889.6314381797438</v>
      </c>
      <c r="AH28" s="163">
        <f>+FEE_3_Out!V26</f>
        <v>266.53153843057925</v>
      </c>
      <c r="AI28" s="163">
        <f>+FEE_3_Out!Y26</f>
        <v>25.563982112449946</v>
      </c>
      <c r="AJ28" s="163">
        <f>+FEE_4_Out!H26</f>
        <v>6476.6591447108176</v>
      </c>
      <c r="AK28" s="163">
        <f>+FEE_4_Out!S26</f>
        <v>6075.521867207337</v>
      </c>
      <c r="AL28" s="163">
        <f>+FEE_4_Out!V26</f>
        <v>377.02005301458695</v>
      </c>
      <c r="AM28" s="163">
        <f>+FEE_4_Out!Y26</f>
        <v>24.117224488894195</v>
      </c>
    </row>
    <row r="29" spans="2:39" s="20" customFormat="1" x14ac:dyDescent="0.25">
      <c r="B29" s="134">
        <f>ITE_LUC_Rates!B15</f>
        <v>231</v>
      </c>
      <c r="C29" s="135" t="str">
        <f>ITE_LUC_Rates!C15</f>
        <v>Mid Rise Apart w/ 1st Commercial</v>
      </c>
      <c r="D29" s="232" t="str">
        <f>ITE_LUC_Rates!D15</f>
        <v>Dwelling unit</v>
      </c>
      <c r="E29" s="233">
        <f>ITE_LUC_Rates!H15</f>
        <v>3.44</v>
      </c>
      <c r="F29" s="136" t="s">
        <v>68</v>
      </c>
      <c r="G29" s="137">
        <f>ITE_LUC_Rates!Q15</f>
        <v>0</v>
      </c>
      <c r="H29" s="104">
        <f>FEE_1_In!$H27</f>
        <v>3475.7129153837973</v>
      </c>
      <c r="I29" s="61">
        <f>+FEE_1_In!S27</f>
        <v>2858.1946003827534</v>
      </c>
      <c r="J29" s="61">
        <f>+FEE_1_In!V27</f>
        <v>577.24895518791197</v>
      </c>
      <c r="K29" s="61">
        <f>+FEE_1_In!Y27</f>
        <v>40.269359813131757</v>
      </c>
      <c r="L29" s="104">
        <f>+FEE_2_In!H27</f>
        <v>3791.0101548737725</v>
      </c>
      <c r="M29" s="61">
        <f>+FEE_2_In!S27</f>
        <v>3142.377988122138</v>
      </c>
      <c r="N29" s="61">
        <f>+FEE_2_In!V27</f>
        <v>621.86178731661425</v>
      </c>
      <c r="O29" s="61">
        <f>+FEE_2_In!Y27</f>
        <v>26.770379435020303</v>
      </c>
      <c r="P29" s="61">
        <f>+FEE_3_In!H27</f>
        <v>3731.1169400852264</v>
      </c>
      <c r="Q29" s="61">
        <f>+FEE_3_In!S27</f>
        <v>3359.2801149978218</v>
      </c>
      <c r="R29" s="61">
        <f>+FEE_3_In!V27</f>
        <v>355.63001687979096</v>
      </c>
      <c r="S29" s="61">
        <f>+FEE_3_In!Y27</f>
        <v>16.206808207613509</v>
      </c>
      <c r="T29" s="61">
        <f>+FEE_4_In!H27</f>
        <v>3480.1025481376446</v>
      </c>
      <c r="U29" s="61">
        <f>+FEE_4_In!S27</f>
        <v>2908.006486656473</v>
      </c>
      <c r="V29" s="61">
        <f>+FEE_4_In!V27</f>
        <v>556.64876092709005</v>
      </c>
      <c r="W29" s="61">
        <f>+FEE_4_In!Y27</f>
        <v>15.447300554081362</v>
      </c>
      <c r="X29" s="163">
        <f>FEE_1_In!$H27</f>
        <v>3475.7129153837973</v>
      </c>
      <c r="Y29" s="163">
        <f>+FEE_1_Out!S27</f>
        <v>2264.4533090107848</v>
      </c>
      <c r="Z29" s="163">
        <f>+FEE_1_Out!V27</f>
        <v>307.48841954608503</v>
      </c>
      <c r="AA29" s="163">
        <f>+FEE_1_Out!Y27</f>
        <v>49.755049320679319</v>
      </c>
      <c r="AB29" s="163">
        <f>+FEE_2_Out!H27</f>
        <v>3299.0563563276546</v>
      </c>
      <c r="AC29" s="163">
        <f>+FEE_2_Out!S27</f>
        <v>3115.3901507429619</v>
      </c>
      <c r="AD29" s="163">
        <f>+FEE_2_Out!V27</f>
        <v>158.09328678118825</v>
      </c>
      <c r="AE29" s="163">
        <f>+FEE_2_Out!Y27</f>
        <v>25.572918803504344</v>
      </c>
      <c r="AF29" s="163">
        <f>+FEE_3_Out!H27</f>
        <v>3628.8636071683177</v>
      </c>
      <c r="AG29" s="163">
        <f>+FEE_3_Out!S27</f>
        <v>3457.3945643922048</v>
      </c>
      <c r="AH29" s="163">
        <f>+FEE_3_Out!V27</f>
        <v>156.46220003433319</v>
      </c>
      <c r="AI29" s="163">
        <f>+FEE_3_Out!Y27</f>
        <v>15.006842741779487</v>
      </c>
      <c r="AJ29" s="163">
        <f>+FEE_4_Out!H27</f>
        <v>3801.9978596937221</v>
      </c>
      <c r="AK29" s="163">
        <f>+FEE_4_Out!S27</f>
        <v>3566.5179561763202</v>
      </c>
      <c r="AL29" s="163">
        <f>+FEE_4_Out!V27</f>
        <v>221.32235194030358</v>
      </c>
      <c r="AM29" s="163">
        <f>+FEE_4_Out!Y27</f>
        <v>14.157551577098296</v>
      </c>
    </row>
    <row r="30" spans="2:39" s="20" customFormat="1" x14ac:dyDescent="0.25">
      <c r="B30" s="55">
        <f>ITE_LUC_Rates!B16</f>
        <v>240</v>
      </c>
      <c r="C30" s="56" t="str">
        <f>ITE_LUC_Rates!C16</f>
        <v>Mobile Home (Park)</v>
      </c>
      <c r="D30" s="57" t="str">
        <f>ITE_LUC_Rates!D16</f>
        <v>Dwelling unit</v>
      </c>
      <c r="E30" s="129">
        <f>ITE_LUC_Rates!H16</f>
        <v>5</v>
      </c>
      <c r="F30" s="58" t="s">
        <v>68</v>
      </c>
      <c r="G30" s="104">
        <f>ITE_LUC_Rates!Q16</f>
        <v>4975.3599999999997</v>
      </c>
      <c r="H30" s="104">
        <f>FEE_1_In!$H28</f>
        <v>5051.9083072438916</v>
      </c>
      <c r="I30" s="61">
        <f>+FEE_1_In!S28</f>
        <v>4154.3526168353974</v>
      </c>
      <c r="J30" s="61">
        <f>+FEE_1_In!V28</f>
        <v>839.02464416847693</v>
      </c>
      <c r="K30" s="61">
        <f>+FEE_1_In!Y28</f>
        <v>58.531046240017091</v>
      </c>
      <c r="L30" s="104">
        <f>+FEE_2_In!H28</f>
        <v>5510.1891785956004</v>
      </c>
      <c r="M30" s="61">
        <f>+FEE_2_In!S28</f>
        <v>4567.4098664565972</v>
      </c>
      <c r="N30" s="61">
        <f>+FEE_2_In!V28</f>
        <v>903.86887691368372</v>
      </c>
      <c r="O30" s="61">
        <f>+FEE_2_In!Y28</f>
        <v>38.910435225320214</v>
      </c>
      <c r="P30" s="61">
        <f>+FEE_3_In!H28</f>
        <v>5423.1350873331785</v>
      </c>
      <c r="Q30" s="61">
        <f>+FEE_3_In!S28</f>
        <v>4882.6745857526485</v>
      </c>
      <c r="R30" s="61">
        <f>+FEE_3_In!V28</f>
        <v>516.9040943020218</v>
      </c>
      <c r="S30" s="61">
        <f>+FEE_3_In!Y28</f>
        <v>23.556407278508004</v>
      </c>
      <c r="T30" s="61">
        <f>+FEE_4_In!H28</f>
        <v>5058.2885874093681</v>
      </c>
      <c r="U30" s="61">
        <f>+FEE_4_In!S28</f>
        <v>4226.7536143262696</v>
      </c>
      <c r="V30" s="61">
        <f>+FEE_4_In!V28</f>
        <v>809.08250134751472</v>
      </c>
      <c r="W30" s="61">
        <f>+FEE_4_In!Y28</f>
        <v>22.452471735583376</v>
      </c>
      <c r="X30" s="163">
        <f>FEE_1_In!$H28</f>
        <v>5051.9083072438916</v>
      </c>
      <c r="Y30" s="163">
        <f>+FEE_1_Out!S28</f>
        <v>3291.3565537947457</v>
      </c>
      <c r="Z30" s="163">
        <f>+FEE_1_Out!V28</f>
        <v>446.93084236349574</v>
      </c>
      <c r="AA30" s="163">
        <f>+FEE_1_Out!Y28</f>
        <v>72.318385640522266</v>
      </c>
      <c r="AB30" s="163">
        <f>+FEE_2_Out!H28</f>
        <v>4795.140052801823</v>
      </c>
      <c r="AC30" s="163">
        <f>+FEE_2_Out!S28</f>
        <v>4528.1833586380253</v>
      </c>
      <c r="AD30" s="163">
        <f>+FEE_2_Out!V28</f>
        <v>229.78675404242477</v>
      </c>
      <c r="AE30" s="163">
        <f>+FEE_2_Out!Y28</f>
        <v>37.169940121372591</v>
      </c>
      <c r="AF30" s="163">
        <f>+FEE_3_Out!H28</f>
        <v>5274.5110569306944</v>
      </c>
      <c r="AG30" s="163">
        <f>+FEE_3_Out!S28</f>
        <v>5025.2827970816934</v>
      </c>
      <c r="AH30" s="163">
        <f>+FEE_3_Out!V28</f>
        <v>227.41598842199596</v>
      </c>
      <c r="AI30" s="163">
        <f>+FEE_3_Out!Y28</f>
        <v>21.812271427005069</v>
      </c>
      <c r="AJ30" s="163">
        <f>+FEE_4_Out!H28</f>
        <v>5526.1596797873872</v>
      </c>
      <c r="AK30" s="163">
        <f>+FEE_4_Out!S28</f>
        <v>5183.8923781632566</v>
      </c>
      <c r="AL30" s="163">
        <f>+FEE_4_Out!V28</f>
        <v>321.68946502951104</v>
      </c>
      <c r="AM30" s="163">
        <f>+FEE_4_Out!Y28</f>
        <v>20.577836594619615</v>
      </c>
    </row>
    <row r="31" spans="2:39" s="20" customFormat="1" x14ac:dyDescent="0.25">
      <c r="B31" s="55">
        <f>ITE_LUC_Rates!B17</f>
        <v>251</v>
      </c>
      <c r="C31" s="56" t="str">
        <f>ITE_LUC_Rates!C17</f>
        <v>Senior Adult Housing-Detached</v>
      </c>
      <c r="D31" s="57" t="str">
        <f>ITE_LUC_Rates!D17</f>
        <v>Dwelling unit</v>
      </c>
      <c r="E31" s="129">
        <f>ITE_LUC_Rates!H17</f>
        <v>4.2699999999999996</v>
      </c>
      <c r="F31" s="58" t="s">
        <v>68</v>
      </c>
      <c r="G31" s="104">
        <f>ITE_LUC_Rates!Q17</f>
        <v>3670.12</v>
      </c>
      <c r="H31" s="104">
        <f>FEE_1_In!$H29</f>
        <v>4314.3296943862833</v>
      </c>
      <c r="I31" s="61">
        <f>+FEE_1_In!S29</f>
        <v>3547.8171347774291</v>
      </c>
      <c r="J31" s="61">
        <f>+FEE_1_In!V29</f>
        <v>716.52704611987906</v>
      </c>
      <c r="K31" s="61">
        <f>+FEE_1_In!Y29</f>
        <v>49.985513488974597</v>
      </c>
      <c r="L31" s="104">
        <f>+FEE_2_In!H29</f>
        <v>4705.7015585206427</v>
      </c>
      <c r="M31" s="61">
        <f>+FEE_2_In!S29</f>
        <v>3900.5680259539336</v>
      </c>
      <c r="N31" s="61">
        <f>+FEE_2_In!V29</f>
        <v>771.90402088428573</v>
      </c>
      <c r="O31" s="61">
        <f>+FEE_2_In!Y29</f>
        <v>33.22951168242345</v>
      </c>
      <c r="P31" s="61">
        <f>+FEE_3_In!H29</f>
        <v>4631.3573645825327</v>
      </c>
      <c r="Q31" s="61">
        <f>+FEE_3_In!S29</f>
        <v>4169.8040962327605</v>
      </c>
      <c r="R31" s="61">
        <f>+FEE_3_In!V29</f>
        <v>441.43609653392656</v>
      </c>
      <c r="S31" s="61">
        <f>+FEE_3_In!Y29</f>
        <v>20.117171815845836</v>
      </c>
      <c r="T31" s="61">
        <f>+FEE_4_In!H29</f>
        <v>4319.7784536475992</v>
      </c>
      <c r="U31" s="61">
        <f>+FEE_4_In!S29</f>
        <v>3609.6475866346336</v>
      </c>
      <c r="V31" s="61">
        <f>+FEE_4_In!V29</f>
        <v>690.95645615077751</v>
      </c>
      <c r="W31" s="61">
        <f>+FEE_4_In!Y29</f>
        <v>19.174410862188203</v>
      </c>
      <c r="X31" s="163">
        <f>FEE_1_In!$H29</f>
        <v>4314.3296943862833</v>
      </c>
      <c r="Y31" s="163">
        <f>+FEE_1_Out!S29</f>
        <v>2810.818496940713</v>
      </c>
      <c r="Z31" s="163">
        <f>+FEE_1_Out!V29</f>
        <v>381.67893937842535</v>
      </c>
      <c r="AA31" s="163">
        <f>+FEE_1_Out!Y29</f>
        <v>61.759901337006006</v>
      </c>
      <c r="AB31" s="163">
        <f>+FEE_2_Out!H29</f>
        <v>4095.0496050927563</v>
      </c>
      <c r="AC31" s="163">
        <f>+FEE_2_Out!S29</f>
        <v>3867.0685882768735</v>
      </c>
      <c r="AD31" s="163">
        <f>+FEE_2_Out!V29</f>
        <v>196.23788795223078</v>
      </c>
      <c r="AE31" s="163">
        <f>+FEE_2_Out!Y29</f>
        <v>31.743128863652192</v>
      </c>
      <c r="AF31" s="163">
        <f>+FEE_3_Out!H29</f>
        <v>4504.4324426188114</v>
      </c>
      <c r="AG31" s="163">
        <f>+FEE_3_Out!S29</f>
        <v>4291.5915087077647</v>
      </c>
      <c r="AH31" s="163">
        <f>+FEE_3_Out!V29</f>
        <v>194.2132541123845</v>
      </c>
      <c r="AI31" s="163">
        <f>+FEE_3_Out!Y29</f>
        <v>18.627679798662328</v>
      </c>
      <c r="AJ31" s="163">
        <f>+FEE_4_Out!H29</f>
        <v>4719.3403665384285</v>
      </c>
      <c r="AK31" s="163">
        <f>+FEE_4_Out!S29</f>
        <v>4427.0440909514209</v>
      </c>
      <c r="AL31" s="163">
        <f>+FEE_4_Out!V29</f>
        <v>274.72280313520235</v>
      </c>
      <c r="AM31" s="163">
        <f>+FEE_4_Out!Y29</f>
        <v>17.573472451805152</v>
      </c>
    </row>
    <row r="32" spans="2:39" s="20" customFormat="1" x14ac:dyDescent="0.25">
      <c r="B32" s="55">
        <f>ITE_LUC_Rates!B18</f>
        <v>252</v>
      </c>
      <c r="C32" s="56" t="str">
        <f>ITE_LUC_Rates!C18</f>
        <v>Senior Adult Housing-Attached</v>
      </c>
      <c r="D32" s="57" t="str">
        <f>ITE_LUC_Rates!D18</f>
        <v>Dwelling unit</v>
      </c>
      <c r="E32" s="129">
        <f>ITE_LUC_Rates!H18</f>
        <v>3.7</v>
      </c>
      <c r="F32" s="58" t="s">
        <v>68</v>
      </c>
      <c r="G32" s="104">
        <f>ITE_LUC_Rates!Q18</f>
        <v>3429.6</v>
      </c>
      <c r="H32" s="104">
        <f>FEE_1_In!$H30</f>
        <v>3738.4121473604791</v>
      </c>
      <c r="I32" s="61">
        <f>+FEE_1_In!S30</f>
        <v>3074.220936458194</v>
      </c>
      <c r="J32" s="61">
        <f>+FEE_1_In!V30</f>
        <v>620.87823668467286</v>
      </c>
      <c r="K32" s="61">
        <f>+FEE_1_In!Y30</f>
        <v>43.312974217612648</v>
      </c>
      <c r="L32" s="104">
        <f>+FEE_2_In!H30</f>
        <v>4077.5399921607445</v>
      </c>
      <c r="M32" s="61">
        <f>+FEE_2_In!S30</f>
        <v>3379.883301177882</v>
      </c>
      <c r="N32" s="61">
        <f>+FEE_2_In!V30</f>
        <v>668.86296891612585</v>
      </c>
      <c r="O32" s="61">
        <f>+FEE_2_In!Y30</f>
        <v>28.793722066736951</v>
      </c>
      <c r="P32" s="61">
        <f>+FEE_3_In!H30</f>
        <v>4013.1199646265518</v>
      </c>
      <c r="Q32" s="61">
        <f>+FEE_3_In!S30</f>
        <v>3613.1791934569596</v>
      </c>
      <c r="R32" s="61">
        <f>+FEE_3_In!V30</f>
        <v>382.50902978349615</v>
      </c>
      <c r="S32" s="61">
        <f>+FEE_3_In!Y30</f>
        <v>17.431741386095926</v>
      </c>
      <c r="T32" s="61">
        <f>+FEE_4_In!H30</f>
        <v>3743.1335546829323</v>
      </c>
      <c r="U32" s="61">
        <f>+FEE_4_In!S30</f>
        <v>3127.7976746014397</v>
      </c>
      <c r="V32" s="61">
        <f>+FEE_4_In!V30</f>
        <v>598.72105099716089</v>
      </c>
      <c r="W32" s="61">
        <f>+FEE_4_In!Y30</f>
        <v>16.614829084331699</v>
      </c>
      <c r="X32" s="163">
        <f>FEE_1_In!$H30</f>
        <v>3738.4121473604791</v>
      </c>
      <c r="Y32" s="163">
        <f>+FEE_1_Out!S30</f>
        <v>2435.6038498081116</v>
      </c>
      <c r="Z32" s="163">
        <f>+FEE_1_Out!V30</f>
        <v>330.72882334898679</v>
      </c>
      <c r="AA32" s="163">
        <f>+FEE_1_Out!Y30</f>
        <v>53.515605373986475</v>
      </c>
      <c r="AB32" s="163">
        <f>+FEE_2_Out!H30</f>
        <v>3548.403639073349</v>
      </c>
      <c r="AC32" s="163">
        <f>+FEE_2_Out!S30</f>
        <v>3350.8556853921386</v>
      </c>
      <c r="AD32" s="163">
        <f>+FEE_2_Out!V30</f>
        <v>170.04219799139432</v>
      </c>
      <c r="AE32" s="163">
        <f>+FEE_2_Out!Y30</f>
        <v>27.505755689815718</v>
      </c>
      <c r="AF32" s="163">
        <f>+FEE_3_Out!H30</f>
        <v>3903.1381821287137</v>
      </c>
      <c r="AG32" s="163">
        <f>+FEE_3_Out!S30</f>
        <v>3718.7092698404531</v>
      </c>
      <c r="AH32" s="163">
        <f>+FEE_3_Out!V30</f>
        <v>168.28783143227699</v>
      </c>
      <c r="AI32" s="163">
        <f>+FEE_3_Out!Y30</f>
        <v>16.141080855983756</v>
      </c>
      <c r="AJ32" s="163">
        <f>+FEE_4_Out!H30</f>
        <v>4089.358163042667</v>
      </c>
      <c r="AK32" s="163">
        <f>+FEE_4_Out!S30</f>
        <v>3836.0803598408102</v>
      </c>
      <c r="AL32" s="163">
        <f>+FEE_4_Out!V30</f>
        <v>238.05020412183814</v>
      </c>
      <c r="AM32" s="163">
        <f>+FEE_4_Out!Y30</f>
        <v>15.227599080018516</v>
      </c>
    </row>
    <row r="33" spans="2:39" s="20" customFormat="1" x14ac:dyDescent="0.25">
      <c r="B33" s="55">
        <f>ITE_LUC_Rates!B19</f>
        <v>253</v>
      </c>
      <c r="C33" s="56" t="str">
        <f>ITE_LUC_Rates!C19</f>
        <v>Congregate Care Facility</v>
      </c>
      <c r="D33" s="57" t="str">
        <f>ITE_LUC_Rates!D19</f>
        <v>Dwelling unit</v>
      </c>
      <c r="E33" s="129">
        <f>ITE_LUC_Rates!H19</f>
        <v>2.02</v>
      </c>
      <c r="F33" s="58" t="s">
        <v>68</v>
      </c>
      <c r="G33" s="104">
        <f>ITE_LUC_Rates!Q19</f>
        <v>2050.3000000000002</v>
      </c>
      <c r="H33" s="104">
        <f>FEE_1_In!$H31</f>
        <v>2040.970956126532</v>
      </c>
      <c r="I33" s="61">
        <f>+FEE_1_In!S31</f>
        <v>1678.3584572015004</v>
      </c>
      <c r="J33" s="61">
        <f>+FEE_1_In!V31</f>
        <v>338.96595624406467</v>
      </c>
      <c r="K33" s="61">
        <f>+FEE_1_In!Y31</f>
        <v>23.646542680966903</v>
      </c>
      <c r="L33" s="104">
        <f>+FEE_2_In!H31</f>
        <v>2226.1164281526226</v>
      </c>
      <c r="M33" s="61">
        <f>+FEE_2_In!S31</f>
        <v>1845.2335860484652</v>
      </c>
      <c r="N33" s="61">
        <f>+FEE_2_In!V31</f>
        <v>365.16302627312814</v>
      </c>
      <c r="O33" s="61">
        <f>+FEE_2_In!Y31</f>
        <v>15.719815831029361</v>
      </c>
      <c r="P33" s="61">
        <f>+FEE_3_In!H31</f>
        <v>2190.9465752826036</v>
      </c>
      <c r="Q33" s="61">
        <f>+FEE_3_In!S31</f>
        <v>1972.6005326440695</v>
      </c>
      <c r="R33" s="61">
        <f>+FEE_3_In!V31</f>
        <v>208.82925409801678</v>
      </c>
      <c r="S33" s="61">
        <f>+FEE_3_In!Y31</f>
        <v>9.5167885405172363</v>
      </c>
      <c r="T33" s="61">
        <f>+FEE_4_In!H31</f>
        <v>2043.5485893133844</v>
      </c>
      <c r="U33" s="61">
        <f>+FEE_4_In!S31</f>
        <v>1707.6084601878126</v>
      </c>
      <c r="V33" s="61">
        <f>+FEE_4_In!V31</f>
        <v>326.86933054439595</v>
      </c>
      <c r="W33" s="61">
        <f>+FEE_4_In!Y31</f>
        <v>9.0707985811756853</v>
      </c>
      <c r="X33" s="163">
        <f>FEE_1_In!$H31</f>
        <v>2040.970956126532</v>
      </c>
      <c r="Y33" s="163">
        <f>+FEE_1_Out!S31</f>
        <v>1329.7080477330774</v>
      </c>
      <c r="Z33" s="163">
        <f>+FEE_1_Out!V31</f>
        <v>180.56006031485228</v>
      </c>
      <c r="AA33" s="163">
        <f>+FEE_1_Out!Y31</f>
        <v>29.216627798770993</v>
      </c>
      <c r="AB33" s="163">
        <f>+FEE_2_Out!H31</f>
        <v>1937.2365813319361</v>
      </c>
      <c r="AC33" s="163">
        <f>+FEE_2_Out!S31</f>
        <v>1829.3860768897621</v>
      </c>
      <c r="AD33" s="163">
        <f>+FEE_2_Out!V31</f>
        <v>92.83384863313961</v>
      </c>
      <c r="AE33" s="163">
        <f>+FEE_2_Out!Y31</f>
        <v>15.016655809034527</v>
      </c>
      <c r="AF33" s="163">
        <f>+FEE_3_Out!H31</f>
        <v>2130.9024670000003</v>
      </c>
      <c r="AG33" s="163">
        <f>+FEE_3_Out!S31</f>
        <v>2030.2142500210039</v>
      </c>
      <c r="AH33" s="163">
        <f>+FEE_3_Out!V31</f>
        <v>91.876059322486356</v>
      </c>
      <c r="AI33" s="163">
        <f>+FEE_3_Out!Y31</f>
        <v>8.8121576565100472</v>
      </c>
      <c r="AJ33" s="163">
        <f>+FEE_4_Out!H31</f>
        <v>2232.5685106341043</v>
      </c>
      <c r="AK33" s="163">
        <f>+FEE_4_Out!S31</f>
        <v>2094.2925207779554</v>
      </c>
      <c r="AL33" s="163">
        <f>+FEE_4_Out!V31</f>
        <v>129.96254387192246</v>
      </c>
      <c r="AM33" s="163">
        <f>+FEE_4_Out!Y31</f>
        <v>8.3134459842263251</v>
      </c>
    </row>
    <row r="34" spans="2:39" s="20" customFormat="1" x14ac:dyDescent="0.25">
      <c r="B34" s="55">
        <f>ITE_LUC_Rates!B20</f>
        <v>254</v>
      </c>
      <c r="C34" s="56" t="str">
        <f>ITE_LUC_Rates!C20</f>
        <v>Assisted Living Facility</v>
      </c>
      <c r="D34" s="57" t="str">
        <f>ITE_LUC_Rates!D20</f>
        <v>Bed</v>
      </c>
      <c r="E34" s="129">
        <f>ITE_LUC_Rates!H20</f>
        <v>2.6</v>
      </c>
      <c r="F34" s="58" t="s">
        <v>68</v>
      </c>
      <c r="G34" s="104">
        <f>ITE_LUC_Rates!Q20</f>
        <v>2701.29</v>
      </c>
      <c r="H34" s="104">
        <f>FEE_1_In!$H32</f>
        <v>2626.9923197668236</v>
      </c>
      <c r="I34" s="61">
        <f>+FEE_1_In!S32</f>
        <v>2160.2633607544067</v>
      </c>
      <c r="J34" s="61">
        <f>+FEE_1_In!V32</f>
        <v>436.29281496760797</v>
      </c>
      <c r="K34" s="61">
        <f>+FEE_1_In!Y32</f>
        <v>30.436144044808888</v>
      </c>
      <c r="L34" s="104">
        <f>+FEE_2_In!H32</f>
        <v>2865.2983728697118</v>
      </c>
      <c r="M34" s="61">
        <f>+FEE_2_In!S32</f>
        <v>2375.05313055743</v>
      </c>
      <c r="N34" s="61">
        <f>+FEE_2_In!V32</f>
        <v>470.01181599511546</v>
      </c>
      <c r="O34" s="61">
        <f>+FEE_2_In!Y32</f>
        <v>20.233426317166511</v>
      </c>
      <c r="P34" s="61">
        <f>+FEE_3_In!H32</f>
        <v>2820.0302454132525</v>
      </c>
      <c r="Q34" s="61">
        <f>+FEE_3_In!S32</f>
        <v>2538.9907845913767</v>
      </c>
      <c r="R34" s="61">
        <f>+FEE_3_In!V32</f>
        <v>268.79012903705132</v>
      </c>
      <c r="S34" s="61">
        <f>+FEE_3_In!Y32</f>
        <v>12.249331784824163</v>
      </c>
      <c r="T34" s="61">
        <f>+FEE_4_In!H32</f>
        <v>2630.3100654528707</v>
      </c>
      <c r="U34" s="61">
        <f>+FEE_4_In!S32</f>
        <v>2197.9118794496599</v>
      </c>
      <c r="V34" s="61">
        <f>+FEE_4_In!V32</f>
        <v>420.72290070070761</v>
      </c>
      <c r="W34" s="61">
        <f>+FEE_4_In!Y32</f>
        <v>11.675285302503356</v>
      </c>
      <c r="X34" s="61">
        <f>FEE_1_In!$H32</f>
        <v>2626.9923197668236</v>
      </c>
      <c r="Y34" s="61">
        <f>+FEE_1_Out!S32</f>
        <v>1711.5054079732679</v>
      </c>
      <c r="Z34" s="61">
        <f>+FEE_1_Out!V32</f>
        <v>232.40403802901778</v>
      </c>
      <c r="AA34" s="61">
        <f>+FEE_1_Out!Y32</f>
        <v>37.605560533071575</v>
      </c>
      <c r="AB34" s="61">
        <f>+FEE_2_Out!H32</f>
        <v>2493.4728274569484</v>
      </c>
      <c r="AC34" s="61">
        <f>+FEE_2_Out!S32</f>
        <v>2354.6553464917738</v>
      </c>
      <c r="AD34" s="61">
        <f>+FEE_2_Out!V32</f>
        <v>119.48911210206087</v>
      </c>
      <c r="AE34" s="61">
        <f>+FEE_2_Out!Y32</f>
        <v>19.328368863113749</v>
      </c>
      <c r="AF34" s="61">
        <f>+FEE_3_Out!H32</f>
        <v>2742.7457496039606</v>
      </c>
      <c r="AG34" s="61">
        <f>+FEE_3_Out!S32</f>
        <v>2613.1470544824801</v>
      </c>
      <c r="AH34" s="61">
        <f>+FEE_3_Out!V32</f>
        <v>118.25631397943789</v>
      </c>
      <c r="AI34" s="61">
        <f>+FEE_3_Out!Y32</f>
        <v>11.342381142042639</v>
      </c>
      <c r="AJ34" s="61">
        <f>+FEE_4_Out!H32</f>
        <v>2873.6030334894413</v>
      </c>
      <c r="AK34" s="61">
        <f>+FEE_4_Out!S32</f>
        <v>2695.6240366448933</v>
      </c>
      <c r="AL34" s="61">
        <f>+FEE_4_Out!V32</f>
        <v>167.2785218153457</v>
      </c>
      <c r="AM34" s="61">
        <f>+FEE_4_Out!Y32</f>
        <v>10.700475029202201</v>
      </c>
    </row>
    <row r="35" spans="2:39" s="20" customFormat="1" x14ac:dyDescent="0.25">
      <c r="B35" s="55">
        <f>ITE_LUC_Rates!B21</f>
        <v>255</v>
      </c>
      <c r="C35" s="56" t="str">
        <f>ITE_LUC_Rates!C21</f>
        <v>Continuing Care Retirement Community</v>
      </c>
      <c r="D35" s="57" t="str">
        <f>ITE_LUC_Rates!D21</f>
        <v>Dwelling unit</v>
      </c>
      <c r="E35" s="129">
        <f>ITE_LUC_Rates!H21</f>
        <v>2.4</v>
      </c>
      <c r="F35" s="58" t="s">
        <v>68</v>
      </c>
      <c r="G35" s="104">
        <f>ITE_LUC_Rates!Q21</f>
        <v>2437.2199999999998</v>
      </c>
      <c r="H35" s="104">
        <f>FEE_1_In!$H33</f>
        <v>2424.9159874770676</v>
      </c>
      <c r="I35" s="61">
        <f>+FEE_1_In!S33</f>
        <v>1994.0892560809903</v>
      </c>
      <c r="J35" s="61">
        <f>+FEE_1_In!V33</f>
        <v>402.73182920086879</v>
      </c>
      <c r="K35" s="61">
        <f>+FEE_1_In!Y33</f>
        <v>28.094902195208199</v>
      </c>
      <c r="L35" s="104">
        <f>+FEE_2_In!H33</f>
        <v>2644.8908057258877</v>
      </c>
      <c r="M35" s="61">
        <f>+FEE_2_In!S33</f>
        <v>2192.3567358991659</v>
      </c>
      <c r="N35" s="61">
        <f>+FEE_2_In!V33</f>
        <v>433.8570609185681</v>
      </c>
      <c r="O35" s="61">
        <f>+FEE_2_In!Y33</f>
        <v>18.677008908153699</v>
      </c>
      <c r="P35" s="61">
        <f>+FEE_3_In!H33</f>
        <v>2603.1048419199251</v>
      </c>
      <c r="Q35" s="61">
        <f>+FEE_3_In!S33</f>
        <v>2343.6838011612708</v>
      </c>
      <c r="R35" s="61">
        <f>+FEE_3_In!V33</f>
        <v>248.11396526497043</v>
      </c>
      <c r="S35" s="61">
        <f>+FEE_3_In!Y33</f>
        <v>11.307075493683842</v>
      </c>
      <c r="T35" s="61">
        <f>+FEE_4_In!H33</f>
        <v>2427.978521956496</v>
      </c>
      <c r="U35" s="61">
        <f>+FEE_4_In!S33</f>
        <v>2028.8417348766091</v>
      </c>
      <c r="V35" s="61">
        <f>+FEE_4_In!V33</f>
        <v>388.35960064680705</v>
      </c>
      <c r="W35" s="61">
        <f>+FEE_4_In!Y33</f>
        <v>10.77718643308002</v>
      </c>
      <c r="X35" s="61">
        <f>FEE_1_In!$H33</f>
        <v>2424.9159874770676</v>
      </c>
      <c r="Y35" s="61">
        <f>+FEE_1_Out!S33</f>
        <v>1579.8511458214778</v>
      </c>
      <c r="Z35" s="61">
        <f>+FEE_1_Out!V33</f>
        <v>214.52680433447793</v>
      </c>
      <c r="AA35" s="61">
        <f>+FEE_1_Out!Y33</f>
        <v>34.712825107450676</v>
      </c>
      <c r="AB35" s="61">
        <f>+FEE_2_Out!H33</f>
        <v>2301.6672253448746</v>
      </c>
      <c r="AC35" s="61">
        <f>+FEE_2_Out!S33</f>
        <v>2173.528012146252</v>
      </c>
      <c r="AD35" s="61">
        <f>+FEE_2_Out!V33</f>
        <v>110.29764194036387</v>
      </c>
      <c r="AE35" s="61">
        <f>+FEE_2_Out!Y33</f>
        <v>17.841571258258842</v>
      </c>
      <c r="AF35" s="61">
        <f>+FEE_3_Out!H33</f>
        <v>2531.7653073267325</v>
      </c>
      <c r="AG35" s="61">
        <f>+FEE_3_Out!S33</f>
        <v>2412.1357425992123</v>
      </c>
      <c r="AH35" s="61">
        <f>+FEE_3_Out!V33</f>
        <v>109.15967444255801</v>
      </c>
      <c r="AI35" s="61">
        <f>+FEE_3_Out!Y33</f>
        <v>10.469890284962432</v>
      </c>
      <c r="AJ35" s="61">
        <f>+FEE_4_Out!H33</f>
        <v>2652.5566462979455</v>
      </c>
      <c r="AK35" s="61">
        <f>+FEE_4_Out!S33</f>
        <v>2488.2683415183628</v>
      </c>
      <c r="AL35" s="61">
        <f>+FEE_4_Out!V33</f>
        <v>154.41094321416526</v>
      </c>
      <c r="AM35" s="61">
        <f>+FEE_4_Out!Y33</f>
        <v>9.8773615654174147</v>
      </c>
    </row>
    <row r="36" spans="2:39" s="20" customFormat="1" x14ac:dyDescent="0.25">
      <c r="B36" s="134">
        <f>ITE_LUC_Rates!B22</f>
        <v>265</v>
      </c>
      <c r="C36" s="135" t="str">
        <f>ITE_LUC_Rates!C22</f>
        <v xml:space="preserve">Timeshare </v>
      </c>
      <c r="D36" s="232" t="str">
        <f>ITE_LUC_Rates!D22</f>
        <v>Dwelling unit</v>
      </c>
      <c r="E36" s="233">
        <f>ITE_LUC_Rates!H22</f>
        <v>8.6300000000000008</v>
      </c>
      <c r="F36" s="136" t="s">
        <v>68</v>
      </c>
      <c r="G36" s="137">
        <f>ITE_LUC_Rates!Q22</f>
        <v>0</v>
      </c>
      <c r="H36" s="104">
        <f>FEE_1_In!$H34</f>
        <v>8719.5937383029577</v>
      </c>
      <c r="I36" s="61">
        <f>+FEE_1_In!S34</f>
        <v>7170.4126166578963</v>
      </c>
      <c r="J36" s="61">
        <f>+FEE_1_In!V34</f>
        <v>1448.1565358347909</v>
      </c>
      <c r="K36" s="61">
        <f>+FEE_1_In!Y34</f>
        <v>101.0245858102695</v>
      </c>
      <c r="L36" s="104">
        <f>+FEE_2_In!H34</f>
        <v>9510.5865222560078</v>
      </c>
      <c r="M36" s="61">
        <f>+FEE_2_In!S34</f>
        <v>7883.3494295040864</v>
      </c>
      <c r="N36" s="61">
        <f>+FEE_2_In!V34</f>
        <v>1560.077681553018</v>
      </c>
      <c r="O36" s="61">
        <f>+FEE_2_In!Y34</f>
        <v>67.159411198902674</v>
      </c>
      <c r="P36" s="61">
        <f>+FEE_3_In!H34</f>
        <v>9360.3311607370651</v>
      </c>
      <c r="Q36" s="61">
        <f>+FEE_3_In!S34</f>
        <v>8427.4963350090711</v>
      </c>
      <c r="R36" s="61">
        <f>+FEE_3_In!V34</f>
        <v>892.17646676528966</v>
      </c>
      <c r="S36" s="61">
        <f>+FEE_3_In!Y34</f>
        <v>40.658358962704831</v>
      </c>
      <c r="T36" s="61">
        <f>+FEE_4_In!H34</f>
        <v>8730.6061018685705</v>
      </c>
      <c r="U36" s="61">
        <f>+FEE_4_In!S34</f>
        <v>7295.3767383271424</v>
      </c>
      <c r="V36" s="61">
        <f>+FEE_4_In!V34</f>
        <v>1396.4763973258105</v>
      </c>
      <c r="W36" s="61">
        <f>+FEE_4_In!Y34</f>
        <v>38.752966215616908</v>
      </c>
      <c r="X36" s="61">
        <f>FEE_1_In!$H34</f>
        <v>8719.5937383029577</v>
      </c>
      <c r="Y36" s="61">
        <f>+FEE_1_Out!S34</f>
        <v>5680.8814118497312</v>
      </c>
      <c r="Z36" s="61">
        <f>+FEE_1_Out!V34</f>
        <v>771.40263391939368</v>
      </c>
      <c r="AA36" s="61">
        <f>+FEE_1_Out!Y34</f>
        <v>124.82153361554144</v>
      </c>
      <c r="AB36" s="61">
        <f>+FEE_2_Out!H34</f>
        <v>8276.4117311359478</v>
      </c>
      <c r="AC36" s="61">
        <f>+FEE_2_Out!S34</f>
        <v>7815.644477009233</v>
      </c>
      <c r="AD36" s="61">
        <f>+FEE_2_Out!V34</f>
        <v>396.61193747722518</v>
      </c>
      <c r="AE36" s="61">
        <f>+FEE_2_Out!Y34</f>
        <v>64.155316649489109</v>
      </c>
      <c r="AF36" s="61">
        <f>+FEE_3_Out!H34</f>
        <v>9103.8060842623781</v>
      </c>
      <c r="AG36" s="61">
        <f>+FEE_3_Out!S34</f>
        <v>8673.6381077630031</v>
      </c>
      <c r="AH36" s="61">
        <f>+FEE_3_Out!V34</f>
        <v>392.51999601636498</v>
      </c>
      <c r="AI36" s="61">
        <f>+FEE_3_Out!Y34</f>
        <v>37.647980483010755</v>
      </c>
      <c r="AJ36" s="61">
        <f>+FEE_4_Out!H34</f>
        <v>9538.1516073130297</v>
      </c>
      <c r="AK36" s="61">
        <f>+FEE_4_Out!S34</f>
        <v>8947.3982447097806</v>
      </c>
      <c r="AL36" s="61">
        <f>+FEE_4_Out!V34</f>
        <v>555.23601664093599</v>
      </c>
      <c r="AM36" s="61">
        <f>+FEE_4_Out!Y34</f>
        <v>35.517345962313463</v>
      </c>
    </row>
    <row r="37" spans="2:39" s="20" customFormat="1" x14ac:dyDescent="0.25">
      <c r="B37" s="134">
        <f>ITE_LUC_Rates!B23</f>
        <v>270</v>
      </c>
      <c r="C37" s="135" t="str">
        <f>ITE_LUC_Rates!C23</f>
        <v>Residential PUD</v>
      </c>
      <c r="D37" s="232" t="str">
        <f>ITE_LUC_Rates!D23</f>
        <v>Dwelling unit</v>
      </c>
      <c r="E37" s="233">
        <f>ITE_LUC_Rates!H23</f>
        <v>7.83</v>
      </c>
      <c r="F37" s="136" t="s">
        <v>68</v>
      </c>
      <c r="G37" s="137">
        <f>ITE_LUC_Rates!Q23</f>
        <v>0</v>
      </c>
      <c r="H37" s="104">
        <f>FEE_1_In!$H35</f>
        <v>7911.2884091439346</v>
      </c>
      <c r="I37" s="61">
        <f>+FEE_1_In!S35</f>
        <v>6505.7161979642324</v>
      </c>
      <c r="J37" s="61">
        <f>+FEE_1_In!V35</f>
        <v>1313.9125927678347</v>
      </c>
      <c r="K37" s="61">
        <f>+FEE_1_In!Y35</f>
        <v>91.659618411866759</v>
      </c>
      <c r="L37" s="104">
        <f>+FEE_2_In!H35</f>
        <v>8628.9562536807098</v>
      </c>
      <c r="M37" s="61">
        <f>+FEE_2_In!S35</f>
        <v>7152.5638508710308</v>
      </c>
      <c r="N37" s="61">
        <f>+FEE_2_In!V35</f>
        <v>1415.4586612468283</v>
      </c>
      <c r="O37" s="61">
        <f>+FEE_2_In!Y35</f>
        <v>60.933741562851445</v>
      </c>
      <c r="P37" s="61">
        <f>+FEE_3_In!H35</f>
        <v>8492.6295467637574</v>
      </c>
      <c r="Q37" s="61">
        <f>+FEE_3_In!S35</f>
        <v>7646.2684012886466</v>
      </c>
      <c r="R37" s="61">
        <f>+FEE_3_In!V35</f>
        <v>809.47181167696601</v>
      </c>
      <c r="S37" s="61">
        <f>+FEE_3_In!Y35</f>
        <v>36.889333798143539</v>
      </c>
      <c r="T37" s="61">
        <f>+FEE_4_In!H35</f>
        <v>7921.2799278830698</v>
      </c>
      <c r="U37" s="61">
        <f>+FEE_4_In!S35</f>
        <v>6619.0961600349374</v>
      </c>
      <c r="V37" s="61">
        <f>+FEE_4_In!V35</f>
        <v>1267.023197110208</v>
      </c>
      <c r="W37" s="61">
        <f>+FEE_4_In!Y35</f>
        <v>35.160570737923571</v>
      </c>
      <c r="X37" s="61">
        <f>FEE_1_In!$H35</f>
        <v>7911.2884091439346</v>
      </c>
      <c r="Y37" s="61">
        <f>+FEE_1_Out!S35</f>
        <v>5154.2643632425707</v>
      </c>
      <c r="Z37" s="61">
        <f>+FEE_1_Out!V35</f>
        <v>699.89369914123426</v>
      </c>
      <c r="AA37" s="61">
        <f>+FEE_1_Out!Y35</f>
        <v>113.25059191305786</v>
      </c>
      <c r="AB37" s="61">
        <f>+FEE_2_Out!H35</f>
        <v>7509.1893226876555</v>
      </c>
      <c r="AC37" s="61">
        <f>+FEE_2_Out!S35</f>
        <v>7091.1351396271484</v>
      </c>
      <c r="AD37" s="61">
        <f>+FEE_2_Out!V35</f>
        <v>359.84605683043719</v>
      </c>
      <c r="AE37" s="61">
        <f>+FEE_2_Out!Y35</f>
        <v>58.208126230069475</v>
      </c>
      <c r="AF37" s="61">
        <f>+FEE_3_Out!H35</f>
        <v>8259.8843151534656</v>
      </c>
      <c r="AG37" s="61">
        <f>+FEE_3_Out!S35</f>
        <v>7869.59286022993</v>
      </c>
      <c r="AH37" s="61">
        <f>+FEE_3_Out!V35</f>
        <v>356.13343786884559</v>
      </c>
      <c r="AI37" s="61">
        <f>+FEE_3_Out!Y35</f>
        <v>34.158017054689942</v>
      </c>
      <c r="AJ37" s="61">
        <f>+FEE_4_Out!H35</f>
        <v>8653.9660585470483</v>
      </c>
      <c r="AK37" s="61">
        <f>+FEE_4_Out!S35</f>
        <v>8117.9754642036587</v>
      </c>
      <c r="AL37" s="61">
        <f>+FEE_4_Out!V35</f>
        <v>503.76570223621417</v>
      </c>
      <c r="AM37" s="61">
        <f>+FEE_4_Out!Y35</f>
        <v>32.22489210717432</v>
      </c>
    </row>
    <row r="38" spans="2:39" s="20" customFormat="1" x14ac:dyDescent="0.25">
      <c r="B38" s="105" t="e">
        <f>ITE_LUC_Rates!#REF!</f>
        <v>#REF!</v>
      </c>
      <c r="C38" s="106"/>
      <c r="D38" s="107"/>
      <c r="E38" s="130"/>
      <c r="F38" s="109"/>
      <c r="G38" s="110"/>
      <c r="H38" s="110"/>
      <c r="I38" s="113"/>
      <c r="J38" s="113"/>
      <c r="K38" s="113"/>
      <c r="L38" s="110"/>
      <c r="M38" s="113"/>
      <c r="N38" s="113"/>
      <c r="O38" s="113"/>
      <c r="P38" s="113"/>
      <c r="Q38" s="113"/>
      <c r="R38" s="113"/>
      <c r="S38" s="113"/>
      <c r="T38" s="113"/>
      <c r="U38" s="113"/>
      <c r="V38" s="113"/>
      <c r="W38" s="113"/>
      <c r="X38" s="113"/>
      <c r="Y38" s="113"/>
      <c r="Z38" s="113"/>
      <c r="AA38" s="113"/>
      <c r="AB38" s="113"/>
      <c r="AC38" s="113"/>
      <c r="AD38" s="113"/>
      <c r="AE38" s="113"/>
      <c r="AF38" s="113"/>
      <c r="AG38" s="113"/>
      <c r="AH38" s="113"/>
      <c r="AI38" s="113"/>
      <c r="AJ38" s="113"/>
      <c r="AK38" s="113"/>
      <c r="AL38" s="113"/>
      <c r="AM38" s="113"/>
    </row>
    <row r="39" spans="2:39" s="20" customFormat="1" x14ac:dyDescent="0.25">
      <c r="B39" s="55">
        <f>ITE_LUC_Rates!B24</f>
        <v>310</v>
      </c>
      <c r="C39" s="56" t="str">
        <f>ITE_LUC_Rates!C24</f>
        <v>Hotel</v>
      </c>
      <c r="D39" s="57" t="str">
        <f>ITE_LUC_Rates!D24</f>
        <v>Hotel room</v>
      </c>
      <c r="E39" s="129">
        <f>ITE_LUC_Rates!H24</f>
        <v>8.36</v>
      </c>
      <c r="F39" s="58" t="s">
        <v>68</v>
      </c>
      <c r="G39" s="104">
        <f>ITE_LUC_Rates!Q24</f>
        <v>8894.4159999999993</v>
      </c>
      <c r="H39" s="104">
        <f>FEE_1_In!$H37</f>
        <v>8446.7906897117846</v>
      </c>
      <c r="I39" s="61">
        <f>+FEE_1_In!S37</f>
        <v>6946.0775753487842</v>
      </c>
      <c r="J39" s="61">
        <f>+FEE_1_In!V37</f>
        <v>1402.849205049693</v>
      </c>
      <c r="K39" s="61">
        <f>+FEE_1_In!Y37</f>
        <v>97.863909313308568</v>
      </c>
      <c r="L39" s="104">
        <f>+FEE_2_In!H37</f>
        <v>9213.0363066118443</v>
      </c>
      <c r="M39" s="61">
        <f>+FEE_2_In!S37</f>
        <v>7636.7092967154294</v>
      </c>
      <c r="N39" s="61">
        <f>+FEE_2_In!V37</f>
        <v>1511.268762199679</v>
      </c>
      <c r="O39" s="61">
        <f>+FEE_2_In!Y37</f>
        <v>65.058247696735393</v>
      </c>
      <c r="P39" s="61">
        <f>+FEE_3_In!H37</f>
        <v>9067.4818660210713</v>
      </c>
      <c r="Q39" s="61">
        <f>+FEE_3_In!S37</f>
        <v>8163.831907378426</v>
      </c>
      <c r="R39" s="61">
        <f>+FEE_3_In!V37</f>
        <v>864.26364567298037</v>
      </c>
      <c r="S39" s="61">
        <f>+FEE_3_In!Y37</f>
        <v>39.38631296966539</v>
      </c>
      <c r="T39" s="61">
        <f>+FEE_4_In!H37</f>
        <v>8457.4585181484617</v>
      </c>
      <c r="U39" s="61">
        <f>+FEE_4_In!S37</f>
        <v>7067.1320431535223</v>
      </c>
      <c r="V39" s="61">
        <f>+FEE_4_In!V37</f>
        <v>1352.7859422530446</v>
      </c>
      <c r="W39" s="61">
        <f>+FEE_4_In!Y37</f>
        <v>37.540532741895404</v>
      </c>
      <c r="X39" s="61">
        <f>FEE_1_In!$H37</f>
        <v>8446.7906897117846</v>
      </c>
      <c r="Y39" s="61">
        <f>+FEE_1_Out!S37</f>
        <v>5503.1481579448146</v>
      </c>
      <c r="Z39" s="61">
        <f>+FEE_1_Out!V37</f>
        <v>747.26836843176488</v>
      </c>
      <c r="AA39" s="61">
        <f>+FEE_1_Out!Y37</f>
        <v>120.91634079095323</v>
      </c>
      <c r="AB39" s="61">
        <f>+FEE_2_Out!H37</f>
        <v>8017.4741682846479</v>
      </c>
      <c r="AC39" s="61">
        <f>+FEE_2_Out!S37</f>
        <v>7571.1225756427793</v>
      </c>
      <c r="AD39" s="61">
        <f>+FEE_2_Out!V37</f>
        <v>384.20345275893425</v>
      </c>
      <c r="AE39" s="61">
        <f>+FEE_2_Out!Y37</f>
        <v>62.14813988293497</v>
      </c>
      <c r="AF39" s="61">
        <f>+FEE_3_Out!H37</f>
        <v>8818.982487188121</v>
      </c>
      <c r="AG39" s="61">
        <f>+FEE_3_Out!S37</f>
        <v>8402.2728367205909</v>
      </c>
      <c r="AH39" s="61">
        <f>+FEE_3_Out!V37</f>
        <v>380.23953264157717</v>
      </c>
      <c r="AI39" s="61">
        <f>+FEE_3_Out!Y37</f>
        <v>36.470117825952478</v>
      </c>
      <c r="AJ39" s="61">
        <f>+FEE_4_Out!H37</f>
        <v>9239.7389846045098</v>
      </c>
      <c r="AK39" s="61">
        <f>+FEE_4_Out!S37</f>
        <v>8667.4680562889644</v>
      </c>
      <c r="AL39" s="61">
        <f>+FEE_4_Out!V37</f>
        <v>537.86478552934238</v>
      </c>
      <c r="AM39" s="61">
        <f>+FEE_4_Out!Y37</f>
        <v>34.406142786203993</v>
      </c>
    </row>
    <row r="40" spans="2:39" s="20" customFormat="1" x14ac:dyDescent="0.25">
      <c r="B40" s="55">
        <f>ITE_LUC_Rates!B25</f>
        <v>311</v>
      </c>
      <c r="C40" s="56" t="str">
        <f>ITE_LUC_Rates!C25</f>
        <v>All Suites Hotel</v>
      </c>
      <c r="D40" s="57" t="str">
        <f>ITE_LUC_Rates!D25</f>
        <v>Hotel room</v>
      </c>
      <c r="E40" s="129">
        <f>ITE_LUC_Rates!H25</f>
        <v>4.46</v>
      </c>
      <c r="F40" s="58" t="s">
        <v>68</v>
      </c>
      <c r="G40" s="104">
        <f>ITE_LUC_Rates!Q25</f>
        <v>6221.7179999999998</v>
      </c>
      <c r="H40" s="104">
        <f>FEE_1_In!$H38</f>
        <v>4506.3022100615508</v>
      </c>
      <c r="I40" s="61">
        <f>+FEE_1_In!S38</f>
        <v>3705.6825342171737</v>
      </c>
      <c r="J40" s="61">
        <f>+FEE_1_In!V38</f>
        <v>748.4099825982812</v>
      </c>
      <c r="K40" s="61">
        <f>+FEE_1_In!Y38</f>
        <v>52.209693246095235</v>
      </c>
      <c r="L40" s="104">
        <f>+FEE_2_In!H38</f>
        <v>4915.0887473072753</v>
      </c>
      <c r="M40" s="61">
        <f>+FEE_2_In!S38</f>
        <v>4074.1296008792842</v>
      </c>
      <c r="N40" s="61">
        <f>+FEE_2_In!V38</f>
        <v>806.25103820700565</v>
      </c>
      <c r="O40" s="61">
        <f>+FEE_2_In!Y38</f>
        <v>34.708108220985615</v>
      </c>
      <c r="P40" s="61">
        <f>+FEE_3_In!H38</f>
        <v>4837.4364979011934</v>
      </c>
      <c r="Q40" s="61">
        <f>+FEE_3_In!S38</f>
        <v>4355.3457304913609</v>
      </c>
      <c r="R40" s="61">
        <f>+FEE_3_In!V38</f>
        <v>461.07845211740334</v>
      </c>
      <c r="S40" s="61">
        <f>+FEE_3_In!Y38</f>
        <v>21.01231529242914</v>
      </c>
      <c r="T40" s="61">
        <f>+FEE_4_In!H38</f>
        <v>4511.9934199691561</v>
      </c>
      <c r="U40" s="61">
        <f>+FEE_4_In!S38</f>
        <v>3770.2642239790321</v>
      </c>
      <c r="V40" s="61">
        <f>+FEE_4_In!V38</f>
        <v>721.70159120198309</v>
      </c>
      <c r="W40" s="61">
        <f>+FEE_4_In!Y38</f>
        <v>20.027604788140369</v>
      </c>
      <c r="X40" s="61">
        <f>FEE_1_In!$H38</f>
        <v>4506.3022100615508</v>
      </c>
      <c r="Y40" s="61">
        <f>+FEE_1_Out!S38</f>
        <v>2935.8900459849128</v>
      </c>
      <c r="Z40" s="61">
        <f>+FEE_1_Out!V38</f>
        <v>398.66231138823815</v>
      </c>
      <c r="AA40" s="61">
        <f>+FEE_1_Out!Y38</f>
        <v>64.507999991345855</v>
      </c>
      <c r="AB40" s="61">
        <f>+FEE_2_Out!H38</f>
        <v>4277.264927099226</v>
      </c>
      <c r="AC40" s="61">
        <f>+FEE_2_Out!S38</f>
        <v>4039.1395559051184</v>
      </c>
      <c r="AD40" s="61">
        <f>+FEE_2_Out!V38</f>
        <v>204.96978460584288</v>
      </c>
      <c r="AE40" s="61">
        <f>+FEE_2_Out!Y38</f>
        <v>33.155586588264349</v>
      </c>
      <c r="AF40" s="61">
        <f>+FEE_3_Out!H38</f>
        <v>4704.8638627821792</v>
      </c>
      <c r="AG40" s="61">
        <f>+FEE_3_Out!S38</f>
        <v>4482.55225499687</v>
      </c>
      <c r="AH40" s="61">
        <f>+FEE_3_Out!V38</f>
        <v>202.85506167242033</v>
      </c>
      <c r="AI40" s="61">
        <f>+FEE_3_Out!Y38</f>
        <v>19.456546112888521</v>
      </c>
      <c r="AJ40" s="61">
        <f>+FEE_4_Out!H38</f>
        <v>4929.3344343703493</v>
      </c>
      <c r="AK40" s="61">
        <f>+FEE_4_Out!S38</f>
        <v>4624.0320013216242</v>
      </c>
      <c r="AL40" s="61">
        <f>+FEE_4_Out!V38</f>
        <v>286.94700280632378</v>
      </c>
      <c r="AM40" s="61">
        <f>+FEE_4_Out!Y38</f>
        <v>18.355430242400697</v>
      </c>
    </row>
    <row r="41" spans="2:39" s="20" customFormat="1" x14ac:dyDescent="0.25">
      <c r="B41" s="55">
        <f>ITE_LUC_Rates!B26</f>
        <v>320</v>
      </c>
      <c r="C41" s="56" t="str">
        <f>ITE_LUC_Rates!C26</f>
        <v>Motel</v>
      </c>
      <c r="D41" s="57" t="str">
        <f>ITE_LUC_Rates!D26</f>
        <v>Hotel room</v>
      </c>
      <c r="E41" s="129">
        <f>ITE_LUC_Rates!H26</f>
        <v>3.35</v>
      </c>
      <c r="F41" s="58" t="s">
        <v>68</v>
      </c>
      <c r="G41" s="104">
        <f>ITE_LUC_Rates!Q26</f>
        <v>9084.482</v>
      </c>
      <c r="H41" s="104">
        <f>FEE_1_In!$H39</f>
        <v>3384.7785658534071</v>
      </c>
      <c r="I41" s="61">
        <f>+FEE_1_In!S39</f>
        <v>2783.4162532797163</v>
      </c>
      <c r="J41" s="61">
        <f>+FEE_1_In!V39</f>
        <v>562.14651159287939</v>
      </c>
      <c r="K41" s="61">
        <f>+FEE_1_In!Y39</f>
        <v>39.215800980811451</v>
      </c>
      <c r="L41" s="104">
        <f>+FEE_2_In!H39</f>
        <v>3691.8267496590524</v>
      </c>
      <c r="M41" s="61">
        <f>+FEE_2_In!S39</f>
        <v>3060.1646105259201</v>
      </c>
      <c r="N41" s="61">
        <f>+FEE_2_In!V39</f>
        <v>605.59214753216793</v>
      </c>
      <c r="O41" s="61">
        <f>+FEE_2_In!Y39</f>
        <v>26.069991600964538</v>
      </c>
      <c r="P41" s="61">
        <f>+FEE_3_In!H39</f>
        <v>3633.5005085132284</v>
      </c>
      <c r="Q41" s="61">
        <f>+FEE_3_In!S39</f>
        <v>3271.3919724542734</v>
      </c>
      <c r="R41" s="61">
        <f>+FEE_3_In!V39</f>
        <v>346.32574318235453</v>
      </c>
      <c r="S41" s="61">
        <f>+FEE_3_In!Y39</f>
        <v>15.782792876600364</v>
      </c>
      <c r="T41" s="61">
        <f>+FEE_4_In!H39</f>
        <v>3389.0533535642767</v>
      </c>
      <c r="U41" s="61">
        <f>+FEE_4_In!S39</f>
        <v>2831.924921598601</v>
      </c>
      <c r="V41" s="61">
        <f>+FEE_4_In!V39</f>
        <v>542.08527590283484</v>
      </c>
      <c r="W41" s="61">
        <f>+FEE_4_In!Y39</f>
        <v>15.043156062840863</v>
      </c>
      <c r="X41" s="61">
        <f>FEE_1_In!$H39</f>
        <v>3384.7785658534071</v>
      </c>
      <c r="Y41" s="61">
        <f>+FEE_1_Out!S39</f>
        <v>2205.2088910424795</v>
      </c>
      <c r="Z41" s="61">
        <f>+FEE_1_Out!V39</f>
        <v>299.44366438354211</v>
      </c>
      <c r="AA41" s="61">
        <f>+FEE_1_Out!Y39</f>
        <v>48.453318379149913</v>
      </c>
      <c r="AB41" s="61">
        <f>+FEE_2_Out!H39</f>
        <v>3212.7438353772213</v>
      </c>
      <c r="AC41" s="61">
        <f>+FEE_2_Out!S39</f>
        <v>3033.8828502874771</v>
      </c>
      <c r="AD41" s="61">
        <f>+FEE_2_Out!V39</f>
        <v>153.9571252084246</v>
      </c>
      <c r="AE41" s="61">
        <f>+FEE_2_Out!Y39</f>
        <v>24.903859881319637</v>
      </c>
      <c r="AF41" s="61">
        <f>+FEE_3_Out!H39</f>
        <v>3533.922408143565</v>
      </c>
      <c r="AG41" s="61">
        <f>+FEE_3_Out!S39</f>
        <v>3366.9394740447342</v>
      </c>
      <c r="AH41" s="61">
        <f>+FEE_3_Out!V39</f>
        <v>152.36871224273727</v>
      </c>
      <c r="AI41" s="61">
        <f>+FEE_3_Out!Y39</f>
        <v>14.614221856093396</v>
      </c>
      <c r="AJ41" s="61">
        <f>+FEE_4_Out!H39</f>
        <v>3702.5269854575495</v>
      </c>
      <c r="AK41" s="61">
        <f>+FEE_4_Out!S39</f>
        <v>3473.207893369382</v>
      </c>
      <c r="AL41" s="61">
        <f>+FEE_4_Out!V39</f>
        <v>215.53194156977236</v>
      </c>
      <c r="AM41" s="61">
        <f>+FEE_4_Out!Y39</f>
        <v>13.787150518395142</v>
      </c>
    </row>
    <row r="42" spans="2:39" s="20" customFormat="1" x14ac:dyDescent="0.25">
      <c r="B42" s="134">
        <f>ITE_LUC_Rates!B27</f>
        <v>312</v>
      </c>
      <c r="C42" s="135" t="str">
        <f>ITE_LUC_Rates!C27</f>
        <v>Business Hotel</v>
      </c>
      <c r="D42" s="232" t="str">
        <f>ITE_LUC_Rates!D27</f>
        <v>Hotel room</v>
      </c>
      <c r="E42" s="233">
        <f>ITE_LUC_Rates!H27</f>
        <v>4.0199999999999996</v>
      </c>
      <c r="F42" s="136" t="s">
        <v>68</v>
      </c>
      <c r="G42" s="137">
        <f>ITE_LUC_Rates!Q27</f>
        <v>0</v>
      </c>
      <c r="H42" s="104">
        <f>FEE_1_In!$H40</f>
        <v>4061.7342790240882</v>
      </c>
      <c r="I42" s="61">
        <f>+FEE_1_In!S40</f>
        <v>3340.099503935659</v>
      </c>
      <c r="J42" s="61">
        <f>+FEE_1_In!V40</f>
        <v>674.57581391145527</v>
      </c>
      <c r="K42" s="61">
        <f>+FEE_1_In!Y40</f>
        <v>47.058961176973732</v>
      </c>
      <c r="L42" s="104">
        <f>+FEE_2_In!H40</f>
        <v>4430.1920995908631</v>
      </c>
      <c r="M42" s="61">
        <f>+FEE_2_In!S40</f>
        <v>3672.197532631104</v>
      </c>
      <c r="N42" s="61">
        <f>+FEE_2_In!V40</f>
        <v>726.71057703860163</v>
      </c>
      <c r="O42" s="61">
        <f>+FEE_2_In!Y40</f>
        <v>31.283989921157445</v>
      </c>
      <c r="P42" s="61">
        <f>+FEE_3_In!H40</f>
        <v>4360.2006102158748</v>
      </c>
      <c r="Q42" s="61">
        <f>+FEE_3_In!S40</f>
        <v>3925.6703669451285</v>
      </c>
      <c r="R42" s="61">
        <f>+FEE_3_In!V40</f>
        <v>415.59089181882541</v>
      </c>
      <c r="S42" s="61">
        <f>+FEE_3_In!Y40</f>
        <v>18.939351451920434</v>
      </c>
      <c r="T42" s="61">
        <f>+FEE_4_In!H40</f>
        <v>4066.8640242771312</v>
      </c>
      <c r="U42" s="61">
        <f>+FEE_4_In!S40</f>
        <v>3398.3099059183205</v>
      </c>
      <c r="V42" s="61">
        <f>+FEE_4_In!V40</f>
        <v>650.50233108340171</v>
      </c>
      <c r="W42" s="61">
        <f>+FEE_4_In!Y40</f>
        <v>18.051787275409033</v>
      </c>
      <c r="X42" s="61">
        <f>FEE_1_In!$H40</f>
        <v>4061.7342790240882</v>
      </c>
      <c r="Y42" s="61">
        <f>+FEE_1_Out!S40</f>
        <v>2646.2506692509755</v>
      </c>
      <c r="Z42" s="61">
        <f>+FEE_1_Out!V40</f>
        <v>359.33239726025045</v>
      </c>
      <c r="AA42" s="61">
        <f>+FEE_1_Out!Y40</f>
        <v>58.143982054979894</v>
      </c>
      <c r="AB42" s="61">
        <f>+FEE_2_Out!H40</f>
        <v>3855.2926024526646</v>
      </c>
      <c r="AC42" s="61">
        <f>+FEE_2_Out!S40</f>
        <v>3640.6594203449717</v>
      </c>
      <c r="AD42" s="61">
        <f>+FEE_2_Out!V40</f>
        <v>184.7485502501095</v>
      </c>
      <c r="AE42" s="61">
        <f>+FEE_2_Out!Y40</f>
        <v>29.884631857583564</v>
      </c>
      <c r="AF42" s="61">
        <f>+FEE_3_Out!H40</f>
        <v>4240.7068897722775</v>
      </c>
      <c r="AG42" s="61">
        <f>+FEE_3_Out!S40</f>
        <v>4040.327368853681</v>
      </c>
      <c r="AH42" s="61">
        <f>+FEE_3_Out!V40</f>
        <v>182.8424546912847</v>
      </c>
      <c r="AI42" s="61">
        <f>+FEE_3_Out!Y40</f>
        <v>17.537066227312074</v>
      </c>
      <c r="AJ42" s="61">
        <f>+FEE_4_Out!H40</f>
        <v>4443.0323825490595</v>
      </c>
      <c r="AK42" s="61">
        <f>+FEE_4_Out!S40</f>
        <v>4167.8494720432582</v>
      </c>
      <c r="AL42" s="61">
        <f>+FEE_4_Out!V40</f>
        <v>258.63832988372678</v>
      </c>
      <c r="AM42" s="61">
        <f>+FEE_4_Out!Y40</f>
        <v>16.544580622074168</v>
      </c>
    </row>
    <row r="43" spans="2:39" s="20" customFormat="1" x14ac:dyDescent="0.25">
      <c r="B43" s="105" t="e">
        <f>ITE_LUC_Rates!#REF!</f>
        <v>#REF!</v>
      </c>
      <c r="C43" s="106"/>
      <c r="D43" s="107"/>
      <c r="E43" s="130"/>
      <c r="F43" s="109"/>
      <c r="G43" s="110"/>
      <c r="H43" s="110"/>
      <c r="I43" s="113"/>
      <c r="J43" s="113"/>
      <c r="K43" s="113"/>
      <c r="L43" s="110"/>
      <c r="M43" s="113"/>
      <c r="N43" s="113"/>
      <c r="O43" s="113"/>
      <c r="P43" s="113"/>
      <c r="Q43" s="113"/>
      <c r="R43" s="113"/>
      <c r="S43" s="113"/>
      <c r="T43" s="113"/>
      <c r="U43" s="113"/>
      <c r="V43" s="113"/>
      <c r="W43" s="113"/>
      <c r="X43" s="113"/>
      <c r="Y43" s="113"/>
      <c r="Z43" s="113"/>
      <c r="AA43" s="113"/>
      <c r="AB43" s="113"/>
      <c r="AC43" s="113"/>
      <c r="AD43" s="113"/>
      <c r="AE43" s="113"/>
      <c r="AF43" s="113"/>
      <c r="AG43" s="113"/>
      <c r="AH43" s="113"/>
      <c r="AI43" s="113"/>
      <c r="AJ43" s="113"/>
      <c r="AK43" s="113"/>
      <c r="AL43" s="113"/>
      <c r="AM43" s="113"/>
    </row>
    <row r="44" spans="2:39" s="20" customFormat="1" x14ac:dyDescent="0.25">
      <c r="B44" s="55">
        <f>ITE_LUC_Rates!B28</f>
        <v>420</v>
      </c>
      <c r="C44" s="56" t="str">
        <f>ITE_LUC_Rates!C28</f>
        <v>Marina</v>
      </c>
      <c r="D44" s="57" t="str">
        <f>ITE_LUC_Rates!D28</f>
        <v>Berth</v>
      </c>
      <c r="E44" s="129">
        <f>ITE_LUC_Rates!H28</f>
        <v>2.41</v>
      </c>
      <c r="F44" s="58" t="s">
        <v>71</v>
      </c>
      <c r="G44" s="104">
        <f>ITE_LUC_Rates!Q28</f>
        <v>3052.83</v>
      </c>
      <c r="H44" s="104">
        <f>FEE_1_In!$H42</f>
        <v>979.58192452091964</v>
      </c>
      <c r="I44" s="61">
        <f>+FEE_1_In!S42</f>
        <v>719.51844719367864</v>
      </c>
      <c r="J44" s="61">
        <f>+FEE_1_In!V42</f>
        <v>244.69024361266054</v>
      </c>
      <c r="K44" s="61">
        <f>+FEE_1_In!Y42</f>
        <v>15.373233714580424</v>
      </c>
      <c r="L44" s="104">
        <f>+FEE_2_In!H42</f>
        <v>1165.1202994582511</v>
      </c>
      <c r="M44" s="61">
        <f>+FEE_2_In!S42</f>
        <v>966.21916425178392</v>
      </c>
      <c r="N44" s="61">
        <f>+FEE_2_In!V42</f>
        <v>190.66281654868786</v>
      </c>
      <c r="O44" s="61">
        <f>+FEE_2_In!Y42</f>
        <v>8.2383186577792049</v>
      </c>
      <c r="P44" s="61">
        <f>+FEE_3_In!H42</f>
        <v>1158.9709253242872</v>
      </c>
      <c r="Q44" s="61">
        <f>+FEE_3_In!S42</f>
        <v>1042.3849893744141</v>
      </c>
      <c r="R44" s="61">
        <f>+FEE_3_In!V42</f>
        <v>111.57663200967754</v>
      </c>
      <c r="S44" s="61">
        <f>+FEE_3_In!Y42</f>
        <v>5.0093039401955837</v>
      </c>
      <c r="T44" s="61">
        <f>+FEE_4_In!H42</f>
        <v>1087.9277833166277</v>
      </c>
      <c r="U44" s="61">
        <f>+FEE_4_In!S42</f>
        <v>905.35704092878962</v>
      </c>
      <c r="V44" s="61">
        <f>+FEE_4_In!V42</f>
        <v>177.76841910771822</v>
      </c>
      <c r="W44" s="61">
        <f>+FEE_4_In!Y42</f>
        <v>4.8023232801199018</v>
      </c>
      <c r="X44" s="61">
        <f>FEE_1_In!$H42</f>
        <v>979.58192452091964</v>
      </c>
      <c r="Y44" s="61">
        <f>+FEE_1_Out!S42</f>
        <v>849.10390062985527</v>
      </c>
      <c r="Z44" s="61">
        <f>+FEE_1_Out!V42</f>
        <v>66.509245364334646</v>
      </c>
      <c r="AA44" s="61">
        <f>+FEE_1_Out!Y42</f>
        <v>12.302090182604781</v>
      </c>
      <c r="AB44" s="61">
        <f>+FEE_2_Out!H42</f>
        <v>1015.9602198037146</v>
      </c>
      <c r="AC44" s="61">
        <f>+FEE_2_Out!S42</f>
        <v>959.37912243831659</v>
      </c>
      <c r="AD44" s="61">
        <f>+FEE_2_Out!V42</f>
        <v>48.659758860411465</v>
      </c>
      <c r="AE44" s="61">
        <f>+FEE_2_Out!Y42</f>
        <v>7.9213385049865801</v>
      </c>
      <c r="AF44" s="61">
        <f>+FEE_3_Out!H42</f>
        <v>1120.27643908199</v>
      </c>
      <c r="AG44" s="61">
        <f>+FEE_3_Out!S42</f>
        <v>1067.1936398183091</v>
      </c>
      <c r="AH44" s="61">
        <f>+FEE_3_Out!V42</f>
        <v>48.45732044258525</v>
      </c>
      <c r="AI44" s="61">
        <f>+FEE_3_Out!Y42</f>
        <v>4.6254788210955171</v>
      </c>
      <c r="AJ44" s="61">
        <f>+FEE_4_Out!H42</f>
        <v>1173.8073061055763</v>
      </c>
      <c r="AK44" s="61">
        <f>+FEE_4_Out!S42</f>
        <v>1099.1689760842009</v>
      </c>
      <c r="AL44" s="61">
        <f>+FEE_4_Out!V42</f>
        <v>70.281342844122349</v>
      </c>
      <c r="AM44" s="61">
        <f>+FEE_4_Out!Y42</f>
        <v>4.3569871772530879</v>
      </c>
    </row>
    <row r="45" spans="2:39" s="20" customFormat="1" x14ac:dyDescent="0.25">
      <c r="B45" s="55">
        <f>ITE_LUC_Rates!B29</f>
        <v>430</v>
      </c>
      <c r="C45" s="56" t="str">
        <f>ITE_LUC_Rates!C29</f>
        <v>Golf Course</v>
      </c>
      <c r="D45" s="57" t="str">
        <f>ITE_LUC_Rates!D29</f>
        <v>Hole</v>
      </c>
      <c r="E45" s="129">
        <f>ITE_LUC_Rates!H29</f>
        <v>30.38</v>
      </c>
      <c r="F45" s="58" t="s">
        <v>71</v>
      </c>
      <c r="G45" s="104">
        <f>ITE_LUC_Rates!Q29</f>
        <v>36869.440000000002</v>
      </c>
      <c r="H45" s="104">
        <f>FEE_1_In!$H43</f>
        <v>12348.422766367439</v>
      </c>
      <c r="I45" s="61">
        <f>+FEE_1_In!S43</f>
        <v>9070.112209852261</v>
      </c>
      <c r="J45" s="61">
        <f>+FEE_1_In!V43</f>
        <v>3084.5185066193467</v>
      </c>
      <c r="K45" s="61">
        <f>+FEE_1_In!Y43</f>
        <v>193.79204989583121</v>
      </c>
      <c r="L45" s="104">
        <f>+FEE_2_In!H43</f>
        <v>14687.284106863759</v>
      </c>
      <c r="M45" s="61">
        <f>+FEE_2_In!S43</f>
        <v>12179.974360983066</v>
      </c>
      <c r="N45" s="61">
        <f>+FEE_2_In!V43</f>
        <v>2403.4590733398904</v>
      </c>
      <c r="O45" s="61">
        <f>+FEE_2_In!Y43</f>
        <v>103.85067254080177</v>
      </c>
      <c r="P45" s="61">
        <f>+FEE_3_In!H43</f>
        <v>14609.766270270475</v>
      </c>
      <c r="Q45" s="61">
        <f>+FEE_3_In!S43</f>
        <v>13140.106214603609</v>
      </c>
      <c r="R45" s="61">
        <f>+FEE_3_In!V43</f>
        <v>1406.5137263294616</v>
      </c>
      <c r="S45" s="61">
        <f>+FEE_3_In!Y43</f>
        <v>63.146329337403238</v>
      </c>
      <c r="T45" s="61">
        <f>+FEE_4_In!H43</f>
        <v>13714.209982223709</v>
      </c>
      <c r="U45" s="61">
        <f>+FEE_4_In!S43</f>
        <v>11412.758051210216</v>
      </c>
      <c r="V45" s="61">
        <f>+FEE_4_In!V43</f>
        <v>2240.9147603703227</v>
      </c>
      <c r="W45" s="61">
        <f>+FEE_4_In!Y43</f>
        <v>60.537170643171194</v>
      </c>
      <c r="X45" s="61">
        <f>FEE_1_In!$H43</f>
        <v>12348.422766367439</v>
      </c>
      <c r="Y45" s="61">
        <f>+FEE_1_Out!S43</f>
        <v>10703.641701715767</v>
      </c>
      <c r="Z45" s="61">
        <f>+FEE_1_Out!V43</f>
        <v>838.40285235206898</v>
      </c>
      <c r="AA45" s="61">
        <f>+FEE_1_Out!Y43</f>
        <v>155.07780072511747</v>
      </c>
      <c r="AB45" s="61">
        <f>+FEE_2_Out!H43</f>
        <v>12807.000613127322</v>
      </c>
      <c r="AC45" s="61">
        <f>+FEE_2_Out!S43</f>
        <v>12093.750099450644</v>
      </c>
      <c r="AD45" s="61">
        <f>+FEE_2_Out!V43</f>
        <v>613.39563243954353</v>
      </c>
      <c r="AE45" s="61">
        <f>+FEE_2_Out!Y43</f>
        <v>99.854881237133711</v>
      </c>
      <c r="AF45" s="61">
        <f>+FEE_3_Out!H43</f>
        <v>14121.990962369646</v>
      </c>
      <c r="AG45" s="61">
        <f>+FEE_3_Out!S43</f>
        <v>13452.839326838268</v>
      </c>
      <c r="AH45" s="61">
        <f>+FEE_3_Out!V43</f>
        <v>610.84373238412434</v>
      </c>
      <c r="AI45" s="61">
        <f>+FEE_3_Out!Y43</f>
        <v>58.307903147253846</v>
      </c>
      <c r="AJ45" s="61">
        <f>+FEE_4_Out!H43</f>
        <v>14796.790854559089</v>
      </c>
      <c r="AK45" s="61">
        <f>+FEE_4_Out!S43</f>
        <v>13855.914312629884</v>
      </c>
      <c r="AL45" s="61">
        <f>+FEE_4_Out!V43</f>
        <v>885.95319319686155</v>
      </c>
      <c r="AM45" s="61">
        <f>+FEE_4_Out!Y43</f>
        <v>54.923348732343889</v>
      </c>
    </row>
    <row r="46" spans="2:39" s="20" customFormat="1" x14ac:dyDescent="0.25">
      <c r="B46" s="134">
        <f>ITE_LUC_Rates!B30</f>
        <v>444</v>
      </c>
      <c r="C46" s="135" t="str">
        <f>ITE_LUC_Rates!C30</f>
        <v>Movie Theater</v>
      </c>
      <c r="D46" s="232" t="str">
        <f>ITE_LUC_Rates!D30</f>
        <v>1000 GSF</v>
      </c>
      <c r="E46" s="233">
        <f>ITE_LUC_Rates!H30</f>
        <v>78.09</v>
      </c>
      <c r="F46" s="136" t="s">
        <v>71</v>
      </c>
      <c r="G46" s="137">
        <f>ITE_LUC_Rates!Q30</f>
        <v>0</v>
      </c>
      <c r="H46" s="104">
        <f>FEE_1_In!$H44</f>
        <v>31740.89314765087</v>
      </c>
      <c r="I46" s="104">
        <f>+FEE_1_In!S44</f>
        <v>23314.189021308859</v>
      </c>
      <c r="J46" s="104">
        <f>+FEE_1_In!V44</f>
        <v>7928.5730803786973</v>
      </c>
      <c r="K46" s="104">
        <f>+FEE_1_In!Y44</f>
        <v>498.1310459633134</v>
      </c>
      <c r="L46" s="104">
        <f>+FEE_2_In!H44</f>
        <v>37752.798416885817</v>
      </c>
      <c r="M46" s="104">
        <f>+FEE_2_In!S44</f>
        <v>31307.906446648056</v>
      </c>
      <c r="N46" s="104">
        <f>+FEE_2_In!V44</f>
        <v>6177.9499353888104</v>
      </c>
      <c r="O46" s="61">
        <f>+FEE_2_In!Y44</f>
        <v>266.9420348489536</v>
      </c>
      <c r="P46" s="61">
        <f>+FEE_3_In!H44</f>
        <v>37553.543385300247</v>
      </c>
      <c r="Q46" s="61">
        <f>+FEE_3_In!S44</f>
        <v>33775.868805082158</v>
      </c>
      <c r="R46" s="61">
        <f>+FEE_3_In!V44</f>
        <v>3615.3606612596336</v>
      </c>
      <c r="S46" s="61">
        <f>+FEE_3_In!Y44</f>
        <v>162.31391895845357</v>
      </c>
      <c r="T46" s="61">
        <f>+FEE_4_In!H44</f>
        <v>35251.568713359105</v>
      </c>
      <c r="U46" s="61">
        <f>+FEE_4_In!S44</f>
        <v>29335.822127024552</v>
      </c>
      <c r="V46" s="61">
        <f>+FEE_4_In!V44</f>
        <v>5760.1393560671013</v>
      </c>
      <c r="W46" s="61">
        <f>+FEE_4_In!Y44</f>
        <v>155.60723026745359</v>
      </c>
      <c r="X46" s="61">
        <f>FEE_1_In!$H44</f>
        <v>31740.89314765087</v>
      </c>
      <c r="Y46" s="61">
        <f>+FEE_1_Out!S44</f>
        <v>27513.080332027137</v>
      </c>
      <c r="Z46" s="61">
        <f>+FEE_1_Out!V44</f>
        <v>2155.065132987922</v>
      </c>
      <c r="AA46" s="61">
        <f>+FEE_1_Out!Y44</f>
        <v>398.61834952680795</v>
      </c>
      <c r="AB46" s="61">
        <f>+FEE_2_Out!H44</f>
        <v>32919.640483183437</v>
      </c>
      <c r="AC46" s="61">
        <f>+FEE_2_Out!S44</f>
        <v>31086.272062741969</v>
      </c>
      <c r="AD46" s="61">
        <f>+FEE_2_Out!V44</f>
        <v>1576.6973317051995</v>
      </c>
      <c r="AE46" s="61">
        <f>+FEE_2_Out!Y44</f>
        <v>256.67108873626637</v>
      </c>
      <c r="AF46" s="61">
        <f>+FEE_3_Out!H44</f>
        <v>36299.745696229293</v>
      </c>
      <c r="AG46" s="61">
        <f>+FEE_3_Out!S44</f>
        <v>34579.730843739322</v>
      </c>
      <c r="AH46" s="61">
        <f>+FEE_3_Out!V44</f>
        <v>1570.1378229715694</v>
      </c>
      <c r="AI46" s="61">
        <f>+FEE_3_Out!Y44</f>
        <v>149.87702951840205</v>
      </c>
      <c r="AJ46" s="61">
        <f>+FEE_4_Out!H44</f>
        <v>38034.279059661603</v>
      </c>
      <c r="AK46" s="61">
        <f>+FEE_4_Out!S44</f>
        <v>35615.811345400522</v>
      </c>
      <c r="AL46" s="61">
        <f>+FEE_4_Out!V44</f>
        <v>2277.2904824471011</v>
      </c>
      <c r="AM46" s="61">
        <f>+FEE_4_Out!Y44</f>
        <v>141.17723181398074</v>
      </c>
    </row>
    <row r="47" spans="2:39" s="20" customFormat="1" x14ac:dyDescent="0.25">
      <c r="B47" s="134">
        <f>ITE_LUC_Rates!B31</f>
        <v>444</v>
      </c>
      <c r="C47" s="135" t="str">
        <f>ITE_LUC_Rates!C31</f>
        <v>Movie Theater</v>
      </c>
      <c r="D47" s="232" t="str">
        <f>ITE_LUC_Rates!D31</f>
        <v>Screens</v>
      </c>
      <c r="E47" s="233">
        <f>ITE_LUC_Rates!H31</f>
        <v>220</v>
      </c>
      <c r="F47" s="136" t="s">
        <v>71</v>
      </c>
      <c r="G47" s="137">
        <f>ITE_LUC_Rates!Q31</f>
        <v>0</v>
      </c>
      <c r="H47" s="104">
        <f>FEE_1_In!$H45</f>
        <v>89422.416346308004</v>
      </c>
      <c r="I47" s="231">
        <f>+FEE_1_In!S45</f>
        <v>65682.181901497621</v>
      </c>
      <c r="J47" s="231">
        <f>+FEE_1_In!V45</f>
        <v>22336.86871152918</v>
      </c>
      <c r="K47" s="104">
        <f>+FEE_1_In!Y45</f>
        <v>1403.3657332812006</v>
      </c>
      <c r="L47" s="231">
        <f>+FEE_2_In!H45</f>
        <v>106359.52941112664</v>
      </c>
      <c r="M47" s="231">
        <f>+FEE_2_In!S45</f>
        <v>88202.579309291468</v>
      </c>
      <c r="N47" s="231">
        <f>+FEE_2_In!V45</f>
        <v>17404.904415232915</v>
      </c>
      <c r="O47" s="61">
        <f>+FEE_2_In!Y45</f>
        <v>752.04568660225107</v>
      </c>
      <c r="P47" s="61">
        <f>+FEE_3_In!H45</f>
        <v>105798.17575574407</v>
      </c>
      <c r="Q47" s="61">
        <f>+FEE_3_In!S45</f>
        <v>95155.476208452747</v>
      </c>
      <c r="R47" s="61">
        <f>+FEE_3_In!V45</f>
        <v>10185.418689680104</v>
      </c>
      <c r="S47" s="61">
        <f>+FEE_3_In!Y45</f>
        <v>457.28085761121514</v>
      </c>
      <c r="T47" s="61">
        <f>+FEE_4_In!H45</f>
        <v>99312.909680356053</v>
      </c>
      <c r="U47" s="61">
        <f>+FEE_4_In!S45</f>
        <v>82646.700831673734</v>
      </c>
      <c r="V47" s="61">
        <f>+FEE_4_In!V45</f>
        <v>16227.822491160998</v>
      </c>
      <c r="W47" s="61">
        <f>+FEE_4_In!Y45</f>
        <v>438.38635752131876</v>
      </c>
      <c r="X47" s="61">
        <f>FEE_1_In!$H45</f>
        <v>89422.416346308004</v>
      </c>
      <c r="Y47" s="61">
        <f>+FEE_1_Out!S45</f>
        <v>77511.559393596734</v>
      </c>
      <c r="Z47" s="61">
        <f>+FEE_1_Out!V45</f>
        <v>6071.3833942546144</v>
      </c>
      <c r="AA47" s="61">
        <f>+FEE_1_Out!Y45</f>
        <v>1123.0123818145441</v>
      </c>
      <c r="AB47" s="61">
        <f>+FEE_2_Out!H45</f>
        <v>92743.256579592198</v>
      </c>
      <c r="AC47" s="61">
        <f>+FEE_2_Out!S45</f>
        <v>87578.177152045493</v>
      </c>
      <c r="AD47" s="61">
        <f>+FEE_2_Out!V45</f>
        <v>4441.9696885022913</v>
      </c>
      <c r="AE47" s="61">
        <f>+FEE_2_Out!Y45</f>
        <v>723.10973904441812</v>
      </c>
      <c r="AF47" s="61">
        <f>+FEE_3_Out!H45</f>
        <v>102265.89900333516</v>
      </c>
      <c r="AG47" s="61">
        <f>+FEE_3_Out!S45</f>
        <v>97420.166290468042</v>
      </c>
      <c r="AH47" s="61">
        <f>+FEE_3_Out!V45</f>
        <v>4423.4898329330927</v>
      </c>
      <c r="AI47" s="61">
        <f>+FEE_3_Out!Y45</f>
        <v>422.24287993403061</v>
      </c>
      <c r="AJ47" s="61">
        <f>+FEE_4_Out!H45</f>
        <v>107152.53416731401</v>
      </c>
      <c r="AK47" s="61">
        <f>+FEE_4_Out!S45</f>
        <v>100339.07665498927</v>
      </c>
      <c r="AL47" s="61">
        <f>+FEE_4_Out!V45</f>
        <v>6415.7242430319156</v>
      </c>
      <c r="AM47" s="61">
        <f>+FEE_4_Out!Y45</f>
        <v>397.73326929281291</v>
      </c>
    </row>
    <row r="48" spans="2:39" s="20" customFormat="1" x14ac:dyDescent="0.25">
      <c r="B48" s="55">
        <f>ITE_LUC_Rates!B32</f>
        <v>480</v>
      </c>
      <c r="C48" s="56" t="str">
        <f>ITE_LUC_Rates!C32</f>
        <v>Amusement Park</v>
      </c>
      <c r="D48" s="57" t="str">
        <f>ITE_LUC_Rates!D32</f>
        <v>Acre</v>
      </c>
      <c r="E48" s="129">
        <f>ITE_LUC_Rates!H32</f>
        <v>53.41</v>
      </c>
      <c r="F48" s="58" t="s">
        <v>71</v>
      </c>
      <c r="G48" s="104">
        <f>ITE_LUC_Rates!Q32</f>
        <v>78154.13</v>
      </c>
      <c r="H48" s="104">
        <f>FEE_1_In!$H46</f>
        <v>21709.323895710499</v>
      </c>
      <c r="I48" s="104">
        <f>+FEE_1_In!S46</f>
        <v>15945.842433449947</v>
      </c>
      <c r="J48" s="104">
        <f>+FEE_1_In!V46</f>
        <v>5422.7825358307864</v>
      </c>
      <c r="K48" s="104">
        <f>+FEE_1_In!Y46</f>
        <v>340.69892642976777</v>
      </c>
      <c r="L48" s="104">
        <f>+FEE_2_In!H46</f>
        <v>25821.193026583056</v>
      </c>
      <c r="M48" s="104">
        <f>+FEE_2_In!S46</f>
        <v>21413.180731405711</v>
      </c>
      <c r="N48" s="104">
        <f>+FEE_2_In!V46</f>
        <v>4225.4361128072278</v>
      </c>
      <c r="O48" s="61">
        <f>+FEE_2_In!Y46</f>
        <v>182.57618237011923</v>
      </c>
      <c r="P48" s="61">
        <f>+FEE_3_In!H46</f>
        <v>25684.911668701319</v>
      </c>
      <c r="Q48" s="61">
        <f>+FEE_3_In!S46</f>
        <v>23101.154474061186</v>
      </c>
      <c r="R48" s="61">
        <f>+FEE_3_In!V46</f>
        <v>2472.7418737082476</v>
      </c>
      <c r="S48" s="61">
        <f>+FEE_3_In!Y46</f>
        <v>111.01532093188635</v>
      </c>
      <c r="T48" s="61">
        <f>+FEE_4_In!H46</f>
        <v>24110.465936490076</v>
      </c>
      <c r="U48" s="61">
        <f>+FEE_4_In!S46</f>
        <v>20064.36496099861</v>
      </c>
      <c r="V48" s="61">
        <f>+FEE_4_In!V46</f>
        <v>3939.6727238768581</v>
      </c>
      <c r="W48" s="61">
        <f>+FEE_4_In!Y46</f>
        <v>106.42825161460743</v>
      </c>
      <c r="X48" s="61">
        <f>FEE_1_In!$H46</f>
        <v>21709.323895710499</v>
      </c>
      <c r="Y48" s="61">
        <f>+FEE_1_Out!S46</f>
        <v>18817.692669145465</v>
      </c>
      <c r="Z48" s="61">
        <f>+FEE_1_Out!V46</f>
        <v>1473.9663049415406</v>
      </c>
      <c r="AA48" s="61">
        <f>+FEE_1_Out!Y46</f>
        <v>272.63677869415818</v>
      </c>
      <c r="AB48" s="61">
        <f>+FEE_2_Out!H46</f>
        <v>22515.533335981905</v>
      </c>
      <c r="AC48" s="61">
        <f>+FEE_2_Out!S46</f>
        <v>21261.592916776135</v>
      </c>
      <c r="AD48" s="61">
        <f>+FEE_2_Out!V46</f>
        <v>1078.3890957404881</v>
      </c>
      <c r="AE48" s="61">
        <f>+FEE_2_Out!Y46</f>
        <v>175.55132346528347</v>
      </c>
      <c r="AF48" s="61">
        <f>+FEE_3_Out!H46</f>
        <v>24827.371208036962</v>
      </c>
      <c r="AG48" s="61">
        <f>+FEE_3_Out!S46</f>
        <v>23650.959461699538</v>
      </c>
      <c r="AH48" s="61">
        <f>+FEE_3_Out!V46</f>
        <v>1073.9026908043477</v>
      </c>
      <c r="AI48" s="61">
        <f>+FEE_3_Out!Y46</f>
        <v>102.50905553307533</v>
      </c>
      <c r="AJ48" s="61">
        <f>+FEE_4_Out!H46</f>
        <v>26013.712953982918</v>
      </c>
      <c r="AK48" s="61">
        <f>+FEE_4_Out!S46</f>
        <v>24359.591291558991</v>
      </c>
      <c r="AL48" s="61">
        <f>+FEE_4_Out!V46</f>
        <v>1557.5628719106116</v>
      </c>
      <c r="AM48" s="61">
        <f>+FEE_4_Out!Y46</f>
        <v>96.558790513314278</v>
      </c>
    </row>
    <row r="49" spans="2:39" s="20" customFormat="1" x14ac:dyDescent="0.25">
      <c r="B49" s="55">
        <f>ITE_LUC_Rates!B33</f>
        <v>490</v>
      </c>
      <c r="C49" s="56" t="str">
        <f>ITE_LUC_Rates!C33</f>
        <v>Tennis Courts</v>
      </c>
      <c r="D49" s="57" t="str">
        <f>ITE_LUC_Rates!D33</f>
        <v>Court</v>
      </c>
      <c r="E49" s="129">
        <f>ITE_LUC_Rates!H33</f>
        <v>30.32</v>
      </c>
      <c r="F49" s="58" t="s">
        <v>71</v>
      </c>
      <c r="G49" s="104">
        <f>ITE_LUC_Rates!Q33</f>
        <v>32020.234</v>
      </c>
      <c r="H49" s="104">
        <f>FEE_1_In!$H47</f>
        <v>12324.03483463663</v>
      </c>
      <c r="I49" s="104">
        <f>+FEE_1_In!S47</f>
        <v>9052.1988875154912</v>
      </c>
      <c r="J49" s="104">
        <f>+FEE_1_In!V47</f>
        <v>3078.4266333343844</v>
      </c>
      <c r="K49" s="104">
        <f>+FEE_1_In!Y47</f>
        <v>193.40931378675455</v>
      </c>
      <c r="L49" s="104">
        <f>+FEE_2_In!H47</f>
        <v>14658.276962478909</v>
      </c>
      <c r="M49" s="104">
        <f>+FEE_2_In!S47</f>
        <v>12155.919112080535</v>
      </c>
      <c r="N49" s="104">
        <f>+FEE_2_In!V47</f>
        <v>2398.7122812266452</v>
      </c>
      <c r="O49" s="61">
        <f>+FEE_2_In!Y47</f>
        <v>103.64556917172843</v>
      </c>
      <c r="P49" s="61">
        <f>+FEE_3_In!H47</f>
        <v>14580.912222337089</v>
      </c>
      <c r="Q49" s="61">
        <f>+FEE_3_In!S47</f>
        <v>13114.154721092213</v>
      </c>
      <c r="R49" s="61">
        <f>+FEE_3_In!V47</f>
        <v>1403.7358848686401</v>
      </c>
      <c r="S49" s="61">
        <f>+FEE_3_In!Y47</f>
        <v>63.021616376236551</v>
      </c>
      <c r="T49" s="61">
        <f>+FEE_4_In!H47</f>
        <v>13687.124643219979</v>
      </c>
      <c r="U49" s="61">
        <f>+FEE_4_In!S47</f>
        <v>11390.218041892489</v>
      </c>
      <c r="V49" s="61">
        <f>+FEE_4_In!V47</f>
        <v>2236.4889906000067</v>
      </c>
      <c r="W49" s="61">
        <f>+FEE_4_In!Y47</f>
        <v>60.41761072748357</v>
      </c>
      <c r="X49" s="61">
        <f>FEE_1_In!$H47</f>
        <v>12324.03483463663</v>
      </c>
      <c r="Y49" s="61">
        <f>+FEE_1_Out!S47</f>
        <v>10682.502185517515</v>
      </c>
      <c r="Z49" s="61">
        <f>+FEE_1_Out!V47</f>
        <v>836.74702051727229</v>
      </c>
      <c r="AA49" s="61">
        <f>+FEE_1_Out!Y47</f>
        <v>154.77152462098627</v>
      </c>
      <c r="AB49" s="61">
        <f>+FEE_2_Out!H47</f>
        <v>12781.706997696527</v>
      </c>
      <c r="AC49" s="61">
        <f>+FEE_2_Out!S47</f>
        <v>12069.865142045544</v>
      </c>
      <c r="AD49" s="61">
        <f>+FEE_2_Out!V47</f>
        <v>612.18418616086126</v>
      </c>
      <c r="AE49" s="61">
        <f>+FEE_2_Out!Y47</f>
        <v>99.65766949012162</v>
      </c>
      <c r="AF49" s="61">
        <f>+FEE_3_Out!H47</f>
        <v>14094.100262641467</v>
      </c>
      <c r="AG49" s="61">
        <f>+FEE_3_Out!S47</f>
        <v>13426.270190577234</v>
      </c>
      <c r="AH49" s="61">
        <f>+FEE_3_Out!V47</f>
        <v>609.63732606605174</v>
      </c>
      <c r="AI49" s="61">
        <f>+FEE_3_Out!Y47</f>
        <v>58.192745998180939</v>
      </c>
      <c r="AJ49" s="61">
        <f>+FEE_4_Out!H47</f>
        <v>14767.567436149824</v>
      </c>
      <c r="AK49" s="61">
        <f>+FEE_4_Out!S47</f>
        <v>13828.549109905796</v>
      </c>
      <c r="AL49" s="61">
        <f>+FEE_4_Out!V47</f>
        <v>884.20345022148933</v>
      </c>
      <c r="AM49" s="61">
        <f>+FEE_4_Out!Y47</f>
        <v>54.814876022536758</v>
      </c>
    </row>
    <row r="50" spans="2:39" s="20" customFormat="1" x14ac:dyDescent="0.25">
      <c r="B50" s="55">
        <f>ITE_LUC_Rates!B34</f>
        <v>491</v>
      </c>
      <c r="C50" s="56" t="str">
        <f>ITE_LUC_Rates!C34</f>
        <v>Racquet Club</v>
      </c>
      <c r="D50" s="57" t="str">
        <f>ITE_LUC_Rates!D34</f>
        <v>Court</v>
      </c>
      <c r="E50" s="129"/>
      <c r="F50" s="58" t="s">
        <v>71</v>
      </c>
      <c r="G50" s="104">
        <f>ITE_LUC_Rates!Q34</f>
        <v>39922.269999999997</v>
      </c>
      <c r="H50" s="104">
        <f>FEE_1_In!$H48</f>
        <v>15730.215966373275</v>
      </c>
      <c r="I50" s="104">
        <f>+FEE_1_In!S48</f>
        <v>11554.092907217993</v>
      </c>
      <c r="J50" s="104">
        <f>+FEE_1_In!V48</f>
        <v>3929.2582688008147</v>
      </c>
      <c r="K50" s="104">
        <f>+FEE_1_In!Y48</f>
        <v>246.86479035446575</v>
      </c>
      <c r="L50" s="104">
        <f>+FEE_2_In!H48</f>
        <v>18709.608128230007</v>
      </c>
      <c r="M50" s="104">
        <f>+FEE_2_In!S48</f>
        <v>15515.635542134456</v>
      </c>
      <c r="N50" s="104">
        <f>+FEE_2_In!V48</f>
        <v>3061.6809130432448</v>
      </c>
      <c r="O50" s="61">
        <f>+FEE_2_In!Y48</f>
        <v>132.29167305230507</v>
      </c>
      <c r="P50" s="61">
        <f>+FEE_3_In!H48</f>
        <v>18610.860917033158</v>
      </c>
      <c r="Q50" s="61">
        <f>+FEE_3_In!S48</f>
        <v>16738.713314850549</v>
      </c>
      <c r="R50" s="61">
        <f>+FEE_3_In!V48</f>
        <v>1791.7077422300913</v>
      </c>
      <c r="S50" s="61">
        <f>+FEE_3_In!Y48</f>
        <v>80.43985995251829</v>
      </c>
      <c r="T50" s="61">
        <f>+FEE_4_In!H48</f>
        <v>17470.043657408089</v>
      </c>
      <c r="U50" s="61">
        <f>+FEE_4_In!S48</f>
        <v>14538.306009935335</v>
      </c>
      <c r="V50" s="61">
        <f>+FEE_4_In!V48</f>
        <v>2854.6215018542302</v>
      </c>
      <c r="W50" s="61">
        <f>+FEE_4_In!Y48</f>
        <v>77.116145618522893</v>
      </c>
      <c r="X50" s="61">
        <f>FEE_1_In!$H48</f>
        <v>15730.215966373275</v>
      </c>
      <c r="Y50" s="61">
        <f>+FEE_1_Out!S48</f>
        <v>13634.987947873611</v>
      </c>
      <c r="Z50" s="61">
        <f>+FEE_1_Out!V48</f>
        <v>1068.0115334438801</v>
      </c>
      <c r="AA50" s="61">
        <f>+FEE_1_Out!Y48</f>
        <v>197.54808716464936</v>
      </c>
      <c r="AB50" s="61">
        <f>+FEE_2_Out!H48</f>
        <v>16314.381952864631</v>
      </c>
      <c r="AC50" s="61">
        <f>+FEE_2_Out!S48</f>
        <v>15405.797526291641</v>
      </c>
      <c r="AD50" s="61">
        <f>+FEE_2_Out!V48</f>
        <v>781.38284975017575</v>
      </c>
      <c r="AE50" s="61">
        <f>+FEE_2_Out!Y48</f>
        <v>127.20157682281356</v>
      </c>
      <c r="AF50" s="61">
        <f>+FEE_3_Out!H48</f>
        <v>17989.501324677596</v>
      </c>
      <c r="AG50" s="61">
        <f>+FEE_3_Out!S48</f>
        <v>17137.092888368697</v>
      </c>
      <c r="AH50" s="61">
        <f>+FEE_3_Out!V48</f>
        <v>778.1320751568669</v>
      </c>
      <c r="AI50" s="61">
        <f>+FEE_3_Out!Y48</f>
        <v>74.27636115203174</v>
      </c>
      <c r="AJ50" s="61">
        <f>+FEE_4_Out!H48</f>
        <v>18849.104873977518</v>
      </c>
      <c r="AK50" s="61">
        <f>+FEE_4_Out!S48</f>
        <v>17650.555757036756</v>
      </c>
      <c r="AL50" s="61">
        <f>+FEE_4_Out!V48</f>
        <v>1128.5842191151596</v>
      </c>
      <c r="AM50" s="61">
        <f>+FEE_4_Out!Y48</f>
        <v>69.96489782559938</v>
      </c>
    </row>
    <row r="51" spans="2:39" s="20" customFormat="1" x14ac:dyDescent="0.25">
      <c r="B51" s="55">
        <f>ITE_LUC_Rates!B35</f>
        <v>492</v>
      </c>
      <c r="C51" s="56" t="str">
        <f>ITE_LUC_Rates!C35</f>
        <v>Health/Fitness</v>
      </c>
      <c r="D51" s="57" t="str">
        <f>ITE_LUC_Rates!D35</f>
        <v>1000 GSF</v>
      </c>
      <c r="E51" s="129"/>
      <c r="F51" s="58" t="s">
        <v>71</v>
      </c>
      <c r="G51" s="104">
        <f>ITE_LUC_Rates!Q35</f>
        <v>4147.8</v>
      </c>
      <c r="H51" s="104">
        <f>FEE_1_In!$H49</f>
        <v>1633.9914259643554</v>
      </c>
      <c r="I51" s="104">
        <f>+FEE_1_In!S49</f>
        <v>1200.1925965637295</v>
      </c>
      <c r="J51" s="104">
        <f>+FEE_1_In!V49</f>
        <v>408.15551009248759</v>
      </c>
      <c r="K51" s="104">
        <f>+FEE_1_In!Y49</f>
        <v>25.643319308138295</v>
      </c>
      <c r="L51" s="104">
        <f>+FEE_2_In!H49</f>
        <v>1943.4786737851318</v>
      </c>
      <c r="M51" s="104">
        <f>+FEE_2_In!S49</f>
        <v>1611.7016764697803</v>
      </c>
      <c r="N51" s="104">
        <f>+FEE_2_In!V49</f>
        <v>318.03507158743776</v>
      </c>
      <c r="O51" s="61">
        <f>+FEE_2_In!Y49</f>
        <v>13.741925727913859</v>
      </c>
      <c r="P51" s="61">
        <f>+FEE_3_In!H49</f>
        <v>1933.2212115367774</v>
      </c>
      <c r="Q51" s="61">
        <f>+FEE_3_In!S49</f>
        <v>1738.7500652635451</v>
      </c>
      <c r="R51" s="61">
        <f>+FEE_3_In!V49</f>
        <v>186.1153778750637</v>
      </c>
      <c r="S51" s="61">
        <f>+FEE_3_In!Y49</f>
        <v>8.355768398168566</v>
      </c>
      <c r="T51" s="61">
        <f>+FEE_4_In!H49</f>
        <v>1814.717713250142</v>
      </c>
      <c r="U51" s="61">
        <f>+FEE_4_In!S49</f>
        <v>1510.1806242878561</v>
      </c>
      <c r="V51" s="61">
        <f>+FEE_4_In!V49</f>
        <v>296.52657461121453</v>
      </c>
      <c r="W51" s="61">
        <f>+FEE_4_In!Y49</f>
        <v>8.0105143510713681</v>
      </c>
      <c r="X51" s="61">
        <f>FEE_1_In!$H49</f>
        <v>1633.9914259643554</v>
      </c>
      <c r="Y51" s="61">
        <f>+FEE_1_Out!S49</f>
        <v>1416.3475852829947</v>
      </c>
      <c r="Z51" s="61">
        <f>+FEE_1_Out!V49</f>
        <v>110.94073293137976</v>
      </c>
      <c r="AA51" s="61">
        <f>+FEE_1_Out!Y49</f>
        <v>20.520498976793029</v>
      </c>
      <c r="AB51" s="61">
        <f>+FEE_2_Out!H49</f>
        <v>1694.6722338634572</v>
      </c>
      <c r="AC51" s="61">
        <f>+FEE_2_Out!S49</f>
        <v>1600.2921461419219</v>
      </c>
      <c r="AD51" s="61">
        <f>+FEE_2_Out!V49</f>
        <v>81.166900671723667</v>
      </c>
      <c r="AE51" s="61">
        <f>+FEE_2_Out!Y49</f>
        <v>13.213187049811637</v>
      </c>
      <c r="AF51" s="61">
        <f>+FEE_3_Out!H49</f>
        <v>1868.676881788215</v>
      </c>
      <c r="AG51" s="61">
        <f>+FEE_3_Out!S49</f>
        <v>1780.1321294894612</v>
      </c>
      <c r="AH51" s="61">
        <f>+FEE_3_Out!V49</f>
        <v>80.829223310868315</v>
      </c>
      <c r="AI51" s="61">
        <f>+FEE_3_Out!Y49</f>
        <v>7.7155289878854667</v>
      </c>
      <c r="AJ51" s="61">
        <f>+FEE_4_Out!H49</f>
        <v>1957.9690334209199</v>
      </c>
      <c r="AK51" s="61">
        <f>+FEE_4_Out!S49</f>
        <v>1833.4685825138952</v>
      </c>
      <c r="AL51" s="61">
        <f>+FEE_4_Out!V49</f>
        <v>117.2327793499468</v>
      </c>
      <c r="AM51" s="61">
        <f>+FEE_4_Out!Y49</f>
        <v>7.2676715570777617</v>
      </c>
    </row>
    <row r="52" spans="2:39" s="20" customFormat="1" x14ac:dyDescent="0.25">
      <c r="B52" s="134">
        <f>ITE_LUC_Rates!B36</f>
        <v>495</v>
      </c>
      <c r="C52" s="135" t="str">
        <f>ITE_LUC_Rates!C36</f>
        <v>Recreational Community Center</v>
      </c>
      <c r="D52" s="232" t="str">
        <f>ITE_LUC_Rates!D36</f>
        <v>1000 GSF</v>
      </c>
      <c r="E52" s="233">
        <f>ITE_LUC_Rates!H36</f>
        <v>28.82</v>
      </c>
      <c r="F52" s="136" t="s">
        <v>71</v>
      </c>
      <c r="G52" s="137">
        <f>ITE_LUC_Rates!Q36</f>
        <v>0</v>
      </c>
      <c r="H52" s="104">
        <f>FEE_1_In!$H50</f>
        <v>11714.336541366345</v>
      </c>
      <c r="I52" s="104">
        <f>+FEE_1_In!S50</f>
        <v>8604.3658290961866</v>
      </c>
      <c r="J52" s="104">
        <f>+FEE_1_In!V50</f>
        <v>2926.1298012103221</v>
      </c>
      <c r="K52" s="104">
        <f>+FEE_1_In!Y50</f>
        <v>183.84091105983725</v>
      </c>
      <c r="L52" s="104">
        <f>+FEE_2_In!H50</f>
        <v>13933.098352857587</v>
      </c>
      <c r="M52" s="104">
        <f>+FEE_2_In!S50</f>
        <v>11554.537889517182</v>
      </c>
      <c r="N52" s="104">
        <f>+FEE_2_In!V50</f>
        <v>2280.0424783955114</v>
      </c>
      <c r="O52" s="61">
        <f>+FEE_2_In!Y50</f>
        <v>98.517984944894891</v>
      </c>
      <c r="P52" s="61">
        <f>+FEE_3_In!H50</f>
        <v>13859.561024002471</v>
      </c>
      <c r="Q52" s="61">
        <f>+FEE_3_In!S50</f>
        <v>12465.367383307308</v>
      </c>
      <c r="R52" s="61">
        <f>+FEE_3_In!V50</f>
        <v>1334.2898483480938</v>
      </c>
      <c r="S52" s="61">
        <f>+FEE_3_In!Y50</f>
        <v>59.903792347069171</v>
      </c>
      <c r="T52" s="61">
        <f>+FEE_4_In!H50</f>
        <v>13009.99116812664</v>
      </c>
      <c r="U52" s="61">
        <f>+FEE_4_In!S50</f>
        <v>10826.717808949257</v>
      </c>
      <c r="V52" s="61">
        <f>+FEE_4_In!V50</f>
        <v>2125.8447463420907</v>
      </c>
      <c r="W52" s="61">
        <f>+FEE_4_In!Y50</f>
        <v>57.428612835292746</v>
      </c>
      <c r="X52" s="61">
        <f>FEE_1_In!$H50</f>
        <v>11714.336541366345</v>
      </c>
      <c r="Y52" s="61">
        <f>+FEE_1_Out!S50</f>
        <v>10154.014280561174</v>
      </c>
      <c r="Z52" s="61">
        <f>+FEE_1_Out!V50</f>
        <v>795.35122464735446</v>
      </c>
      <c r="AA52" s="61">
        <f>+FEE_1_Out!Y50</f>
        <v>147.11462201770524</v>
      </c>
      <c r="AB52" s="61">
        <f>+FEE_2_Out!H50</f>
        <v>12149.36661192658</v>
      </c>
      <c r="AC52" s="61">
        <f>+FEE_2_Out!S50</f>
        <v>11472.741206917961</v>
      </c>
      <c r="AD52" s="61">
        <f>+FEE_2_Out!V50</f>
        <v>581.89802919380008</v>
      </c>
      <c r="AE52" s="61">
        <f>+FEE_2_Out!Y50</f>
        <v>94.727375814818757</v>
      </c>
      <c r="AF52" s="61">
        <f>+FEE_3_Out!H50</f>
        <v>13396.832769436907</v>
      </c>
      <c r="AG52" s="61">
        <f>+FEE_3_Out!S50</f>
        <v>12762.041784051313</v>
      </c>
      <c r="AH52" s="61">
        <f>+FEE_3_Out!V50</f>
        <v>579.47716811423516</v>
      </c>
      <c r="AI52" s="61">
        <f>+FEE_3_Out!Y50</f>
        <v>55.313817271358005</v>
      </c>
      <c r="AJ52" s="61">
        <f>+FEE_4_Out!H50</f>
        <v>14036.981975918137</v>
      </c>
      <c r="AK52" s="61">
        <f>+FEE_4_Out!S50</f>
        <v>13144.419041803598</v>
      </c>
      <c r="AL52" s="61">
        <f>+FEE_4_Out!V50</f>
        <v>840.45987583718079</v>
      </c>
      <c r="AM52" s="61">
        <f>+FEE_4_Out!Y50</f>
        <v>52.103058277358485</v>
      </c>
    </row>
    <row r="53" spans="2:39" s="20" customFormat="1" x14ac:dyDescent="0.25">
      <c r="B53" s="105" t="e">
        <f>ITE_LUC_Rates!#REF!</f>
        <v>#REF!</v>
      </c>
      <c r="C53" s="106"/>
      <c r="D53" s="107"/>
      <c r="E53" s="130"/>
      <c r="F53" s="114"/>
      <c r="G53" s="110"/>
      <c r="H53" s="242"/>
      <c r="I53" s="112"/>
      <c r="J53" s="112"/>
      <c r="K53" s="113"/>
      <c r="L53" s="242"/>
      <c r="M53" s="112"/>
      <c r="N53" s="112"/>
      <c r="O53" s="113"/>
      <c r="P53" s="113"/>
      <c r="Q53" s="113"/>
      <c r="R53" s="113"/>
      <c r="S53" s="113"/>
      <c r="T53" s="113"/>
      <c r="U53" s="113"/>
      <c r="V53" s="113"/>
      <c r="W53" s="113"/>
      <c r="X53" s="113"/>
      <c r="Y53" s="113"/>
      <c r="Z53" s="113"/>
      <c r="AA53" s="113"/>
      <c r="AB53" s="113"/>
      <c r="AC53" s="113"/>
      <c r="AD53" s="113"/>
      <c r="AE53" s="113"/>
      <c r="AF53" s="113"/>
      <c r="AG53" s="113"/>
      <c r="AH53" s="113"/>
      <c r="AI53" s="113"/>
      <c r="AJ53" s="113"/>
      <c r="AK53" s="113"/>
      <c r="AL53" s="113"/>
      <c r="AM53" s="113"/>
    </row>
    <row r="54" spans="2:39" s="20" customFormat="1" x14ac:dyDescent="0.25">
      <c r="B54" s="55">
        <f>ITE_LUC_Rates!B37</f>
        <v>520</v>
      </c>
      <c r="C54" s="56" t="str">
        <f>ITE_LUC_Rates!C37</f>
        <v>Elementary School (30 FT/St)</v>
      </c>
      <c r="D54" s="57" t="str">
        <f>ITE_LUC_Rates!D37</f>
        <v>Student</v>
      </c>
      <c r="E54" s="129">
        <f>ITE_LUC_Rates!H37</f>
        <v>1.89</v>
      </c>
      <c r="F54" s="58" t="s">
        <v>71</v>
      </c>
      <c r="G54" s="104">
        <f>ITE_LUC_Rates!Q37</f>
        <v>198.476</v>
      </c>
      <c r="H54" s="104">
        <f>FEE_1_In!$H52</f>
        <v>1743.9803349238127</v>
      </c>
      <c r="I54" s="104">
        <f>+FEE_1_In!S52</f>
        <v>1280.9811932109571</v>
      </c>
      <c r="J54" s="104">
        <f>+FEE_1_In!V52</f>
        <v>435.62969295998261</v>
      </c>
      <c r="K54" s="104">
        <f>+FEE_1_In!Y52</f>
        <v>27.369448752873001</v>
      </c>
      <c r="L54" s="104">
        <f>+FEE_2_In!H52</f>
        <v>2074.3001062106064</v>
      </c>
      <c r="M54" s="104">
        <f>+FEE_2_In!S52</f>
        <v>1720.1901949198809</v>
      </c>
      <c r="N54" s="104">
        <f>+FEE_2_In!V52</f>
        <v>339.44297494537642</v>
      </c>
      <c r="O54" s="61">
        <f>+FEE_2_In!Y52</f>
        <v>14.666936345349079</v>
      </c>
      <c r="P54" s="61">
        <f>+FEE_3_In!H52</f>
        <v>2063.3521831290664</v>
      </c>
      <c r="Q54" s="61">
        <f>+FEE_3_In!S52</f>
        <v>1855.790595337719</v>
      </c>
      <c r="R54" s="61">
        <f>+FEE_3_In!V52</f>
        <v>198.64336732946001</v>
      </c>
      <c r="S54" s="61">
        <f>+FEE_3_In!Y52</f>
        <v>8.9182204618873655</v>
      </c>
      <c r="T54" s="61">
        <f>+FEE_4_In!H52</f>
        <v>1936.8718556637011</v>
      </c>
      <c r="U54" s="61">
        <f>+FEE_4_In!S52</f>
        <v>1611.8354534122514</v>
      </c>
      <c r="V54" s="61">
        <f>+FEE_4_In!V52</f>
        <v>316.48667593165078</v>
      </c>
      <c r="W54" s="61">
        <f>+FEE_4_In!Y52</f>
        <v>8.5497263197990669</v>
      </c>
      <c r="X54" s="61">
        <f>FEE_1_In!$H52</f>
        <v>1743.9803349238127</v>
      </c>
      <c r="Y54" s="61">
        <f>+FEE_1_Out!S52</f>
        <v>1511.6862285201823</v>
      </c>
      <c r="Z54" s="61">
        <f>+FEE_1_Out!V52</f>
        <v>118.40848948162203</v>
      </c>
      <c r="AA54" s="61">
        <f>+FEE_1_Out!Y52</f>
        <v>21.901795878292418</v>
      </c>
      <c r="AB54" s="61">
        <f>+FEE_2_Out!H52</f>
        <v>1808.7457516828799</v>
      </c>
      <c r="AC54" s="61">
        <f>+FEE_2_Out!S52</f>
        <v>1708.0126545691055</v>
      </c>
      <c r="AD54" s="61">
        <f>+FEE_2_Out!V52</f>
        <v>86.630490447437893</v>
      </c>
      <c r="AE54" s="61">
        <f>+FEE_2_Out!Y52</f>
        <v>14.102606666336428</v>
      </c>
      <c r="AF54" s="61">
        <f>+FEE_3_Out!H52</f>
        <v>1994.4631791700051</v>
      </c>
      <c r="AG54" s="61">
        <f>+FEE_3_Out!S52</f>
        <v>1899.958211569829</v>
      </c>
      <c r="AH54" s="61">
        <f>+FEE_3_Out!V52</f>
        <v>86.270083001276959</v>
      </c>
      <c r="AI54" s="61">
        <f>+FEE_3_Out!Y52</f>
        <v>8.2348845988989989</v>
      </c>
      <c r="AJ54" s="61">
        <f>+FEE_4_Out!H52</f>
        <v>2089.7658558156713</v>
      </c>
      <c r="AK54" s="61">
        <f>+FEE_4_Out!S52</f>
        <v>1956.8849026963157</v>
      </c>
      <c r="AL54" s="61">
        <f>+FEE_4_Out!V52</f>
        <v>125.12407259059245</v>
      </c>
      <c r="AM54" s="61">
        <f>+FEE_4_Out!Y52</f>
        <v>7.7568805287630918</v>
      </c>
    </row>
    <row r="55" spans="2:39" s="20" customFormat="1" x14ac:dyDescent="0.25">
      <c r="B55" s="55">
        <f>ITE_LUC_Rates!B38</f>
        <v>530</v>
      </c>
      <c r="C55" s="56" t="str">
        <f>ITE_LUC_Rates!C38</f>
        <v>High School (25 SF/St)</v>
      </c>
      <c r="D55" s="57" t="str">
        <f>ITE_LUC_Rates!D38</f>
        <v>Student</v>
      </c>
      <c r="E55" s="129">
        <f>ITE_LUC_Rates!H38</f>
        <v>2.0299999999999998</v>
      </c>
      <c r="F55" s="58" t="s">
        <v>71</v>
      </c>
      <c r="G55" s="104">
        <f>ITE_LUC_Rates!Q38</f>
        <v>1120.212</v>
      </c>
      <c r="H55" s="104">
        <f>FEE_1_In!$H53</f>
        <v>1873.1640634366877</v>
      </c>
      <c r="I55" s="104">
        <f>+FEE_1_In!S53</f>
        <v>1375.8686890043614</v>
      </c>
      <c r="J55" s="104">
        <f>+FEE_1_In!V53</f>
        <v>467.89855910516644</v>
      </c>
      <c r="K55" s="104">
        <f>+FEE_1_In!Y53</f>
        <v>29.396815327159892</v>
      </c>
      <c r="L55" s="104">
        <f>+FEE_2_In!H53</f>
        <v>2227.9519659299103</v>
      </c>
      <c r="M55" s="104">
        <f>+FEE_2_In!S53</f>
        <v>1847.6116908398719</v>
      </c>
      <c r="N55" s="104">
        <f>+FEE_2_In!V53</f>
        <v>364.58689901540424</v>
      </c>
      <c r="O55" s="61">
        <f>+FEE_2_In!Y53</f>
        <v>15.753376074634197</v>
      </c>
      <c r="P55" s="61">
        <f>+FEE_3_In!H53</f>
        <v>2216.193085583071</v>
      </c>
      <c r="Q55" s="61">
        <f>+FEE_3_In!S53</f>
        <v>1993.256565362735</v>
      </c>
      <c r="R55" s="61">
        <f>+FEE_3_In!V53</f>
        <v>213.35769083534592</v>
      </c>
      <c r="S55" s="61">
        <f>+FEE_3_In!Y53</f>
        <v>9.5788293849901329</v>
      </c>
      <c r="T55" s="61">
        <f>+FEE_4_In!H53</f>
        <v>2080.3438449721239</v>
      </c>
      <c r="U55" s="61">
        <f>+FEE_4_In!S53</f>
        <v>1731.2306721835296</v>
      </c>
      <c r="V55" s="61">
        <f>+FEE_4_In!V53</f>
        <v>339.93013340806937</v>
      </c>
      <c r="W55" s="61">
        <f>+FEE_4_In!Y53</f>
        <v>9.1830393805249226</v>
      </c>
      <c r="X55" s="61">
        <f>FEE_1_In!$H53</f>
        <v>1873.1640634366877</v>
      </c>
      <c r="Y55" s="61">
        <f>+FEE_1_Out!S53</f>
        <v>1623.6629861883439</v>
      </c>
      <c r="Z55" s="61">
        <f>+FEE_1_Out!V53</f>
        <v>127.17948870248291</v>
      </c>
      <c r="AA55" s="61">
        <f>+FEE_1_Out!Y53</f>
        <v>23.524151128536303</v>
      </c>
      <c r="AB55" s="61">
        <f>+FEE_2_Out!H53</f>
        <v>1942.7269184742045</v>
      </c>
      <c r="AC55" s="61">
        <f>+FEE_2_Out!S53</f>
        <v>1834.5321104631134</v>
      </c>
      <c r="AD55" s="61">
        <f>+FEE_2_Out!V53</f>
        <v>93.047563813914763</v>
      </c>
      <c r="AE55" s="61">
        <f>+FEE_2_Out!Y53</f>
        <v>15.147244197176166</v>
      </c>
      <c r="AF55" s="61">
        <f>+FEE_3_Out!H53</f>
        <v>2142.2011924418566</v>
      </c>
      <c r="AG55" s="61">
        <f>+FEE_3_Out!S53</f>
        <v>2040.6958568712973</v>
      </c>
      <c r="AH55" s="61">
        <f>+FEE_3_Out!V53</f>
        <v>92.660459519890054</v>
      </c>
      <c r="AI55" s="61">
        <f>+FEE_3_Out!Y53</f>
        <v>8.8448760506692956</v>
      </c>
      <c r="AJ55" s="61">
        <f>+FEE_4_Out!H53</f>
        <v>2244.5633266168315</v>
      </c>
      <c r="AK55" s="61">
        <f>+FEE_4_Out!S53</f>
        <v>2101.8393399330794</v>
      </c>
      <c r="AL55" s="61">
        <f>+FEE_4_Out!V53</f>
        <v>134.39252241211781</v>
      </c>
      <c r="AM55" s="61">
        <f>+FEE_4_Out!Y53</f>
        <v>8.3314642716344309</v>
      </c>
    </row>
    <row r="56" spans="2:39" s="20" customFormat="1" x14ac:dyDescent="0.25">
      <c r="B56" s="134">
        <f>ITE_LUC_Rates!B39</f>
        <v>534</v>
      </c>
      <c r="C56" s="135" t="str">
        <f>ITE_LUC_Rates!C39</f>
        <v>Private School (K-8)</v>
      </c>
      <c r="D56" s="232" t="str">
        <f>ITE_LUC_Rates!D39</f>
        <v>Student</v>
      </c>
      <c r="E56" s="233">
        <f>ITE_LUC_Rates!H39</f>
        <v>4.1100000000000003</v>
      </c>
      <c r="F56" s="136" t="s">
        <v>71</v>
      </c>
      <c r="G56" s="137">
        <f>ITE_LUC_Rates!Q39</f>
        <v>0</v>
      </c>
      <c r="H56" s="104">
        <f>FEE_1_In!$H54</f>
        <v>1950.9414449210956</v>
      </c>
      <c r="I56" s="104">
        <f>+FEE_1_In!S54</f>
        <v>1432.9974082585684</v>
      </c>
      <c r="J56" s="104">
        <f>+FEE_1_In!V54</f>
        <v>487.32660891558146</v>
      </c>
      <c r="K56" s="104">
        <f>+FEE_1_In!Y54</f>
        <v>30.617427746945662</v>
      </c>
      <c r="L56" s="104">
        <f>+FEE_2_In!H54</f>
        <v>2320.4608247989745</v>
      </c>
      <c r="M56" s="104">
        <f>+FEE_2_In!S54</f>
        <v>1924.328088574865</v>
      </c>
      <c r="N56" s="104">
        <f>+FEE_2_In!V54</f>
        <v>379.72524961824075</v>
      </c>
      <c r="O56" s="61">
        <f>+FEE_2_In!Y54</f>
        <v>16.407486605868815</v>
      </c>
      <c r="P56" s="61">
        <f>+FEE_3_In!H54</f>
        <v>2308.213693080877</v>
      </c>
      <c r="Q56" s="61">
        <f>+FEE_3_In!S54</f>
        <v>2076.0204189442975</v>
      </c>
      <c r="R56" s="61">
        <f>+FEE_3_In!V54</f>
        <v>222.21671329720516</v>
      </c>
      <c r="S56" s="61">
        <f>+FEE_3_In!Y54</f>
        <v>9.9765608393740877</v>
      </c>
      <c r="T56" s="61">
        <f>+FEE_4_In!H54</f>
        <v>2166.7237302194821</v>
      </c>
      <c r="U56" s="61">
        <f>+FEE_4_In!S54</f>
        <v>1803.1147057587216</v>
      </c>
      <c r="V56" s="61">
        <f>+FEE_4_In!V54</f>
        <v>354.04468758952095</v>
      </c>
      <c r="W56" s="61">
        <f>+FEE_4_In!Y54</f>
        <v>9.564336871239659</v>
      </c>
      <c r="X56" s="61">
        <f>FEE_1_In!$H54</f>
        <v>1950.9414449210956</v>
      </c>
      <c r="Y56" s="61">
        <f>+FEE_1_Out!S54</f>
        <v>1691.0806021590402</v>
      </c>
      <c r="Z56" s="61">
        <f>+FEE_1_Out!V54</f>
        <v>132.46022614715537</v>
      </c>
      <c r="AA56" s="61">
        <f>+FEE_1_Out!Y54</f>
        <v>24.500919214223458</v>
      </c>
      <c r="AB56" s="61">
        <f>+FEE_2_Out!H54</f>
        <v>2023.3926837467739</v>
      </c>
      <c r="AC56" s="61">
        <f>+FEE_2_Out!S54</f>
        <v>1910.7054188166283</v>
      </c>
      <c r="AD56" s="61">
        <f>+FEE_2_Out!V54</f>
        <v>96.911077965297736</v>
      </c>
      <c r="AE56" s="61">
        <f>+FEE_2_Out!Y54</f>
        <v>15.776186964847978</v>
      </c>
      <c r="AF56" s="61">
        <f>+FEE_3_Out!H54</f>
        <v>2231.1495139547183</v>
      </c>
      <c r="AG56" s="61">
        <f>+FEE_3_Out!S54</f>
        <v>2125.429481251389</v>
      </c>
      <c r="AH56" s="61">
        <f>+FEE_3_Out!V54</f>
        <v>96.507900355038572</v>
      </c>
      <c r="AI56" s="61">
        <f>+FEE_3_Out!Y54</f>
        <v>9.2121323482906909</v>
      </c>
      <c r="AJ56" s="61">
        <f>+FEE_4_Out!H54</f>
        <v>2337.7619211915612</v>
      </c>
      <c r="AK56" s="61">
        <f>+FEE_4_Out!S54</f>
        <v>2189.1117595528449</v>
      </c>
      <c r="AL56" s="61">
        <f>+FEE_4_Out!V54</f>
        <v>139.97275891586625</v>
      </c>
      <c r="AM56" s="61">
        <f>+FEE_4_Out!Y54</f>
        <v>8.6774027228503616</v>
      </c>
    </row>
    <row r="57" spans="2:39" s="20" customFormat="1" x14ac:dyDescent="0.25">
      <c r="B57" s="134">
        <f>ITE_LUC_Rates!B40</f>
        <v>536</v>
      </c>
      <c r="C57" s="135" t="str">
        <f>ITE_LUC_Rates!C40</f>
        <v>Private School (K-12)</v>
      </c>
      <c r="D57" s="232" t="str">
        <f>ITE_LUC_Rates!D40</f>
        <v>Student</v>
      </c>
      <c r="E57" s="233">
        <f>ITE_LUC_Rates!H40</f>
        <v>2.48</v>
      </c>
      <c r="F57" s="136" t="s">
        <v>71</v>
      </c>
      <c r="G57" s="137">
        <f>ITE_LUC_Rates!Q40</f>
        <v>0</v>
      </c>
      <c r="H57" s="104">
        <f>FEE_1_In!$H55</f>
        <v>1177.2104095874247</v>
      </c>
      <c r="I57" s="104">
        <f>+FEE_1_In!S55</f>
        <v>864.67970133363724</v>
      </c>
      <c r="J57" s="104">
        <f>+FEE_1_In!V55</f>
        <v>294.05595866438972</v>
      </c>
      <c r="K57" s="104">
        <f>+FEE_1_In!Y55</f>
        <v>18.474749589397867</v>
      </c>
      <c r="L57" s="104">
        <f>+FEE_2_In!H55</f>
        <v>1400.1807409979208</v>
      </c>
      <c r="M57" s="104">
        <f>+FEE_2_In!S55</f>
        <v>1161.1517420111104</v>
      </c>
      <c r="N57" s="104">
        <f>+FEE_2_In!V55</f>
        <v>229.12861777451016</v>
      </c>
      <c r="O57" s="61">
        <f>+FEE_2_In!Y55</f>
        <v>9.9003812123004025</v>
      </c>
      <c r="P57" s="61">
        <f>+FEE_3_In!H55</f>
        <v>1392.7907442434482</v>
      </c>
      <c r="Q57" s="61">
        <f>+FEE_3_In!S55</f>
        <v>1252.683853766875</v>
      </c>
      <c r="R57" s="61">
        <f>+FEE_3_In!V55</f>
        <v>134.0869705540313</v>
      </c>
      <c r="S57" s="61">
        <f>+FEE_3_In!Y55</f>
        <v>6.0199199225420283</v>
      </c>
      <c r="T57" s="61">
        <f>+FEE_4_In!H55</f>
        <v>1307.4148055825583</v>
      </c>
      <c r="U57" s="61">
        <f>+FEE_4_In!S55</f>
        <v>1088.0108200198611</v>
      </c>
      <c r="V57" s="61">
        <f>+FEE_4_In!V55</f>
        <v>213.63280419027046</v>
      </c>
      <c r="W57" s="61">
        <f>+FEE_4_In!Y55</f>
        <v>5.7711813724268488</v>
      </c>
      <c r="X57" s="61">
        <f>FEE_1_In!$H55</f>
        <v>1177.2104095874247</v>
      </c>
      <c r="Y57" s="61">
        <f>+FEE_1_Out!S55</f>
        <v>1020.4087331762578</v>
      </c>
      <c r="Z57" s="61">
        <f>+FEE_1_Out!V55</f>
        <v>79.927338405096179</v>
      </c>
      <c r="AA57" s="61">
        <f>+FEE_1_Out!Y55</f>
        <v>14.784009647511965</v>
      </c>
      <c r="AB57" s="61">
        <f>+FEE_2_Out!H55</f>
        <v>1220.9279454238438</v>
      </c>
      <c r="AC57" s="61">
        <f>+FEE_2_Out!S55</f>
        <v>1152.9317369015175</v>
      </c>
      <c r="AD57" s="61">
        <f>+FEE_2_Out!V55</f>
        <v>58.476757507040951</v>
      </c>
      <c r="AE57" s="61">
        <f>+FEE_2_Out!Y55</f>
        <v>9.5194510152853979</v>
      </c>
      <c r="AF57" s="61">
        <f>+FEE_3_Out!H55</f>
        <v>1346.2897310481023</v>
      </c>
      <c r="AG57" s="61">
        <f>+FEE_3_Out!S55</f>
        <v>1282.4975945263852</v>
      </c>
      <c r="AH57" s="61">
        <f>+FEE_3_Out!V55</f>
        <v>58.233477586495276</v>
      </c>
      <c r="AI57" s="61">
        <f>+FEE_3_Out!Y55</f>
        <v>5.5586589352216329</v>
      </c>
      <c r="AJ57" s="61">
        <f>+FEE_4_Out!H55</f>
        <v>1410.6203320085331</v>
      </c>
      <c r="AK57" s="61">
        <f>+FEE_4_Out!S55</f>
        <v>1320.9238841097456</v>
      </c>
      <c r="AL57" s="61">
        <f>+FEE_4_Out!V55</f>
        <v>84.460448202274506</v>
      </c>
      <c r="AM57" s="61">
        <f>+FEE_4_Out!Y55</f>
        <v>5.2359996965131117</v>
      </c>
    </row>
    <row r="58" spans="2:39" s="20" customFormat="1" x14ac:dyDescent="0.25">
      <c r="B58" s="134">
        <f>ITE_LUC_Rates!B41</f>
        <v>537</v>
      </c>
      <c r="C58" s="135" t="str">
        <f>ITE_LUC_Rates!C41</f>
        <v>Charter Elementary School</v>
      </c>
      <c r="D58" s="232" t="str">
        <f>ITE_LUC_Rates!D41</f>
        <v>Student</v>
      </c>
      <c r="E58" s="233">
        <f>ITE_LUC_Rates!H41</f>
        <v>1.85</v>
      </c>
      <c r="F58" s="136" t="s">
        <v>71</v>
      </c>
      <c r="G58" s="137">
        <f>ITE_LUC_Rates!Q41</f>
        <v>0</v>
      </c>
      <c r="H58" s="104">
        <f>FEE_1_In!$H56</f>
        <v>1707.0706982058487</v>
      </c>
      <c r="I58" s="104">
        <f>+FEE_1_In!S56</f>
        <v>1253.8704801271274</v>
      </c>
      <c r="J58" s="104">
        <f>+FEE_1_In!V56</f>
        <v>426.41001691850164</v>
      </c>
      <c r="K58" s="104">
        <f>+FEE_1_In!Y56</f>
        <v>26.79020116021961</v>
      </c>
      <c r="L58" s="104">
        <f>+FEE_2_In!H56</f>
        <v>2030.3995748622344</v>
      </c>
      <c r="M58" s="104">
        <f>+FEE_2_In!S56</f>
        <v>1683.7840532284554</v>
      </c>
      <c r="N58" s="104">
        <f>+FEE_2_In!V56</f>
        <v>332.25899663965419</v>
      </c>
      <c r="O58" s="61">
        <f>+FEE_2_In!Y56</f>
        <v>14.356524994124763</v>
      </c>
      <c r="P58" s="61">
        <f>+FEE_3_In!H56</f>
        <v>2019.683353856494</v>
      </c>
      <c r="Q58" s="61">
        <f>+FEE_3_In!S56</f>
        <v>1816.5146039020003</v>
      </c>
      <c r="R58" s="61">
        <f>+FEE_3_In!V56</f>
        <v>194.43927489920694</v>
      </c>
      <c r="S58" s="61">
        <f>+FEE_3_In!Y56</f>
        <v>8.7294750552865743</v>
      </c>
      <c r="T58" s="61">
        <f>+FEE_4_In!H56</f>
        <v>1895.8798587184385</v>
      </c>
      <c r="U58" s="61">
        <f>+FEE_4_In!S56</f>
        <v>1577.7225337633156</v>
      </c>
      <c r="V58" s="61">
        <f>+FEE_4_In!V56</f>
        <v>309.78854522410273</v>
      </c>
      <c r="W58" s="61">
        <f>+FEE_4_In!Y56</f>
        <v>8.3687797310202523</v>
      </c>
      <c r="X58" s="61">
        <f>FEE_1_In!$H56</f>
        <v>1707.0706982058487</v>
      </c>
      <c r="Y58" s="61">
        <f>+FEE_1_Out!S56</f>
        <v>1479.6928691864221</v>
      </c>
      <c r="Z58" s="61">
        <f>+FEE_1_Out!V56</f>
        <v>115.90248970423323</v>
      </c>
      <c r="AA58" s="61">
        <f>+FEE_1_Out!Y56</f>
        <v>21.438265806794174</v>
      </c>
      <c r="AB58" s="61">
        <f>+FEE_2_Out!H56</f>
        <v>1770.4654183139303</v>
      </c>
      <c r="AC58" s="61">
        <f>+FEE_2_Out!S56</f>
        <v>1671.8642385993894</v>
      </c>
      <c r="AD58" s="61">
        <f>+FEE_2_Out!V56</f>
        <v>84.797040914158785</v>
      </c>
      <c r="AE58" s="61">
        <f>+FEE_2_Out!Y56</f>
        <v>13.804138800382221</v>
      </c>
      <c r="AF58" s="61">
        <f>+FEE_3_Out!H56</f>
        <v>1952.2523182351904</v>
      </c>
      <c r="AG58" s="61">
        <f>+FEE_3_Out!S56</f>
        <v>1859.7474557694097</v>
      </c>
      <c r="AH58" s="61">
        <f>+FEE_3_Out!V56</f>
        <v>84.444261138816074</v>
      </c>
      <c r="AI58" s="61">
        <f>+FEE_3_Out!Y56</f>
        <v>8.0606013269646315</v>
      </c>
      <c r="AJ58" s="61">
        <f>+FEE_4_Out!H56</f>
        <v>2045.5380070153394</v>
      </c>
      <c r="AK58" s="61">
        <f>+FEE_4_Out!S56</f>
        <v>1915.4693492000972</v>
      </c>
      <c r="AL58" s="61">
        <f>+FEE_4_Out!V56</f>
        <v>122.47594407015666</v>
      </c>
      <c r="AM58" s="61">
        <f>+FEE_4_Out!Y56</f>
        <v>7.5927137450855664</v>
      </c>
    </row>
    <row r="59" spans="2:39" s="20" customFormat="1" x14ac:dyDescent="0.25">
      <c r="B59" s="55">
        <f>ITE_LUC_Rates!B42</f>
        <v>540</v>
      </c>
      <c r="C59" s="56" t="str">
        <f>ITE_LUC_Rates!C42</f>
        <v>Jr./Community Co</v>
      </c>
      <c r="D59" s="57" t="str">
        <f>ITE_LUC_Rates!D42</f>
        <v>Student</v>
      </c>
      <c r="E59" s="129">
        <f>ITE_LUC_Rates!H42</f>
        <v>1.1499999999999999</v>
      </c>
      <c r="F59" s="58" t="s">
        <v>71</v>
      </c>
      <c r="G59" s="104">
        <f>ITE_LUC_Rates!Q42</f>
        <v>1192.538</v>
      </c>
      <c r="H59" s="104">
        <f>FEE_1_In!$H57</f>
        <v>545.88385928449134</v>
      </c>
      <c r="I59" s="104">
        <f>+FEE_1_In!S57</f>
        <v>400.96034537648501</v>
      </c>
      <c r="J59" s="104">
        <f>+FEE_1_In!V57</f>
        <v>136.35659373550331</v>
      </c>
      <c r="K59" s="104">
        <f>+FEE_1_In!Y57</f>
        <v>8.5669201725030426</v>
      </c>
      <c r="L59" s="104">
        <f>+FEE_2_In!H57</f>
        <v>649.27735973693927</v>
      </c>
      <c r="M59" s="104">
        <f>+FEE_2_In!S57</f>
        <v>538.43729972289395</v>
      </c>
      <c r="N59" s="104">
        <f>+FEE_2_In!V57</f>
        <v>106.24915743576078</v>
      </c>
      <c r="O59" s="61">
        <f>+FEE_2_In!Y57</f>
        <v>4.5909025782844601</v>
      </c>
      <c r="P59" s="61">
        <f>+FEE_3_In!H57</f>
        <v>645.85054672579247</v>
      </c>
      <c r="Q59" s="61">
        <f>+FEE_3_In!S57</f>
        <v>580.8816257386718</v>
      </c>
      <c r="R59" s="61">
        <f>+FEE_3_In!V57</f>
        <v>62.177425861748382</v>
      </c>
      <c r="S59" s="61">
        <f>+FEE_3_In!Y57</f>
        <v>2.791495125372311</v>
      </c>
      <c r="T59" s="61">
        <f>+FEE_4_In!H57</f>
        <v>606.26089774997672</v>
      </c>
      <c r="U59" s="61">
        <f>+FEE_4_In!S57</f>
        <v>504.52114638017753</v>
      </c>
      <c r="V59" s="61">
        <f>+FEE_4_In!V57</f>
        <v>99.063598717262508</v>
      </c>
      <c r="W59" s="61">
        <f>+FEE_4_In!Y57</f>
        <v>2.6761526525366435</v>
      </c>
      <c r="X59" s="61">
        <f>FEE_1_In!$H57</f>
        <v>545.88385928449134</v>
      </c>
      <c r="Y59" s="61">
        <f>+FEE_1_Out!S57</f>
        <v>473.17340449705495</v>
      </c>
      <c r="Z59" s="61">
        <f>+FEE_1_Out!V57</f>
        <v>37.063080308814762</v>
      </c>
      <c r="AA59" s="61">
        <f>+FEE_1_Out!Y57</f>
        <v>6.8554883446124011</v>
      </c>
      <c r="AB59" s="61">
        <f>+FEE_2_Out!H57</f>
        <v>566.15610372476635</v>
      </c>
      <c r="AC59" s="61">
        <f>+FEE_2_Out!S57</f>
        <v>534.62560380513912</v>
      </c>
      <c r="AD59" s="61">
        <f>+FEE_2_Out!V57</f>
        <v>27.116238360119798</v>
      </c>
      <c r="AE59" s="61">
        <f>+FEE_2_Out!Y57</f>
        <v>4.4142615595073416</v>
      </c>
      <c r="AF59" s="61">
        <f>+FEE_3_Out!H57</f>
        <v>624.28757689730537</v>
      </c>
      <c r="AG59" s="61">
        <f>+FEE_3_Out!S57</f>
        <v>594.70654584892861</v>
      </c>
      <c r="AH59" s="61">
        <f>+FEE_3_Out!V57</f>
        <v>27.003427106640952</v>
      </c>
      <c r="AI59" s="61">
        <f>+FEE_3_Out!Y57</f>
        <v>2.5776039417358381</v>
      </c>
      <c r="AJ59" s="61">
        <f>+FEE_4_Out!H57</f>
        <v>654.11829911685993</v>
      </c>
      <c r="AK59" s="61">
        <f>+FEE_4_Out!S57</f>
        <v>612.5251881960512</v>
      </c>
      <c r="AL59" s="61">
        <f>+FEE_4_Out!V57</f>
        <v>39.165127190570836</v>
      </c>
      <c r="AM59" s="61">
        <f>+FEE_4_Out!Y57</f>
        <v>2.4279837302379348</v>
      </c>
    </row>
    <row r="60" spans="2:39" s="20" customFormat="1" x14ac:dyDescent="0.25">
      <c r="B60" s="55">
        <f>ITE_LUC_Rates!B43</f>
        <v>550</v>
      </c>
      <c r="C60" s="56" t="str">
        <f>ITE_LUC_Rates!C43</f>
        <v>University (20SF/st)</v>
      </c>
      <c r="D60" s="57" t="str">
        <f>ITE_LUC_Rates!D43</f>
        <v>Student</v>
      </c>
      <c r="E60" s="129">
        <f>ITE_LUC_Rates!H43</f>
        <v>1.56</v>
      </c>
      <c r="F60" s="58" t="s">
        <v>71</v>
      </c>
      <c r="G60" s="104">
        <f>ITE_LUC_Rates!Q43</f>
        <v>2364.8919999999998</v>
      </c>
      <c r="H60" s="104">
        <f>FEE_1_In!$H58</f>
        <v>740.50332215983178</v>
      </c>
      <c r="I60" s="104">
        <f>+FEE_1_In!S58</f>
        <v>543.9114250324493</v>
      </c>
      <c r="J60" s="104">
        <f>+FEE_1_In!V58</f>
        <v>184.97068367598709</v>
      </c>
      <c r="K60" s="104">
        <f>+FEE_1_In!Y58</f>
        <v>11.621213451395434</v>
      </c>
      <c r="L60" s="104">
        <f>+FEE_2_In!H58</f>
        <v>880.75885320836971</v>
      </c>
      <c r="M60" s="104">
        <f>+FEE_2_In!S58</f>
        <v>730.40190223279535</v>
      </c>
      <c r="N60" s="104">
        <f>+FEE_2_In!V58</f>
        <v>144.12929182590159</v>
      </c>
      <c r="O60" s="61">
        <f>+FEE_2_In!Y58</f>
        <v>6.2276591496728342</v>
      </c>
      <c r="P60" s="61">
        <f>+FEE_3_In!H58</f>
        <v>876.11030686281435</v>
      </c>
      <c r="Q60" s="61">
        <f>+FEE_3_In!S58</f>
        <v>787.97855317593758</v>
      </c>
      <c r="R60" s="61">
        <f>+FEE_3_In!V58</f>
        <v>84.345029864632608</v>
      </c>
      <c r="S60" s="61">
        <f>+FEE_3_In!Y58</f>
        <v>3.7867238222441788</v>
      </c>
      <c r="T60" s="61">
        <f>+FEE_4_In!H58</f>
        <v>822.4060873825772</v>
      </c>
      <c r="U60" s="61">
        <f>+FEE_4_In!S58</f>
        <v>684.39390291571908</v>
      </c>
      <c r="V60" s="61">
        <f>+FEE_4_In!V58</f>
        <v>134.3819252164605</v>
      </c>
      <c r="W60" s="61">
        <f>+FEE_4_In!Y58</f>
        <v>3.6302592503975348</v>
      </c>
      <c r="X60" s="61">
        <f>FEE_1_In!$H58</f>
        <v>740.50332215983178</v>
      </c>
      <c r="Y60" s="61">
        <f>+FEE_1_Out!S58</f>
        <v>641.87000957861369</v>
      </c>
      <c r="Z60" s="61">
        <f>+FEE_1_Out!V58</f>
        <v>50.276874158044372</v>
      </c>
      <c r="AA60" s="61">
        <f>+FEE_1_Out!Y58</f>
        <v>9.2996189718220421</v>
      </c>
      <c r="AB60" s="61">
        <f>+FEE_2_Out!H58</f>
        <v>768.00306244403077</v>
      </c>
      <c r="AC60" s="61">
        <f>+FEE_2_Out!S58</f>
        <v>725.23125385740616</v>
      </c>
      <c r="AD60" s="61">
        <f>+FEE_2_Out!V58</f>
        <v>36.783766818945118</v>
      </c>
      <c r="AE60" s="61">
        <f>+FEE_2_Out!Y58</f>
        <v>5.9880417676795243</v>
      </c>
      <c r="AF60" s="61">
        <f>+FEE_3_Out!H58</f>
        <v>846.85966953025797</v>
      </c>
      <c r="AG60" s="61">
        <f>+FEE_3_Out!S58</f>
        <v>806.7323578472425</v>
      </c>
      <c r="AH60" s="61">
        <f>+FEE_3_Out!V58</f>
        <v>36.630735901182511</v>
      </c>
      <c r="AI60" s="61">
        <f>+FEE_3_Out!Y58</f>
        <v>3.4965757818329628</v>
      </c>
      <c r="AJ60" s="61">
        <f>+FEE_4_Out!H58</f>
        <v>887.32569271504508</v>
      </c>
      <c r="AK60" s="61">
        <f>+FEE_4_Out!S58</f>
        <v>830.90373355290444</v>
      </c>
      <c r="AL60" s="61">
        <f>+FEE_4_Out!V58</f>
        <v>53.128346449817833</v>
      </c>
      <c r="AM60" s="61">
        <f>+FEE_4_Out!Y58</f>
        <v>3.2936127123227648</v>
      </c>
    </row>
    <row r="61" spans="2:39" s="20" customFormat="1" x14ac:dyDescent="0.25">
      <c r="B61" s="55">
        <f>ITE_LUC_Rates!B44</f>
        <v>560</v>
      </c>
      <c r="C61" s="56" t="str">
        <f>ITE_LUC_Rates!C44</f>
        <v>Church</v>
      </c>
      <c r="D61" s="57" t="str">
        <f>ITE_LUC_Rates!D44</f>
        <v>1000 GSF</v>
      </c>
      <c r="E61" s="129">
        <f>ITE_LUC_Rates!H44</f>
        <v>6.95</v>
      </c>
      <c r="F61" s="58" t="s">
        <v>71</v>
      </c>
      <c r="G61" s="104">
        <f>ITE_LUC_Rates!Q44</f>
        <v>5966.1</v>
      </c>
      <c r="H61" s="104">
        <f>FEE_1_In!$H59</f>
        <v>2796.0980003917316</v>
      </c>
      <c r="I61" s="104">
        <f>+FEE_1_In!S59</f>
        <v>2053.7782916187775</v>
      </c>
      <c r="J61" s="104">
        <f>+FEE_1_In!V59</f>
        <v>698.43867445322064</v>
      </c>
      <c r="K61" s="104">
        <f>+FEE_1_In!Y59</f>
        <v>43.881034319733523</v>
      </c>
      <c r="L61" s="104">
        <f>+FEE_2_In!H59</f>
        <v>3325.6948275401332</v>
      </c>
      <c r="M61" s="104">
        <f>+FEE_2_In!S59</f>
        <v>2757.9556191033903</v>
      </c>
      <c r="N61" s="104">
        <f>+FEE_2_In!V59</f>
        <v>544.22392528482885</v>
      </c>
      <c r="O61" s="61">
        <f>+FEE_2_In!Y59</f>
        <v>23.515283151914065</v>
      </c>
      <c r="P61" s="61">
        <f>+FEE_3_In!H59</f>
        <v>3308.142183611913</v>
      </c>
      <c r="Q61" s="61">
        <f>+FEE_3_In!S59</f>
        <v>2975.3617451175346</v>
      </c>
      <c r="R61" s="61">
        <f>+FEE_3_In!V59</f>
        <v>318.48198689995422</v>
      </c>
      <c r="S61" s="61">
        <f>+FEE_3_In!Y59</f>
        <v>14.298451594424227</v>
      </c>
      <c r="T61" s="61">
        <f>+FEE_4_In!H59</f>
        <v>3105.3581363191734</v>
      </c>
      <c r="U61" s="61">
        <f>+FEE_4_In!S59</f>
        <v>2584.2320569763665</v>
      </c>
      <c r="V61" s="61">
        <f>+FEE_4_In!V59</f>
        <v>507.41842898232784</v>
      </c>
      <c r="W61" s="61">
        <f>+FEE_4_In!Y59</f>
        <v>13.707650360479024</v>
      </c>
      <c r="X61" s="61">
        <f>FEE_1_In!$H59</f>
        <v>2796.0980003917316</v>
      </c>
      <c r="Y61" s="61">
        <f>+FEE_1_Out!S59</f>
        <v>2423.6642788576241</v>
      </c>
      <c r="Z61" s="61">
        <f>+FEE_1_Out!V59</f>
        <v>189.84258826716206</v>
      </c>
      <c r="AA61" s="61">
        <f>+FEE_1_Out!Y59</f>
        <v>35.114826947264071</v>
      </c>
      <c r="AB61" s="61">
        <f>+FEE_2_Out!H59</f>
        <v>2899.9354397642787</v>
      </c>
      <c r="AC61" s="61">
        <f>+FEE_2_Out!S59</f>
        <v>2738.4315479068082</v>
      </c>
      <c r="AD61" s="61">
        <f>+FEE_2_Out!V59</f>
        <v>138.89339017324301</v>
      </c>
      <c r="AE61" s="61">
        <f>+FEE_2_Out!Y59</f>
        <v>22.61050168422744</v>
      </c>
      <c r="AF61" s="61">
        <f>+FEE_3_Out!H59</f>
        <v>3197.6934575789305</v>
      </c>
      <c r="AG61" s="61">
        <f>+FEE_3_Out!S59</f>
        <v>3046.175034095399</v>
      </c>
      <c r="AH61" s="61">
        <f>+FEE_3_Out!V59</f>
        <v>138.31555421984567</v>
      </c>
      <c r="AI61" s="61">
        <f>+FEE_3_Out!Y59</f>
        <v>13.20286926368585</v>
      </c>
      <c r="AJ61" s="61">
        <f>+FEE_4_Out!H59</f>
        <v>3350.4908362331844</v>
      </c>
      <c r="AK61" s="61">
        <f>+FEE_4_Out!S59</f>
        <v>3137.4447600436793</v>
      </c>
      <c r="AL61" s="61">
        <f>+FEE_4_Out!V59</f>
        <v>200.60958381546737</v>
      </c>
      <c r="AM61" s="61">
        <f>+FEE_4_Out!Y59</f>
        <v>12.43649237403789</v>
      </c>
    </row>
    <row r="62" spans="2:39" s="20" customFormat="1" x14ac:dyDescent="0.25">
      <c r="B62" s="55">
        <f>ITE_LUC_Rates!B45</f>
        <v>565</v>
      </c>
      <c r="C62" s="56" t="str">
        <f>ITE_LUC_Rates!C45</f>
        <v>Day Care Center</v>
      </c>
      <c r="D62" s="57" t="str">
        <f>ITE_LUC_Rates!D45</f>
        <v>1000 GSF</v>
      </c>
      <c r="E62" s="129">
        <f>ITE_LUC_Rates!H45</f>
        <v>47.62</v>
      </c>
      <c r="F62" s="58" t="s">
        <v>71</v>
      </c>
      <c r="G62" s="104">
        <f>ITE_LUC_Rates!Q45</f>
        <v>8112.3</v>
      </c>
      <c r="H62" s="104">
        <f>FEE_1_In!$H60</f>
        <v>43940.922512736492</v>
      </c>
      <c r="I62" s="104">
        <f>+FEE_1_In!S60</f>
        <v>32275.303926299355</v>
      </c>
      <c r="J62" s="104">
        <f>+FEE_1_In!V60</f>
        <v>10976.024327383266</v>
      </c>
      <c r="K62" s="104">
        <f>+FEE_1_In!Y60</f>
        <v>689.594259053869</v>
      </c>
      <c r="L62" s="104">
        <f>+FEE_2_In!H60</f>
        <v>52263.58257023761</v>
      </c>
      <c r="M62" s="104">
        <f>+FEE_2_In!S60</f>
        <v>43341.511683642719</v>
      </c>
      <c r="N62" s="104">
        <f>+FEE_2_In!V60</f>
        <v>8552.5261729623398</v>
      </c>
      <c r="O62" s="61">
        <f>+FEE_2_In!Y60</f>
        <v>369.54471363255198</v>
      </c>
      <c r="P62" s="61">
        <f>+FEE_3_In!H60</f>
        <v>51987.741248997962</v>
      </c>
      <c r="Q62" s="61">
        <f>+FEE_3_In!S60</f>
        <v>46758.067804223378</v>
      </c>
      <c r="R62" s="61">
        <f>+FEE_3_In!V60</f>
        <v>5004.9720382163414</v>
      </c>
      <c r="S62" s="61">
        <f>+FEE_3_In!Y60</f>
        <v>224.70140655824147</v>
      </c>
      <c r="T62" s="61">
        <f>+FEE_4_In!H60</f>
        <v>48800.972363336223</v>
      </c>
      <c r="U62" s="61">
        <f>+FEE_4_In!S60</f>
        <v>40611.430842058951</v>
      </c>
      <c r="V62" s="61">
        <f>+FEE_4_In!V60</f>
        <v>7974.1246073360917</v>
      </c>
      <c r="W62" s="61">
        <f>+FEE_4_In!Y60</f>
        <v>215.4169139411807</v>
      </c>
      <c r="X62" s="61">
        <f>FEE_1_In!$H60</f>
        <v>43940.922512736492</v>
      </c>
      <c r="Y62" s="61">
        <f>+FEE_1_Out!S60</f>
        <v>38088.094286841842</v>
      </c>
      <c r="Z62" s="61">
        <f>+FEE_1_Out!V60</f>
        <v>2983.3927349813976</v>
      </c>
      <c r="AA62" s="61">
        <f>+FEE_1_Out!Y60</f>
        <v>551.83255011866925</v>
      </c>
      <c r="AB62" s="61">
        <f>+FEE_2_Out!H60</f>
        <v>45572.736875734787</v>
      </c>
      <c r="AC62" s="61">
        <f>+FEE_2_Out!S60</f>
        <v>43034.689211947516</v>
      </c>
      <c r="AD62" s="61">
        <f>+FEE_2_Out!V60</f>
        <v>2182.7216693687792</v>
      </c>
      <c r="AE62" s="61">
        <f>+FEE_2_Out!Y60</f>
        <v>355.3259944184872</v>
      </c>
      <c r="AF62" s="61">
        <f>+FEE_3_Out!H60</f>
        <v>50252.029942897163</v>
      </c>
      <c r="AG62" s="61">
        <f>+FEE_3_Out!S60</f>
        <v>47870.904780399607</v>
      </c>
      <c r="AH62" s="61">
        <f>+FEE_3_Out!V60</f>
        <v>2173.640927259687</v>
      </c>
      <c r="AI62" s="61">
        <f>+FEE_3_Out!Y60</f>
        <v>207.48423523786792</v>
      </c>
      <c r="AJ62" s="61">
        <f>+FEE_4_Out!H60</f>
        <v>52653.25399679484</v>
      </c>
      <c r="AK62" s="61">
        <f>+FEE_4_Out!S60</f>
        <v>49305.216437247902</v>
      </c>
      <c r="AL62" s="61">
        <f>+FEE_4_Out!V60</f>
        <v>3152.5970035788428</v>
      </c>
      <c r="AM62" s="61">
        <f>+FEE_4_Out!Y60</f>
        <v>195.4405559680944</v>
      </c>
    </row>
    <row r="63" spans="2:39" s="20" customFormat="1" x14ac:dyDescent="0.25">
      <c r="B63" s="105" t="e">
        <f>ITE_LUC_Rates!#REF!</f>
        <v>#REF!</v>
      </c>
      <c r="C63" s="106"/>
      <c r="D63" s="107"/>
      <c r="E63" s="130"/>
      <c r="F63" s="114"/>
      <c r="G63" s="110"/>
      <c r="H63" s="242"/>
      <c r="I63" s="112"/>
      <c r="J63" s="112"/>
      <c r="K63" s="113"/>
      <c r="L63" s="242"/>
      <c r="M63" s="112"/>
      <c r="N63" s="112"/>
      <c r="O63" s="113"/>
      <c r="P63" s="113"/>
      <c r="Q63" s="113"/>
      <c r="R63" s="113"/>
      <c r="S63" s="113"/>
      <c r="T63" s="113"/>
      <c r="U63" s="113"/>
      <c r="V63" s="113"/>
      <c r="W63" s="113"/>
      <c r="X63" s="113"/>
      <c r="Y63" s="113"/>
      <c r="Z63" s="113"/>
      <c r="AA63" s="113"/>
      <c r="AB63" s="113"/>
      <c r="AC63" s="113"/>
      <c r="AD63" s="113"/>
      <c r="AE63" s="113"/>
      <c r="AF63" s="113"/>
      <c r="AG63" s="113"/>
      <c r="AH63" s="113"/>
      <c r="AI63" s="113"/>
      <c r="AJ63" s="113"/>
      <c r="AK63" s="113"/>
      <c r="AL63" s="113"/>
      <c r="AM63" s="113"/>
    </row>
    <row r="64" spans="2:39" s="20" customFormat="1" x14ac:dyDescent="0.25">
      <c r="B64" s="55">
        <f>ITE_LUC_Rates!B46</f>
        <v>610</v>
      </c>
      <c r="C64" s="56" t="str">
        <f>ITE_LUC_Rates!C46</f>
        <v>Hospital</v>
      </c>
      <c r="D64" s="57" t="str">
        <f>ITE_LUC_Rates!D46</f>
        <v>1000 GSF</v>
      </c>
      <c r="E64" s="129">
        <f>ITE_LUC_Rates!H46</f>
        <v>10.72</v>
      </c>
      <c r="F64" s="58" t="s">
        <v>71</v>
      </c>
      <c r="G64" s="104">
        <f>ITE_LUC_Rates!Q46</f>
        <v>17837.599999999999</v>
      </c>
      <c r="H64" s="104">
        <f>FEE_1_In!$H62</f>
        <v>9891.7826404144307</v>
      </c>
      <c r="I64" s="104">
        <f>+FEE_1_In!S62</f>
        <v>7265.6711064663823</v>
      </c>
      <c r="J64" s="104">
        <f>+FEE_1_In!V62</f>
        <v>2470.8731791169384</v>
      </c>
      <c r="K64" s="104">
        <f>+FEE_1_In!Y62</f>
        <v>155.2383548311104</v>
      </c>
      <c r="L64" s="104">
        <f>+FEE_2_In!H62</f>
        <v>11765.342401363861</v>
      </c>
      <c r="M64" s="104">
        <f>+FEE_2_In!S62</f>
        <v>9756.8459733021809</v>
      </c>
      <c r="N64" s="104">
        <f>+FEE_2_In!V62</f>
        <v>1925.3061859335637</v>
      </c>
      <c r="O64" s="61">
        <f>+FEE_2_In!Y62</f>
        <v>83.190242128117546</v>
      </c>
      <c r="P64" s="61">
        <f>+FEE_3_In!H62</f>
        <v>11703.246245049522</v>
      </c>
      <c r="Q64" s="61">
        <f>+FEE_3_In!S62</f>
        <v>10525.965704772672</v>
      </c>
      <c r="R64" s="61">
        <f>+FEE_3_In!V62</f>
        <v>1126.696771307837</v>
      </c>
      <c r="S64" s="61">
        <f>+FEE_3_In!Y62</f>
        <v>50.583768969011935</v>
      </c>
      <c r="T64" s="61">
        <f>+FEE_4_In!H62</f>
        <v>10985.855181330626</v>
      </c>
      <c r="U64" s="61">
        <f>+FEE_4_In!S62</f>
        <v>9142.2624659149951</v>
      </c>
      <c r="V64" s="61">
        <f>+FEE_4_In!V62</f>
        <v>1795.0990296229086</v>
      </c>
      <c r="W64" s="61">
        <f>+FEE_4_In!Y62</f>
        <v>48.493685792722751</v>
      </c>
      <c r="X64" s="61">
        <f>FEE_1_In!$H62</f>
        <v>9891.7826404144307</v>
      </c>
      <c r="Y64" s="61">
        <f>+FEE_1_Out!S62</f>
        <v>8574.2203014478055</v>
      </c>
      <c r="Z64" s="61">
        <f>+FEE_1_Out!V62</f>
        <v>671.60794034020546</v>
      </c>
      <c r="AA64" s="61">
        <f>+FEE_1_Out!Y62</f>
        <v>124.22605916153161</v>
      </c>
      <c r="AB64" s="61">
        <f>+FEE_2_Out!H62</f>
        <v>10259.129342878556</v>
      </c>
      <c r="AC64" s="61">
        <f>+FEE_2_Out!S62</f>
        <v>9687.7754798840269</v>
      </c>
      <c r="AD64" s="61">
        <f>+FEE_2_Out!V62</f>
        <v>491.36447491880114</v>
      </c>
      <c r="AE64" s="61">
        <f>+FEE_2_Out!Y62</f>
        <v>79.989388075728314</v>
      </c>
      <c r="AF64" s="61">
        <f>+FEE_3_Out!H62</f>
        <v>11312.510730530399</v>
      </c>
      <c r="AG64" s="61">
        <f>+FEE_3_Out!S62</f>
        <v>10776.48255451247</v>
      </c>
      <c r="AH64" s="61">
        <f>+FEE_3_Out!V62</f>
        <v>489.32025913951799</v>
      </c>
      <c r="AI64" s="61">
        <f>+FEE_3_Out!Y62</f>
        <v>46.707916878411254</v>
      </c>
      <c r="AJ64" s="61">
        <f>+FEE_4_Out!H62</f>
        <v>11853.063478488886</v>
      </c>
      <c r="AK64" s="61">
        <f>+FEE_4_Out!S62</f>
        <v>11099.368336986508</v>
      </c>
      <c r="AL64" s="61">
        <f>+FEE_4_Out!V62</f>
        <v>709.69844347679953</v>
      </c>
      <c r="AM64" s="61">
        <f>+FEE_4_Out!Y62</f>
        <v>43.996698025576897</v>
      </c>
    </row>
    <row r="65" spans="2:39" s="20" customFormat="1" x14ac:dyDescent="0.25">
      <c r="B65" s="55">
        <f>ITE_LUC_Rates!B47</f>
        <v>620</v>
      </c>
      <c r="C65" s="56" t="str">
        <f>ITE_LUC_Rates!C47</f>
        <v>Nursing Home</v>
      </c>
      <c r="D65" s="57" t="str">
        <f>ITE_LUC_Rates!D47</f>
        <v>Bed</v>
      </c>
      <c r="E65" s="129">
        <f>ITE_LUC_Rates!H47</f>
        <v>3.06</v>
      </c>
      <c r="F65" s="58" t="s">
        <v>71</v>
      </c>
      <c r="G65" s="104">
        <f>ITE_LUC_Rates!Q47</f>
        <v>2405.2600000000002</v>
      </c>
      <c r="H65" s="104">
        <f>FEE_1_In!$H63</f>
        <v>2823.5872089242685</v>
      </c>
      <c r="I65" s="104">
        <f>+FEE_1_In!S63</f>
        <v>2073.9695509129783</v>
      </c>
      <c r="J65" s="104">
        <f>+FEE_1_In!V63</f>
        <v>705.30521717330532</v>
      </c>
      <c r="K65" s="104">
        <f>+FEE_1_In!Y63</f>
        <v>44.312440837984873</v>
      </c>
      <c r="L65" s="104">
        <f>+FEE_2_In!H63</f>
        <v>3358.390648150506</v>
      </c>
      <c r="M65" s="104">
        <f>+FEE_2_In!S63</f>
        <v>2785.0698393940934</v>
      </c>
      <c r="N65" s="104">
        <f>+FEE_2_In!V63</f>
        <v>549.57434038775239</v>
      </c>
      <c r="O65" s="61">
        <f>+FEE_2_In!Y63</f>
        <v>23.746468368660423</v>
      </c>
      <c r="P65" s="61">
        <f>+FEE_3_In!H63</f>
        <v>3340.665439351822</v>
      </c>
      <c r="Q65" s="61">
        <f>+FEE_3_In!S63</f>
        <v>3004.6133448324977</v>
      </c>
      <c r="R65" s="61">
        <f>+FEE_3_In!V63</f>
        <v>321.6130709143639</v>
      </c>
      <c r="S65" s="61">
        <f>+FEE_3_In!Y63</f>
        <v>14.439023604960497</v>
      </c>
      <c r="T65" s="61">
        <f>+FEE_4_In!H63</f>
        <v>3135.88776631266</v>
      </c>
      <c r="U65" s="61">
        <f>+FEE_4_In!S63</f>
        <v>2609.6383531436459</v>
      </c>
      <c r="V65" s="61">
        <f>+FEE_4_In!V63</f>
        <v>512.40699912743469</v>
      </c>
      <c r="W65" s="61">
        <f>+FEE_4_In!Y63</f>
        <v>13.842414041579444</v>
      </c>
      <c r="X65" s="61">
        <f>FEE_1_In!$H63</f>
        <v>2823.5872089242685</v>
      </c>
      <c r="Y65" s="61">
        <f>+FEE_1_Out!S63</f>
        <v>2447.4919890326769</v>
      </c>
      <c r="Z65" s="61">
        <f>+FEE_1_Out!V63</f>
        <v>191.70898297024522</v>
      </c>
      <c r="AA65" s="61">
        <f>+FEE_1_Out!Y63</f>
        <v>35.460050469616306</v>
      </c>
      <c r="AB65" s="61">
        <f>+FEE_2_Out!H63</f>
        <v>2928.4455027246636</v>
      </c>
      <c r="AC65" s="61">
        <f>+FEE_2_Out!S63</f>
        <v>2765.3538216833144</v>
      </c>
      <c r="AD65" s="61">
        <f>+FEE_2_Out!V63</f>
        <v>140.25888929585184</v>
      </c>
      <c r="AE65" s="61">
        <f>+FEE_2_Out!Y63</f>
        <v>22.832791745497083</v>
      </c>
      <c r="AF65" s="61">
        <f>+FEE_3_Out!H63</f>
        <v>3229.1308615133421</v>
      </c>
      <c r="AG65" s="61">
        <f>+FEE_3_Out!S63</f>
        <v>3076.1228187321049</v>
      </c>
      <c r="AH65" s="61">
        <f>+FEE_3_Out!V63</f>
        <v>139.67537247825794</v>
      </c>
      <c r="AI65" s="61">
        <f>+FEE_3_Out!Y63</f>
        <v>13.332670302979333</v>
      </c>
      <c r="AJ65" s="61">
        <f>+FEE_4_Out!H63</f>
        <v>3383.4304332253723</v>
      </c>
      <c r="AK65" s="61">
        <f>+FEE_4_Out!S63</f>
        <v>3168.2898424607015</v>
      </c>
      <c r="AL65" s="61">
        <f>+FEE_4_Out!V63</f>
        <v>202.58183181334019</v>
      </c>
      <c r="AM65" s="61">
        <f>+FEE_4_Out!Y63</f>
        <v>12.55875895133072</v>
      </c>
    </row>
    <row r="66" spans="2:39" s="20" customFormat="1" x14ac:dyDescent="0.25">
      <c r="B66" s="55">
        <f>ITE_LUC_Rates!B48</f>
        <v>630</v>
      </c>
      <c r="C66" s="56" t="str">
        <f>ITE_LUC_Rates!C48</f>
        <v>Clinic</v>
      </c>
      <c r="D66" s="57" t="str">
        <f>ITE_LUC_Rates!D48</f>
        <v>1000 GSF</v>
      </c>
      <c r="E66" s="129">
        <f>ITE_LUC_Rates!H48</f>
        <v>38.159999999999997</v>
      </c>
      <c r="F66" s="58" t="s">
        <v>71</v>
      </c>
      <c r="G66" s="104">
        <f>ITE_LUC_Rates!Q48</f>
        <v>31927.7</v>
      </c>
      <c r="H66" s="104">
        <f>FEE_1_In!$H64</f>
        <v>13543.465175628167</v>
      </c>
      <c r="I66" s="104">
        <f>+FEE_1_In!S64</f>
        <v>9947.8897975332493</v>
      </c>
      <c r="J66" s="104">
        <f>+FEE_1_In!V64</f>
        <v>3383.0287291231748</v>
      </c>
      <c r="K66" s="104">
        <f>+FEE_1_In!Y64</f>
        <v>212.54664897174348</v>
      </c>
      <c r="L66" s="104">
        <f>+FEE_2_In!H64</f>
        <v>16108.674329457062</v>
      </c>
      <c r="M66" s="104">
        <f>+FEE_2_In!S64</f>
        <v>13358.714851203984</v>
      </c>
      <c r="N66" s="104">
        <f>+FEE_2_In!V64</f>
        <v>2636.0584567515571</v>
      </c>
      <c r="O66" s="61">
        <f>+FEE_2_In!Y64</f>
        <v>113.90102150152292</v>
      </c>
      <c r="P66" s="61">
        <f>+FEE_3_In!H64</f>
        <v>16023.654554846604</v>
      </c>
      <c r="Q66" s="61">
        <f>+FEE_3_In!S64</f>
        <v>14411.765315182094</v>
      </c>
      <c r="R66" s="61">
        <f>+FEE_3_In!V64</f>
        <v>1542.6318026192566</v>
      </c>
      <c r="S66" s="61">
        <f>+FEE_3_In!Y64</f>
        <v>69.257437045253496</v>
      </c>
      <c r="T66" s="61">
        <f>+FEE_4_In!H64</f>
        <v>15041.429081241113</v>
      </c>
      <c r="U66" s="61">
        <f>+FEE_4_In!S64</f>
        <v>12517.249704587595</v>
      </c>
      <c r="V66" s="61">
        <f>+FEE_4_In!V64</f>
        <v>2457.7836046631123</v>
      </c>
      <c r="W66" s="61">
        <f>+FEE_4_In!Y64</f>
        <v>66.395771990404214</v>
      </c>
      <c r="X66" s="61">
        <f>FEE_1_In!$H64</f>
        <v>13543.465175628167</v>
      </c>
      <c r="Y66" s="61">
        <f>+FEE_1_Out!S64</f>
        <v>11739.507253867157</v>
      </c>
      <c r="Z66" s="61">
        <f>+FEE_1_Out!V64</f>
        <v>919.54090403384009</v>
      </c>
      <c r="AA66" s="61">
        <f>+FEE_1_Out!Y64</f>
        <v>170.08575373318547</v>
      </c>
      <c r="AB66" s="61">
        <f>+FEE_2_Out!H64</f>
        <v>14046.422777211323</v>
      </c>
      <c r="AC66" s="61">
        <f>+FEE_2_Out!S64</f>
        <v>13264.146070603178</v>
      </c>
      <c r="AD66" s="61">
        <f>+FEE_2_Out!V64</f>
        <v>672.75817681379954</v>
      </c>
      <c r="AE66" s="61">
        <f>+FEE_2_Out!Y64</f>
        <v>109.51852979434713</v>
      </c>
      <c r="AF66" s="61">
        <f>+FEE_3_Out!H64</f>
        <v>15488.673851555581</v>
      </c>
      <c r="AG66" s="61">
        <f>+FEE_3_Out!S64</f>
        <v>14754.76377700605</v>
      </c>
      <c r="AH66" s="61">
        <f>+FEE_3_Out!V64</f>
        <v>669.95931171287452</v>
      </c>
      <c r="AI66" s="61">
        <f>+FEE_3_Out!Y64</f>
        <v>63.950762836656395</v>
      </c>
      <c r="AJ66" s="61">
        <f>+FEE_4_Out!H64</f>
        <v>16228.778803685742</v>
      </c>
      <c r="AK66" s="61">
        <f>+FEE_4_Out!S64</f>
        <v>15196.847121293869</v>
      </c>
      <c r="AL66" s="61">
        <f>+FEE_4_Out!V64</f>
        <v>971.69302074583902</v>
      </c>
      <c r="AM66" s="61">
        <f>+FEE_4_Out!Y64</f>
        <v>60.238661646033158</v>
      </c>
    </row>
    <row r="67" spans="2:39" s="20" customFormat="1" x14ac:dyDescent="0.25">
      <c r="B67" s="134">
        <f>ITE_LUC_Rates!B49</f>
        <v>640</v>
      </c>
      <c r="C67" s="135" t="str">
        <f>ITE_LUC_Rates!C49</f>
        <v>Animal Hospital / Veterinary Clinic</v>
      </c>
      <c r="D67" s="232" t="str">
        <f>ITE_LUC_Rates!D49</f>
        <v>1000 GSF</v>
      </c>
      <c r="E67" s="233">
        <f>ITE_LUC_Rates!H49</f>
        <v>21.5</v>
      </c>
      <c r="F67" s="136" t="s">
        <v>71</v>
      </c>
      <c r="G67" s="137">
        <f>ITE_LUC_Rates!Q49</f>
        <v>0</v>
      </c>
      <c r="H67" s="104">
        <f>FEE_1_In!$H65</f>
        <v>7630.6211026206929</v>
      </c>
      <c r="I67" s="104">
        <f>+FEE_1_In!S65</f>
        <v>5604.8121238722451</v>
      </c>
      <c r="J67" s="104">
        <f>+FEE_1_In!V65</f>
        <v>1906.056542876003</v>
      </c>
      <c r="K67" s="104">
        <f>+FEE_1_In!Y65</f>
        <v>119.75243587244461</v>
      </c>
      <c r="L67" s="104">
        <f>+FEE_2_In!H65</f>
        <v>9075.9040378230329</v>
      </c>
      <c r="M67" s="104">
        <f>+FEE_2_In!S65</f>
        <v>7526.5295938387235</v>
      </c>
      <c r="N67" s="104">
        <f>+FEE_2_In!V65</f>
        <v>1485.2006504234407</v>
      </c>
      <c r="O67" s="61">
        <f>+FEE_2_In!Y65</f>
        <v>64.173793560868532</v>
      </c>
      <c r="P67" s="61">
        <f>+FEE_3_In!H65</f>
        <v>9028.0024352516266</v>
      </c>
      <c r="Q67" s="61">
        <f>+FEE_3_In!S65</f>
        <v>8119.8363279982996</v>
      </c>
      <c r="R67" s="61">
        <f>+FEE_3_In!V65</f>
        <v>869.1452766329669</v>
      </c>
      <c r="S67" s="61">
        <f>+FEE_3_In!Y65</f>
        <v>39.020830620360336</v>
      </c>
      <c r="T67" s="61">
        <f>+FEE_4_In!H65</f>
        <v>8474.5997182045048</v>
      </c>
      <c r="U67" s="61">
        <f>+FEE_4_In!S65</f>
        <v>7052.4336647964701</v>
      </c>
      <c r="V67" s="61">
        <f>+FEE_4_In!V65</f>
        <v>1384.7575340738185</v>
      </c>
      <c r="W67" s="61">
        <f>+FEE_4_In!Y65</f>
        <v>37.408519334216209</v>
      </c>
      <c r="X67" s="61">
        <f>FEE_1_In!$H65</f>
        <v>7630.6211026206929</v>
      </c>
      <c r="Y67" s="61">
        <f>+FEE_1_Out!S65</f>
        <v>6614.2401980645691</v>
      </c>
      <c r="Z67" s="61">
        <f>+FEE_1_Out!V65</f>
        <v>518.08515295407676</v>
      </c>
      <c r="AA67" s="61">
        <f>+FEE_1_Out!Y65</f>
        <v>95.829237559315729</v>
      </c>
      <c r="AB67" s="61">
        <f>+FEE_2_Out!H65</f>
        <v>7913.9960615839509</v>
      </c>
      <c r="AC67" s="61">
        <f>+FEE_2_Out!S65</f>
        <v>7473.2479171375371</v>
      </c>
      <c r="AD67" s="61">
        <f>+FEE_2_Out!V65</f>
        <v>379.0435220518001</v>
      </c>
      <c r="AE67" s="61">
        <f>+FEE_2_Out!Y65</f>
        <v>61.704622394613828</v>
      </c>
      <c r="AF67" s="61">
        <f>+FEE_3_Out!H65</f>
        <v>8726.5851102842007</v>
      </c>
      <c r="AG67" s="61">
        <f>+FEE_3_Out!S65</f>
        <v>8313.0875577995321</v>
      </c>
      <c r="AH67" s="61">
        <f>+FEE_3_Out!V65</f>
        <v>377.46659333927676</v>
      </c>
      <c r="AI67" s="61">
        <f>+FEE_3_Out!Y65</f>
        <v>36.030959145390796</v>
      </c>
      <c r="AJ67" s="61">
        <f>+FEE_4_Out!H65</f>
        <v>9143.5729632925431</v>
      </c>
      <c r="AK67" s="61">
        <f>+FEE_4_Out!S65</f>
        <v>8562.1649137268923</v>
      </c>
      <c r="AL67" s="61">
        <f>+FEE_4_Out!V65</f>
        <v>547.4685520449566</v>
      </c>
      <c r="AM67" s="61">
        <f>+FEE_4_Out!Y65</f>
        <v>33.939497520694786</v>
      </c>
    </row>
    <row r="68" spans="2:39" s="20" customFormat="1" x14ac:dyDescent="0.25">
      <c r="B68" s="134">
        <f>ITE_LUC_Rates!B50</f>
        <v>650</v>
      </c>
      <c r="C68" s="135" t="str">
        <f>ITE_LUC_Rates!C50</f>
        <v>Free-standing Emergency Room</v>
      </c>
      <c r="D68" s="232" t="str">
        <f>ITE_LUC_Rates!D50</f>
        <v>1000 GSF</v>
      </c>
      <c r="E68" s="233">
        <f>ITE_LUC_Rates!H50</f>
        <v>24.94</v>
      </c>
      <c r="F68" s="136" t="s">
        <v>71</v>
      </c>
      <c r="G68" s="137">
        <f>ITE_LUC_Rates!Q50</f>
        <v>0</v>
      </c>
      <c r="H68" s="104">
        <f>FEE_1_In!$H66</f>
        <v>8851.5204790400057</v>
      </c>
      <c r="I68" s="104">
        <f>+FEE_1_In!S66</f>
        <v>6501.5820636918052</v>
      </c>
      <c r="J68" s="104">
        <f>+FEE_1_In!V66</f>
        <v>2211.025589736164</v>
      </c>
      <c r="K68" s="104">
        <f>+FEE_1_In!Y66</f>
        <v>138.91282561203576</v>
      </c>
      <c r="L68" s="104">
        <f>+FEE_2_In!H66</f>
        <v>10528.04868387472</v>
      </c>
      <c r="M68" s="104">
        <f>+FEE_2_In!S66</f>
        <v>8730.7743288529218</v>
      </c>
      <c r="N68" s="104">
        <f>+FEE_2_In!V66</f>
        <v>1722.8327544911911</v>
      </c>
      <c r="O68" s="61">
        <f>+FEE_2_In!Y66</f>
        <v>74.441600530607502</v>
      </c>
      <c r="P68" s="61">
        <f>+FEE_3_In!H66</f>
        <v>10472.482824891889</v>
      </c>
      <c r="Q68" s="61">
        <f>+FEE_3_In!S66</f>
        <v>9419.0101404780289</v>
      </c>
      <c r="R68" s="61">
        <f>+FEE_3_In!V66</f>
        <v>1008.2085208942419</v>
      </c>
      <c r="S68" s="61">
        <f>+FEE_3_In!Y66</f>
        <v>45.264163519618002</v>
      </c>
      <c r="T68" s="61">
        <f>+FEE_4_In!H66</f>
        <v>9830.5356731172269</v>
      </c>
      <c r="U68" s="61">
        <f>+FEE_4_In!S66</f>
        <v>8180.8230511639067</v>
      </c>
      <c r="V68" s="61">
        <f>+FEE_4_In!V66</f>
        <v>1606.31873952563</v>
      </c>
      <c r="W68" s="61">
        <f>+FEE_4_In!Y66</f>
        <v>43.393882427690812</v>
      </c>
      <c r="X68" s="61">
        <f>FEE_1_In!$H66</f>
        <v>8851.5204790400057</v>
      </c>
      <c r="Y68" s="61">
        <f>+FEE_1_Out!S66</f>
        <v>7672.5186297549008</v>
      </c>
      <c r="Z68" s="61">
        <f>+FEE_1_Out!V66</f>
        <v>600.97877742672915</v>
      </c>
      <c r="AA68" s="61">
        <f>+FEE_1_Out!Y66</f>
        <v>111.16191556880626</v>
      </c>
      <c r="AB68" s="61">
        <f>+FEE_2_Out!H66</f>
        <v>9180.2354314373824</v>
      </c>
      <c r="AC68" s="61">
        <f>+FEE_2_Out!S66</f>
        <v>8668.9675838795429</v>
      </c>
      <c r="AD68" s="61">
        <f>+FEE_2_Out!V66</f>
        <v>439.69048558008825</v>
      </c>
      <c r="AE68" s="61">
        <f>+FEE_2_Out!Y66</f>
        <v>71.577361977752048</v>
      </c>
      <c r="AF68" s="61">
        <f>+FEE_3_Out!H66</f>
        <v>10122.838727929673</v>
      </c>
      <c r="AG68" s="61">
        <f>+FEE_3_Out!S66</f>
        <v>9643.1815670474589</v>
      </c>
      <c r="AH68" s="61">
        <f>+FEE_3_Out!V66</f>
        <v>437.86124827356116</v>
      </c>
      <c r="AI68" s="61">
        <f>+FEE_3_Out!Y66</f>
        <v>41.795912608653332</v>
      </c>
      <c r="AJ68" s="61">
        <f>+FEE_4_Out!H66</f>
        <v>10606.544637419354</v>
      </c>
      <c r="AK68" s="61">
        <f>+FEE_4_Out!S66</f>
        <v>9932.1112999231973</v>
      </c>
      <c r="AL68" s="61">
        <f>+FEE_4_Out!V66</f>
        <v>635.0635203721497</v>
      </c>
      <c r="AM68" s="61">
        <f>+FEE_4_Out!Y66</f>
        <v>39.369817124005955</v>
      </c>
    </row>
    <row r="69" spans="2:39" s="20" customFormat="1" x14ac:dyDescent="0.25">
      <c r="B69" s="105" t="e">
        <f>ITE_LUC_Rates!#REF!</f>
        <v>#REF!</v>
      </c>
      <c r="C69" s="106"/>
      <c r="D69" s="107"/>
      <c r="E69" s="130"/>
      <c r="F69" s="114"/>
      <c r="G69" s="110"/>
      <c r="H69" s="242"/>
      <c r="I69" s="112"/>
      <c r="J69" s="112"/>
      <c r="K69" s="113"/>
      <c r="L69" s="242"/>
      <c r="M69" s="112"/>
      <c r="N69" s="112"/>
      <c r="O69" s="113"/>
      <c r="P69" s="113"/>
      <c r="Q69" s="113"/>
      <c r="R69" s="113"/>
      <c r="S69" s="113"/>
      <c r="T69" s="113"/>
      <c r="U69" s="113"/>
      <c r="V69" s="113"/>
      <c r="W69" s="113"/>
      <c r="X69" s="113"/>
      <c r="Y69" s="113"/>
      <c r="Z69" s="113"/>
      <c r="AA69" s="113"/>
      <c r="AB69" s="113"/>
      <c r="AC69" s="113"/>
      <c r="AD69" s="113"/>
      <c r="AE69" s="113"/>
      <c r="AF69" s="113"/>
      <c r="AG69" s="113"/>
      <c r="AH69" s="113"/>
      <c r="AI69" s="113"/>
      <c r="AJ69" s="113"/>
      <c r="AK69" s="113"/>
      <c r="AL69" s="113"/>
      <c r="AM69" s="113"/>
    </row>
    <row r="70" spans="2:39" s="20" customFormat="1" x14ac:dyDescent="0.25">
      <c r="B70" s="55">
        <f>ITE_LUC_Rates!B51</f>
        <v>710</v>
      </c>
      <c r="C70" s="56" t="str">
        <f>ITE_LUC_Rates!C51</f>
        <v>1 - 50,000</v>
      </c>
      <c r="D70" s="57" t="str">
        <f>ITE_LUC_Rates!D51</f>
        <v>1000 GSF</v>
      </c>
      <c r="E70" s="129">
        <f>ITE_LUC_Rates!H51</f>
        <v>11.061091998412158</v>
      </c>
      <c r="F70" s="58" t="s">
        <v>71</v>
      </c>
      <c r="G70" s="104">
        <f>ITE_LUC_Rates!Q51</f>
        <v>15551.8</v>
      </c>
      <c r="H70" s="104">
        <f>FEE_1_In!$H68</f>
        <v>13482.166849690169</v>
      </c>
      <c r="I70" s="104">
        <f>+FEE_1_In!S68</f>
        <v>9902.8652057248073</v>
      </c>
      <c r="J70" s="104">
        <f>+FEE_1_In!V68</f>
        <v>3367.7169905831315</v>
      </c>
      <c r="K70" s="104">
        <f>+FEE_1_In!Y68</f>
        <v>211.58465338222888</v>
      </c>
      <c r="L70" s="104">
        <f>+FEE_2_In!H68</f>
        <v>16035.765752761858</v>
      </c>
      <c r="M70" s="104">
        <f>+FEE_2_In!S68</f>
        <v>13298.25271345393</v>
      </c>
      <c r="N70" s="104">
        <f>+FEE_2_In!V68</f>
        <v>2624.1275388972144</v>
      </c>
      <c r="O70" s="61">
        <f>+FEE_2_In!Y68</f>
        <v>113.38550041071409</v>
      </c>
      <c r="P70" s="61">
        <f>+FEE_3_In!H68</f>
        <v>15951.130781433842</v>
      </c>
      <c r="Q70" s="61">
        <f>+FEE_3_In!S68</f>
        <v>14346.537024181524</v>
      </c>
      <c r="R70" s="61">
        <f>+FEE_3_In!V68</f>
        <v>1535.6497824484184</v>
      </c>
      <c r="S70" s="61">
        <f>+FEE_3_In!Y68</f>
        <v>68.943974803901114</v>
      </c>
      <c r="T70" s="61">
        <f>+FEE_4_In!H68</f>
        <v>14973.350904021416</v>
      </c>
      <c r="U70" s="61">
        <f>+FEE_4_In!S68</f>
        <v>12460.596075528181</v>
      </c>
      <c r="V70" s="61">
        <f>+FEE_4_In!V68</f>
        <v>2446.6595667208267</v>
      </c>
      <c r="W70" s="61">
        <f>+FEE_4_In!Y68</f>
        <v>66.095261772406474</v>
      </c>
      <c r="X70" s="61">
        <f>FEE_1_In!$H68</f>
        <v>13482.166849690169</v>
      </c>
      <c r="Y70" s="61">
        <f>+FEE_1_Out!S68</f>
        <v>11686.373721741715</v>
      </c>
      <c r="Z70" s="61">
        <f>+FEE_1_Out!V68</f>
        <v>915.37902099151347</v>
      </c>
      <c r="AA70" s="61">
        <f>+FEE_1_Out!Y68</f>
        <v>169.31593804461937</v>
      </c>
      <c r="AB70" s="61">
        <f>+FEE_2_Out!H68</f>
        <v>13982.848042791817</v>
      </c>
      <c r="AC70" s="61">
        <f>+FEE_2_Out!S68</f>
        <v>13204.111955361519</v>
      </c>
      <c r="AD70" s="61">
        <f>+FEE_2_Out!V68</f>
        <v>669.71324337431349</v>
      </c>
      <c r="AE70" s="61">
        <f>+FEE_2_Out!Y68</f>
        <v>109.02284405598344</v>
      </c>
      <c r="AF70" s="61">
        <f>+FEE_3_Out!H68</f>
        <v>15418.571424607379</v>
      </c>
      <c r="AG70" s="61">
        <f>+FEE_3_Out!S68</f>
        <v>14687.983059707154</v>
      </c>
      <c r="AH70" s="61">
        <f>+FEE_3_Out!V68</f>
        <v>666.92704606135749</v>
      </c>
      <c r="AI70" s="61">
        <f>+FEE_3_Out!Y68</f>
        <v>63.66131883886775</v>
      </c>
      <c r="AJ70" s="61">
        <f>+FEE_4_Out!H68</f>
        <v>16155.326628796691</v>
      </c>
      <c r="AK70" s="61">
        <f>+FEE_4_Out!S68</f>
        <v>15128.065515110296</v>
      </c>
      <c r="AL70" s="61">
        <f>+FEE_4_Out!V68</f>
        <v>967.29509490300961</v>
      </c>
      <c r="AM70" s="61">
        <f>+FEE_4_Out!Y68</f>
        <v>59.966018783385856</v>
      </c>
    </row>
    <row r="71" spans="2:39" s="20" customFormat="1" x14ac:dyDescent="0.25">
      <c r="B71" s="55">
        <f>ITE_LUC_Rates!B52</f>
        <v>710</v>
      </c>
      <c r="C71" s="56" t="str">
        <f>ITE_LUC_Rates!C52</f>
        <v>50,001 - 100,000</v>
      </c>
      <c r="D71" s="57" t="str">
        <f>ITE_LUC_Rates!D52</f>
        <v>1000 GSF</v>
      </c>
      <c r="E71" s="129">
        <f>ITE_LUC_Rates!H52</f>
        <v>10.702478568874675</v>
      </c>
      <c r="F71" s="58" t="s">
        <v>71</v>
      </c>
      <c r="G71" s="104">
        <f>ITE_LUC_Rates!Q52</f>
        <v>13259.2</v>
      </c>
      <c r="H71" s="104">
        <f>FEE_1_In!$H69</f>
        <v>13045.059365884954</v>
      </c>
      <c r="I71" s="104">
        <f>+FEE_1_In!S69</f>
        <v>9581.8028319390942</v>
      </c>
      <c r="J71" s="104">
        <f>+FEE_1_In!V69</f>
        <v>3258.5317003895379</v>
      </c>
      <c r="K71" s="104">
        <f>+FEE_1_In!Y69</f>
        <v>204.72483355632085</v>
      </c>
      <c r="L71" s="104">
        <f>+FEE_2_In!H69</f>
        <v>15515.867631248799</v>
      </c>
      <c r="M71" s="104">
        <f>+FEE_2_In!S69</f>
        <v>12867.107939220752</v>
      </c>
      <c r="N71" s="104">
        <f>+FEE_2_In!V69</f>
        <v>2539.0502810276685</v>
      </c>
      <c r="O71" s="61">
        <f>+FEE_2_In!Y69</f>
        <v>109.70941100037857</v>
      </c>
      <c r="P71" s="61">
        <f>+FEE_3_In!H69</f>
        <v>15433.976623837829</v>
      </c>
      <c r="Q71" s="61">
        <f>+FEE_3_In!S69</f>
        <v>13881.405656956053</v>
      </c>
      <c r="R71" s="61">
        <f>+FEE_3_In!V69</f>
        <v>1485.8622356916092</v>
      </c>
      <c r="S71" s="61">
        <f>+FEE_3_In!Y69</f>
        <v>66.708731190167327</v>
      </c>
      <c r="T71" s="61">
        <f>+FEE_4_In!H69</f>
        <v>14487.897503929444</v>
      </c>
      <c r="U71" s="61">
        <f>+FEE_4_In!S69</f>
        <v>12056.609100881562</v>
      </c>
      <c r="V71" s="61">
        <f>+FEE_4_In!V69</f>
        <v>2367.3360263092295</v>
      </c>
      <c r="W71" s="61">
        <f>+FEE_4_In!Y69</f>
        <v>63.952376738651857</v>
      </c>
      <c r="X71" s="61">
        <f>FEE_1_In!$H69</f>
        <v>13045.059365884954</v>
      </c>
      <c r="Y71" s="61">
        <f>+FEE_1_Out!S69</f>
        <v>11307.487933628559</v>
      </c>
      <c r="Z71" s="61">
        <f>+FEE_1_Out!V69</f>
        <v>885.70137161552498</v>
      </c>
      <c r="AA71" s="61">
        <f>+FEE_1_Out!Y69</f>
        <v>163.82651898669513</v>
      </c>
      <c r="AB71" s="61">
        <f>+FEE_2_Out!H69</f>
        <v>13529.507894093398</v>
      </c>
      <c r="AC71" s="61">
        <f>+FEE_2_Out!S69</f>
        <v>12776.019333675631</v>
      </c>
      <c r="AD71" s="61">
        <f>+FEE_2_Out!V69</f>
        <v>648.00036339396343</v>
      </c>
      <c r="AE71" s="61">
        <f>+FEE_2_Out!Y69</f>
        <v>105.48819702380446</v>
      </c>
      <c r="AF71" s="61">
        <f>+FEE_3_Out!H69</f>
        <v>14918.6834589399</v>
      </c>
      <c r="AG71" s="61">
        <f>+FEE_3_Out!S69</f>
        <v>14211.781616053475</v>
      </c>
      <c r="AH71" s="61">
        <f>+FEE_3_Out!V69</f>
        <v>645.30449782889559</v>
      </c>
      <c r="AI71" s="61">
        <f>+FEE_3_Out!Y69</f>
        <v>61.597345057530191</v>
      </c>
      <c r="AJ71" s="61">
        <f>+FEE_4_Out!H69</f>
        <v>15631.552205034312</v>
      </c>
      <c r="AK71" s="61">
        <f>+FEE_4_Out!S69</f>
        <v>14637.596087912672</v>
      </c>
      <c r="AL71" s="61">
        <f>+FEE_4_Out!V69</f>
        <v>935.93426620655282</v>
      </c>
      <c r="AM71" s="61">
        <f>+FEE_4_Out!Y69</f>
        <v>58.021850915086219</v>
      </c>
    </row>
    <row r="72" spans="2:39" s="20" customFormat="1" x14ac:dyDescent="0.25">
      <c r="B72" s="55">
        <f>ITE_LUC_Rates!B53</f>
        <v>710</v>
      </c>
      <c r="C72" s="56" t="str">
        <f>ITE_LUC_Rates!C53</f>
        <v>100,001 - 150,000</v>
      </c>
      <c r="D72" s="57" t="str">
        <f>ITE_LUC_Rates!D53</f>
        <v>1000 GSF</v>
      </c>
      <c r="E72" s="129">
        <f>ITE_LUC_Rates!H53</f>
        <v>10.53971589568078</v>
      </c>
      <c r="F72" s="58" t="s">
        <v>71</v>
      </c>
      <c r="G72" s="104">
        <f>ITE_LUC_Rates!Q53</f>
        <v>11306.4</v>
      </c>
      <c r="H72" s="104">
        <f>FEE_1_In!$H70</f>
        <v>12846.670859829976</v>
      </c>
      <c r="I72" s="104">
        <f>+FEE_1_In!S70</f>
        <v>9436.0833303388954</v>
      </c>
      <c r="J72" s="104">
        <f>+FEE_1_In!V70</f>
        <v>3208.9761393268068</v>
      </c>
      <c r="K72" s="104">
        <f>+FEE_1_In!Y70</f>
        <v>201.61139016427251</v>
      </c>
      <c r="L72" s="104">
        <f>+FEE_2_In!H70</f>
        <v>15279.903216432855</v>
      </c>
      <c r="M72" s="104">
        <f>+FEE_2_In!S70</f>
        <v>12671.425708139006</v>
      </c>
      <c r="N72" s="104">
        <f>+FEE_2_In!V70</f>
        <v>2500.4365516514063</v>
      </c>
      <c r="O72" s="61">
        <f>+FEE_2_In!Y70</f>
        <v>108.04095664244318</v>
      </c>
      <c r="P72" s="61">
        <f>+FEE_3_In!H70</f>
        <v>15199.257602711863</v>
      </c>
      <c r="Q72" s="61">
        <f>+FEE_3_In!S70</f>
        <v>13670.298045025318</v>
      </c>
      <c r="R72" s="61">
        <f>+FEE_3_In!V70</f>
        <v>1463.2653290103515</v>
      </c>
      <c r="S72" s="61">
        <f>+FEE_3_In!Y70</f>
        <v>65.694228676192552</v>
      </c>
      <c r="T72" s="61">
        <f>+FEE_4_In!H70</f>
        <v>14267.566399174273</v>
      </c>
      <c r="U72" s="61">
        <f>+FEE_4_In!S70</f>
        <v>11873.252889113914</v>
      </c>
      <c r="V72" s="61">
        <f>+FEE_4_In!V70</f>
        <v>2331.3337173570876</v>
      </c>
      <c r="W72" s="61">
        <f>+FEE_4_In!Y70</f>
        <v>62.979792703271677</v>
      </c>
      <c r="X72" s="61">
        <f>FEE_1_In!$H70</f>
        <v>12846.670859829976</v>
      </c>
      <c r="Y72" s="61">
        <f>+FEE_1_Out!S70</f>
        <v>11135.524313113821</v>
      </c>
      <c r="Z72" s="61">
        <f>+FEE_1_Out!V70</f>
        <v>872.23167653807911</v>
      </c>
      <c r="AA72" s="61">
        <f>+FEE_1_Out!Y70</f>
        <v>161.33505478999288</v>
      </c>
      <c r="AB72" s="61">
        <f>+FEE_2_Out!H70</f>
        <v>13323.751922925676</v>
      </c>
      <c r="AC72" s="61">
        <f>+FEE_2_Out!S70</f>
        <v>12581.722372822704</v>
      </c>
      <c r="AD72" s="61">
        <f>+FEE_2_Out!V70</f>
        <v>638.14561145983214</v>
      </c>
      <c r="AE72" s="61">
        <f>+FEE_2_Out!Y70</f>
        <v>103.88393864314003</v>
      </c>
      <c r="AF72" s="61">
        <f>+FEE_3_Out!H70</f>
        <v>14691.800986372062</v>
      </c>
      <c r="AG72" s="61">
        <f>+FEE_3_Out!S70</f>
        <v>13995.649665702846</v>
      </c>
      <c r="AH72" s="61">
        <f>+FEE_3_Out!V70</f>
        <v>635.49074446188297</v>
      </c>
      <c r="AI72" s="61">
        <f>+FEE_3_Out!Y70</f>
        <v>60.660576207334344</v>
      </c>
      <c r="AJ72" s="61">
        <f>+FEE_4_Out!H70</f>
        <v>15393.828465931436</v>
      </c>
      <c r="AK72" s="61">
        <f>+FEE_4_Out!S70</f>
        <v>14414.988375776731</v>
      </c>
      <c r="AL72" s="61">
        <f>+FEE_4_Out!V70</f>
        <v>921.70063218232133</v>
      </c>
      <c r="AM72" s="61">
        <f>+FEE_4_Out!Y70</f>
        <v>57.13945797238398</v>
      </c>
    </row>
    <row r="73" spans="2:39" s="20" customFormat="1" x14ac:dyDescent="0.25">
      <c r="B73" s="55">
        <f>ITE_LUC_Rates!B54</f>
        <v>710</v>
      </c>
      <c r="C73" s="56" t="str">
        <f>ITE_LUC_Rates!C54</f>
        <v>150,001 - 200,000</v>
      </c>
      <c r="D73" s="57" t="str">
        <f>ITE_LUC_Rates!D54</f>
        <v>1000 GSF</v>
      </c>
      <c r="E73" s="129">
        <f>ITE_LUC_Rates!H54</f>
        <v>10.433861397564558</v>
      </c>
      <c r="F73" s="58" t="s">
        <v>71</v>
      </c>
      <c r="G73" s="104">
        <f>ITE_LUC_Rates!Q54</f>
        <v>11306.4</v>
      </c>
      <c r="H73" s="104">
        <f>FEE_1_In!$H71</f>
        <v>12717.646708724642</v>
      </c>
      <c r="I73" s="104">
        <f>+FEE_1_In!S71</f>
        <v>9341.3130466801867</v>
      </c>
      <c r="J73" s="104">
        <f>+FEE_1_In!V71</f>
        <v>3176.7471340995803</v>
      </c>
      <c r="K73" s="104">
        <f>+FEE_1_In!Y71</f>
        <v>199.58652794487446</v>
      </c>
      <c r="L73" s="104">
        <f>+FEE_2_In!H71</f>
        <v>15126.441158987571</v>
      </c>
      <c r="M73" s="104">
        <f>+FEE_2_In!S71</f>
        <v>12544.161612785001</v>
      </c>
      <c r="N73" s="104">
        <f>+FEE_2_In!V71</f>
        <v>2475.3236872377661</v>
      </c>
      <c r="O73" s="61">
        <f>+FEE_2_In!Y71</f>
        <v>106.95585896480375</v>
      </c>
      <c r="P73" s="61">
        <f>+FEE_3_In!H71</f>
        <v>15046.605500776781</v>
      </c>
      <c r="Q73" s="61">
        <f>+FEE_3_In!S71</f>
        <v>13533.001883252271</v>
      </c>
      <c r="R73" s="61">
        <f>+FEE_3_In!V71</f>
        <v>1448.569181737849</v>
      </c>
      <c r="S73" s="61">
        <f>+FEE_3_In!Y71</f>
        <v>65.034435786661177</v>
      </c>
      <c r="T73" s="61">
        <f>+FEE_4_In!H71</f>
        <v>14124.271637202235</v>
      </c>
      <c r="U73" s="61">
        <f>+FEE_4_In!S71</f>
        <v>11754.005156250525</v>
      </c>
      <c r="V73" s="61">
        <f>+FEE_4_In!V71</f>
        <v>2307.9192189934838</v>
      </c>
      <c r="W73" s="61">
        <f>+FEE_4_In!Y71</f>
        <v>62.347261958225637</v>
      </c>
      <c r="X73" s="61">
        <f>FEE_1_In!$H71</f>
        <v>12717.646708724642</v>
      </c>
      <c r="Y73" s="61">
        <f>+FEE_1_Out!S71</f>
        <v>11023.685877515314</v>
      </c>
      <c r="Z73" s="61">
        <f>+FEE_1_Out!V71</f>
        <v>863.47151191173953</v>
      </c>
      <c r="AA73" s="61">
        <f>+FEE_1_Out!Y71</f>
        <v>159.71470359434568</v>
      </c>
      <c r="AB73" s="61">
        <f>+FEE_2_Out!H71</f>
        <v>13189.93625969662</v>
      </c>
      <c r="AC73" s="61">
        <f>+FEE_2_Out!S71</f>
        <v>12455.359203227346</v>
      </c>
      <c r="AD73" s="61">
        <f>+FEE_2_Out!V71</f>
        <v>631.73646494253057</v>
      </c>
      <c r="AE73" s="61">
        <f>+FEE_2_Out!Y71</f>
        <v>102.84059152674266</v>
      </c>
      <c r="AF73" s="61">
        <f>+FEE_3_Out!H71</f>
        <v>14544.245470148593</v>
      </c>
      <c r="AG73" s="61">
        <f>+FEE_3_Out!S71</f>
        <v>13855.085870071445</v>
      </c>
      <c r="AH73" s="61">
        <f>+FEE_3_Out!V71</f>
        <v>629.10826181450113</v>
      </c>
      <c r="AI73" s="61">
        <f>+FEE_3_Out!Y71</f>
        <v>60.051338262647455</v>
      </c>
      <c r="AJ73" s="61">
        <f>+FEE_4_Out!H71</f>
        <v>15239.222212548821</v>
      </c>
      <c r="AK73" s="61">
        <f>+FEE_4_Out!S71</f>
        <v>14270.212997106955</v>
      </c>
      <c r="AL73" s="61">
        <f>+FEE_4_Out!V71</f>
        <v>912.44363144352064</v>
      </c>
      <c r="AM73" s="61">
        <f>+FEE_4_Out!Y71</f>
        <v>56.565583998344643</v>
      </c>
    </row>
    <row r="74" spans="2:39" s="20" customFormat="1" x14ac:dyDescent="0.25">
      <c r="B74" s="55">
        <f>ITE_LUC_Rates!B55</f>
        <v>710</v>
      </c>
      <c r="C74" s="56" t="str">
        <f>ITE_LUC_Rates!C55</f>
        <v>200,001 - 300,000</v>
      </c>
      <c r="D74" s="57" t="str">
        <f>ITE_LUC_Rates!D55</f>
        <v>1000 GSF</v>
      </c>
      <c r="E74" s="129">
        <f>ITE_LUC_Rates!H55</f>
        <v>10.322811679029327</v>
      </c>
      <c r="F74" s="58" t="s">
        <v>71</v>
      </c>
      <c r="G74" s="104">
        <f>ITE_LUC_Rates!Q55</f>
        <v>10298.9</v>
      </c>
      <c r="H74" s="104">
        <f>FEE_1_In!$H72</f>
        <v>12582.290196535967</v>
      </c>
      <c r="I74" s="104">
        <f>+FEE_1_In!S72</f>
        <v>9241.8915434555565</v>
      </c>
      <c r="J74" s="104">
        <f>+FEE_1_In!V72</f>
        <v>3142.9363653288065</v>
      </c>
      <c r="K74" s="104">
        <f>+FEE_1_In!Y72</f>
        <v>197.46228775160569</v>
      </c>
      <c r="L74" s="104">
        <f>+FEE_2_In!H72</f>
        <v>14965.447355338099</v>
      </c>
      <c r="M74" s="104">
        <f>+FEE_2_In!S72</f>
        <v>12410.651537916134</v>
      </c>
      <c r="N74" s="104">
        <f>+FEE_2_In!V72</f>
        <v>2448.9783115156483</v>
      </c>
      <c r="O74" s="61">
        <f>+FEE_2_In!Y72</f>
        <v>105.81750590631788</v>
      </c>
      <c r="P74" s="61">
        <f>+FEE_3_In!H72</f>
        <v>14886.461404348402</v>
      </c>
      <c r="Q74" s="61">
        <f>+FEE_3_In!S72</f>
        <v>13388.967379360673</v>
      </c>
      <c r="R74" s="61">
        <f>+FEE_3_In!V72</f>
        <v>1433.1517639879498</v>
      </c>
      <c r="S74" s="61">
        <f>+FEE_3_In!Y72</f>
        <v>64.342260999780095</v>
      </c>
      <c r="T74" s="61">
        <f>+FEE_4_In!H72</f>
        <v>13973.944128520496</v>
      </c>
      <c r="U74" s="61">
        <f>+FEE_4_In!S72</f>
        <v>11628.904877980782</v>
      </c>
      <c r="V74" s="61">
        <f>+FEE_4_In!V72</f>
        <v>2283.3555632283133</v>
      </c>
      <c r="W74" s="61">
        <f>+FEE_4_In!Y72</f>
        <v>61.683687311401265</v>
      </c>
      <c r="X74" s="61">
        <f>FEE_1_In!$H72</f>
        <v>12582.290196535967</v>
      </c>
      <c r="Y74" s="61">
        <f>+FEE_1_Out!S72</f>
        <v>10906.358536536391</v>
      </c>
      <c r="Z74" s="61">
        <f>+FEE_1_Out!V72</f>
        <v>854.28140819966893</v>
      </c>
      <c r="AA74" s="61">
        <f>+FEE_1_Out!Y72</f>
        <v>158.01482737361789</v>
      </c>
      <c r="AB74" s="61">
        <f>+FEE_2_Out!H72</f>
        <v>13049.553073326246</v>
      </c>
      <c r="AC74" s="61">
        <f>+FEE_2_Out!S72</f>
        <v>12322.794270546101</v>
      </c>
      <c r="AD74" s="61">
        <f>+FEE_2_Out!V72</f>
        <v>625.01276467977982</v>
      </c>
      <c r="AE74" s="61">
        <f>+FEE_2_Out!Y72</f>
        <v>101.74603810036618</v>
      </c>
      <c r="AF74" s="61">
        <f>+FEE_3_Out!H72</f>
        <v>14389.44809416042</v>
      </c>
      <c r="AG74" s="61">
        <f>+FEE_3_Out!S72</f>
        <v>13707.623360505044</v>
      </c>
      <c r="AH74" s="61">
        <f>+FEE_3_Out!V72</f>
        <v>622.41253405459463</v>
      </c>
      <c r="AI74" s="61">
        <f>+FEE_3_Out!Y72</f>
        <v>59.412199600781825</v>
      </c>
      <c r="AJ74" s="61">
        <f>+FEE_4_Out!H72</f>
        <v>15077.028057104661</v>
      </c>
      <c r="AK74" s="61">
        <f>+FEE_4_Out!S72</f>
        <v>14118.332204715325</v>
      </c>
      <c r="AL74" s="61">
        <f>+FEE_4_Out!V72</f>
        <v>902.73230745806711</v>
      </c>
      <c r="AM74" s="61">
        <f>+FEE_4_Out!Y72</f>
        <v>55.963544931267975</v>
      </c>
    </row>
    <row r="75" spans="2:39" s="20" customFormat="1" x14ac:dyDescent="0.25">
      <c r="B75" s="55">
        <f>ITE_LUC_Rates!B56</f>
        <v>710</v>
      </c>
      <c r="C75" s="56" t="str">
        <f>ITE_LUC_Rates!C56</f>
        <v>300,001 - 400,000</v>
      </c>
      <c r="D75" s="57" t="str">
        <f>ITE_LUC_Rates!D56</f>
        <v>1000 GSF</v>
      </c>
      <c r="E75" s="129">
        <f>ITE_LUC_Rates!H56</f>
        <v>10.21913563498342</v>
      </c>
      <c r="F75" s="58" t="s">
        <v>71</v>
      </c>
      <c r="G75" s="104">
        <f>ITE_LUC_Rates!Q56</f>
        <v>9639.5</v>
      </c>
      <c r="H75" s="104">
        <f>FEE_1_In!$H73</f>
        <v>12455.92132406448</v>
      </c>
      <c r="I75" s="104">
        <f>+FEE_1_In!S73</f>
        <v>9149.071604032144</v>
      </c>
      <c r="J75" s="104">
        <f>+FEE_1_In!V73</f>
        <v>3111.3706234382257</v>
      </c>
      <c r="K75" s="104">
        <f>+FEE_1_In!Y73</f>
        <v>195.47909659411027</v>
      </c>
      <c r="L75" s="104">
        <f>+FEE_2_In!H73</f>
        <v>14815.143501366734</v>
      </c>
      <c r="M75" s="104">
        <f>+FEE_2_In!S73</f>
        <v>12286.00649977238</v>
      </c>
      <c r="N75" s="104">
        <f>+FEE_2_In!V73</f>
        <v>2424.3822623783803</v>
      </c>
      <c r="O75" s="61">
        <f>+FEE_2_In!Y73</f>
        <v>104.7547392159734</v>
      </c>
      <c r="P75" s="61">
        <f>+FEE_3_In!H73</f>
        <v>14736.950837243872</v>
      </c>
      <c r="Q75" s="61">
        <f>+FEE_3_In!S73</f>
        <v>13254.496731739369</v>
      </c>
      <c r="R75" s="61">
        <f>+FEE_3_In!V73</f>
        <v>1418.7580590529342</v>
      </c>
      <c r="S75" s="61">
        <f>+FEE_3_In!Y73</f>
        <v>63.696046451569543</v>
      </c>
      <c r="T75" s="61">
        <f>+FEE_4_In!H73</f>
        <v>13833.598330107196</v>
      </c>
      <c r="U75" s="61">
        <f>+FEE_4_In!S73</f>
        <v>11512.111227973155</v>
      </c>
      <c r="V75" s="61">
        <f>+FEE_4_In!V73</f>
        <v>2260.4229282731844</v>
      </c>
      <c r="W75" s="61">
        <f>+FEE_4_In!Y73</f>
        <v>61.064173860855398</v>
      </c>
      <c r="X75" s="61">
        <f>FEE_1_In!$H73</f>
        <v>12455.92132406448</v>
      </c>
      <c r="Y75" s="61">
        <f>+FEE_1_Out!S73</f>
        <v>10796.821702660844</v>
      </c>
      <c r="Z75" s="61">
        <f>+FEE_1_Out!V73</f>
        <v>845.70152515442908</v>
      </c>
      <c r="AA75" s="61">
        <f>+FEE_1_Out!Y73</f>
        <v>156.42782252338176</v>
      </c>
      <c r="AB75" s="61">
        <f>+FEE_2_Out!H73</f>
        <v>12918.49129662465</v>
      </c>
      <c r="AC75" s="61">
        <f>+FEE_2_Out!S73</f>
        <v>12199.031617376986</v>
      </c>
      <c r="AD75" s="61">
        <f>+FEE_2_Out!V73</f>
        <v>618.73551649052592</v>
      </c>
      <c r="AE75" s="61">
        <f>+FEE_2_Out!Y73</f>
        <v>100.72416275713782</v>
      </c>
      <c r="AF75" s="61">
        <f>+FEE_3_Out!H73</f>
        <v>14244.929226550243</v>
      </c>
      <c r="AG75" s="61">
        <f>+FEE_3_Out!S73</f>
        <v>13569.952325957795</v>
      </c>
      <c r="AH75" s="61">
        <f>+FEE_3_Out!V73</f>
        <v>616.16140100075256</v>
      </c>
      <c r="AI75" s="61">
        <f>+FEE_3_Out!Y73</f>
        <v>58.815499591695342</v>
      </c>
      <c r="AJ75" s="61">
        <f>+FEE_4_Out!H73</f>
        <v>14925.60355440786</v>
      </c>
      <c r="AK75" s="61">
        <f>+FEE_4_Out!S73</f>
        <v>13976.536260255316</v>
      </c>
      <c r="AL75" s="61">
        <f>+FEE_4_Out!V73</f>
        <v>893.6658130397085</v>
      </c>
      <c r="AM75" s="61">
        <f>+FEE_4_Out!Y73</f>
        <v>55.40148111283699</v>
      </c>
    </row>
    <row r="76" spans="2:39" s="20" customFormat="1" x14ac:dyDescent="0.25">
      <c r="B76" s="55">
        <f>ITE_LUC_Rates!B57</f>
        <v>710</v>
      </c>
      <c r="C76" s="56" t="str">
        <f>ITE_LUC_Rates!C57</f>
        <v>400,001 - 500,000</v>
      </c>
      <c r="D76" s="57" t="str">
        <f>ITE_LUC_Rates!D57</f>
        <v>1000 GSF</v>
      </c>
      <c r="E76" s="129">
        <f>ITE_LUC_Rates!H57</f>
        <v>10.142378862949085</v>
      </c>
      <c r="F76" s="58" t="s">
        <v>71</v>
      </c>
      <c r="G76" s="104">
        <f>ITE_LUC_Rates!Q57</f>
        <v>9156.7999999999993</v>
      </c>
      <c r="H76" s="104">
        <f>FEE_1_In!$H74</f>
        <v>12362.363869921697</v>
      </c>
      <c r="I76" s="104">
        <f>+FEE_1_In!S74</f>
        <v>9080.3521713403552</v>
      </c>
      <c r="J76" s="104">
        <f>+FEE_1_In!V74</f>
        <v>3088.000861631755</v>
      </c>
      <c r="K76" s="104">
        <f>+FEE_1_In!Y74</f>
        <v>194.01083694958737</v>
      </c>
      <c r="L76" s="104">
        <f>+FEE_2_In!H74</f>
        <v>14703.865734537074</v>
      </c>
      <c r="M76" s="104">
        <f>+FEE_2_In!S74</f>
        <v>12193.725289912803</v>
      </c>
      <c r="N76" s="104">
        <f>+FEE_2_In!V74</f>
        <v>2406.1725269091276</v>
      </c>
      <c r="O76" s="61">
        <f>+FEE_2_In!Y74</f>
        <v>103.96791771514205</v>
      </c>
      <c r="P76" s="61">
        <f>+FEE_3_In!H74</f>
        <v>14626.260381974527</v>
      </c>
      <c r="Q76" s="61">
        <f>+FEE_3_In!S74</f>
        <v>13154.941111733197</v>
      </c>
      <c r="R76" s="61">
        <f>+FEE_3_In!V74</f>
        <v>1408.101650057069</v>
      </c>
      <c r="S76" s="61">
        <f>+FEE_3_In!Y74</f>
        <v>63.21762018426034</v>
      </c>
      <c r="T76" s="61">
        <f>+FEE_4_In!H74</f>
        <v>13729.693030151722</v>
      </c>
      <c r="U76" s="61">
        <f>+FEE_4_In!S74</f>
        <v>11425.642809437393</v>
      </c>
      <c r="V76" s="61">
        <f>+FEE_4_In!V74</f>
        <v>2243.4447049083146</v>
      </c>
      <c r="W76" s="61">
        <f>+FEE_4_In!Y74</f>
        <v>60.605515806013919</v>
      </c>
      <c r="X76" s="61">
        <f>FEE_1_In!$H74</f>
        <v>12362.363869921697</v>
      </c>
      <c r="Y76" s="61">
        <f>+FEE_1_Out!S74</f>
        <v>10715.725882845174</v>
      </c>
      <c r="Z76" s="61">
        <f>+FEE_1_Out!V74</f>
        <v>839.34939112920392</v>
      </c>
      <c r="AA76" s="61">
        <f>+FEE_1_Out!Y74</f>
        <v>155.25288022472481</v>
      </c>
      <c r="AB76" s="61">
        <f>+FEE_2_Out!H74</f>
        <v>12821.459441201569</v>
      </c>
      <c r="AC76" s="61">
        <f>+FEE_2_Out!S74</f>
        <v>12107.403683044733</v>
      </c>
      <c r="AD76" s="61">
        <f>+FEE_2_Out!V74</f>
        <v>614.0881429077516</v>
      </c>
      <c r="AE76" s="61">
        <f>+FEE_2_Out!Y74</f>
        <v>99.967615249085128</v>
      </c>
      <c r="AF76" s="61">
        <f>+FEE_3_Out!H74</f>
        <v>14137.934386248435</v>
      </c>
      <c r="AG76" s="61">
        <f>+FEE_3_Out!S74</f>
        <v>13468.027292921275</v>
      </c>
      <c r="AH76" s="61">
        <f>+FEE_3_Out!V74</f>
        <v>611.53336181208897</v>
      </c>
      <c r="AI76" s="61">
        <f>+FEE_3_Out!Y74</f>
        <v>58.373731515069487</v>
      </c>
      <c r="AJ76" s="61">
        <f>+FEE_4_Out!H74</f>
        <v>14813.496112993867</v>
      </c>
      <c r="AK76" s="61">
        <f>+FEE_4_Out!S74</f>
        <v>13871.557341697318</v>
      </c>
      <c r="AL76" s="61">
        <f>+FEE_4_Out!V74</f>
        <v>886.95341528548499</v>
      </c>
      <c r="AM76" s="61">
        <f>+FEE_4_Out!Y74</f>
        <v>54.985356011063686</v>
      </c>
    </row>
    <row r="77" spans="2:39" s="20" customFormat="1" x14ac:dyDescent="0.25">
      <c r="B77" s="55">
        <f>ITE_LUC_Rates!B58</f>
        <v>710</v>
      </c>
      <c r="C77" s="56" t="str">
        <f>ITE_LUC_Rates!C58</f>
        <v>500,001 - 600,000</v>
      </c>
      <c r="D77" s="57" t="str">
        <f>ITE_LUC_Rates!D58</f>
        <v>1000 GSF</v>
      </c>
      <c r="E77" s="129">
        <f>ITE_LUC_Rates!H58</f>
        <v>10.081503937403301</v>
      </c>
      <c r="F77" s="58" t="s">
        <v>71</v>
      </c>
      <c r="G77" s="104">
        <f>ITE_LUC_Rates!Q58</f>
        <v>8781.7000000000007</v>
      </c>
      <c r="H77" s="104">
        <f>FEE_1_In!$H75</f>
        <v>12288.16451390074</v>
      </c>
      <c r="I77" s="104">
        <f>+FEE_1_In!S75</f>
        <v>9025.8515684907452</v>
      </c>
      <c r="J77" s="104">
        <f>+FEE_1_In!V75</f>
        <v>3069.4665685356986</v>
      </c>
      <c r="K77" s="104">
        <f>+FEE_1_In!Y75</f>
        <v>192.8463768742962</v>
      </c>
      <c r="L77" s="104">
        <f>+FEE_2_In!H75</f>
        <v>14615.612599456996</v>
      </c>
      <c r="M77" s="104">
        <f>+FEE_2_In!S75</f>
        <v>12120.538108761362</v>
      </c>
      <c r="N77" s="104">
        <f>+FEE_2_In!V75</f>
        <v>2391.7305921909333</v>
      </c>
      <c r="O77" s="61">
        <f>+FEE_2_In!Y75</f>
        <v>103.34389850470022</v>
      </c>
      <c r="P77" s="61">
        <f>+FEE_3_In!H75</f>
        <v>14538.473037033335</v>
      </c>
      <c r="Q77" s="61">
        <f>+FEE_3_In!S75</f>
        <v>13075.984678379938</v>
      </c>
      <c r="R77" s="61">
        <f>+FEE_3_In!V75</f>
        <v>1399.650172916804</v>
      </c>
      <c r="S77" s="61">
        <f>+FEE_3_In!Y75</f>
        <v>62.838185736592756</v>
      </c>
      <c r="T77" s="61">
        <f>+FEE_4_In!H75</f>
        <v>13647.286914952239</v>
      </c>
      <c r="U77" s="61">
        <f>+FEE_4_In!S75</f>
        <v>11357.065687172902</v>
      </c>
      <c r="V77" s="61">
        <f>+FEE_4_In!V75</f>
        <v>2229.9794684758363</v>
      </c>
      <c r="W77" s="61">
        <f>+FEE_4_In!Y75</f>
        <v>60.241759303500245</v>
      </c>
      <c r="X77" s="61">
        <f>FEE_1_In!$H75</f>
        <v>12288.16451390074</v>
      </c>
      <c r="Y77" s="61">
        <f>+FEE_1_Out!S75</f>
        <v>10651.409707705019</v>
      </c>
      <c r="Z77" s="61">
        <f>+FEE_1_Out!V75</f>
        <v>834.31158566144086</v>
      </c>
      <c r="AA77" s="61">
        <f>+FEE_1_Out!Y75</f>
        <v>154.32104681047778</v>
      </c>
      <c r="AB77" s="61">
        <f>+FEE_2_Out!H75</f>
        <v>12744.504576921881</v>
      </c>
      <c r="AC77" s="61">
        <f>+FEE_2_Out!S75</f>
        <v>12034.734607306442</v>
      </c>
      <c r="AD77" s="61">
        <f>+FEE_2_Out!V75</f>
        <v>610.40236361640416</v>
      </c>
      <c r="AE77" s="61">
        <f>+FEE_2_Out!Y75</f>
        <v>99.367605999035462</v>
      </c>
      <c r="AF77" s="61">
        <f>+FEE_3_Out!H75</f>
        <v>14053.077991632959</v>
      </c>
      <c r="AG77" s="61">
        <f>+FEE_3_Out!S75</f>
        <v>13387.191704960722</v>
      </c>
      <c r="AH77" s="61">
        <f>+FEE_3_Out!V75</f>
        <v>607.86291640947559</v>
      </c>
      <c r="AI77" s="61">
        <f>+FEE_3_Out!Y75</f>
        <v>58.023370262761055</v>
      </c>
      <c r="AJ77" s="61">
        <f>+FEE_4_Out!H75</f>
        <v>14724.584972408742</v>
      </c>
      <c r="AK77" s="61">
        <f>+FEE_4_Out!S75</f>
        <v>13788.29975175807</v>
      </c>
      <c r="AL77" s="61">
        <f>+FEE_4_Out!V75</f>
        <v>881.62988873932886</v>
      </c>
      <c r="AM77" s="61">
        <f>+FEE_4_Out!Y75</f>
        <v>54.655331911341918</v>
      </c>
    </row>
    <row r="78" spans="2:39" s="20" customFormat="1" x14ac:dyDescent="0.25">
      <c r="B78" s="55">
        <f>ITE_LUC_Rates!B59</f>
        <v>710</v>
      </c>
      <c r="C78" s="56" t="str">
        <f>ITE_LUC_Rates!C59</f>
        <v>600,001 - 700,000</v>
      </c>
      <c r="D78" s="57" t="str">
        <f>ITE_LUC_Rates!D59</f>
        <v>1000 GSF</v>
      </c>
      <c r="E78" s="129">
        <f>ITE_LUC_Rates!H59</f>
        <v>10.031105639143441</v>
      </c>
      <c r="F78" s="58" t="s">
        <v>71</v>
      </c>
      <c r="G78" s="104">
        <f>ITE_LUC_Rates!Q59</f>
        <v>8475.6</v>
      </c>
      <c r="H78" s="104">
        <f>FEE_1_In!$H76</f>
        <v>12226.734931163573</v>
      </c>
      <c r="I78" s="104">
        <f>+FEE_1_In!S76</f>
        <v>8980.7305664832638</v>
      </c>
      <c r="J78" s="104">
        <f>+FEE_1_In!V76</f>
        <v>3054.1220432961859</v>
      </c>
      <c r="K78" s="104">
        <f>+FEE_1_In!Y76</f>
        <v>191.88232138412425</v>
      </c>
      <c r="L78" s="104">
        <f>+FEE_2_In!H76</f>
        <v>14542.54790518007</v>
      </c>
      <c r="M78" s="104">
        <f>+FEE_2_In!S76</f>
        <v>12059.94650472409</v>
      </c>
      <c r="N78" s="104">
        <f>+FEE_2_In!V76</f>
        <v>2379.7741269164162</v>
      </c>
      <c r="O78" s="61">
        <f>+FEE_2_In!Y76</f>
        <v>102.82727353956452</v>
      </c>
      <c r="P78" s="61">
        <f>+FEE_3_In!H76</f>
        <v>14465.79397000992</v>
      </c>
      <c r="Q78" s="61">
        <f>+FEE_3_In!S76</f>
        <v>13010.616715429749</v>
      </c>
      <c r="R78" s="61">
        <f>+FEE_3_In!V76</f>
        <v>1392.6532022949493</v>
      </c>
      <c r="S78" s="61">
        <f>+FEE_3_In!Y76</f>
        <v>62.524052285222304</v>
      </c>
      <c r="T78" s="61">
        <f>+FEE_4_In!H76</f>
        <v>13579.062963382292</v>
      </c>
      <c r="U78" s="61">
        <f>+FEE_4_In!S76</f>
        <v>11300.290746904777</v>
      </c>
      <c r="V78" s="61">
        <f>+FEE_4_In!V76</f>
        <v>2218.8316108681393</v>
      </c>
      <c r="W78" s="61">
        <f>+FEE_4_In!Y76</f>
        <v>59.940605609376057</v>
      </c>
      <c r="X78" s="61">
        <f>FEE_1_In!$H76</f>
        <v>12226.734931163573</v>
      </c>
      <c r="Y78" s="61">
        <f>+FEE_1_Out!S76</f>
        <v>10598.162401879419</v>
      </c>
      <c r="Z78" s="61">
        <f>+FEE_1_Out!V76</f>
        <v>830.14079086763843</v>
      </c>
      <c r="AA78" s="61">
        <f>+FEE_1_Out!Y76</f>
        <v>153.54958273198125</v>
      </c>
      <c r="AB78" s="61">
        <f>+FEE_2_Out!H76</f>
        <v>12680.793711278226</v>
      </c>
      <c r="AC78" s="61">
        <f>+FEE_2_Out!S76</f>
        <v>11974.571942293038</v>
      </c>
      <c r="AD78" s="61">
        <f>+FEE_2_Out!V76</f>
        <v>607.35091012582643</v>
      </c>
      <c r="AE78" s="61">
        <f>+FEE_2_Out!Y76</f>
        <v>98.870858859362428</v>
      </c>
      <c r="AF78" s="61">
        <f>+FEE_3_Out!H76</f>
        <v>13982.825455851696</v>
      </c>
      <c r="AG78" s="61">
        <f>+FEE_3_Out!S76</f>
        <v>13320.267991534856</v>
      </c>
      <c r="AH78" s="61">
        <f>+FEE_3_Out!V76</f>
        <v>604.82415783213139</v>
      </c>
      <c r="AI78" s="61">
        <f>+FEE_3_Out!Y76</f>
        <v>57.733306484707512</v>
      </c>
      <c r="AJ78" s="61">
        <f>+FEE_4_Out!H76</f>
        <v>14650.975515942742</v>
      </c>
      <c r="AK78" s="61">
        <f>+FEE_4_Out!S76</f>
        <v>13719.370864986797</v>
      </c>
      <c r="AL78" s="61">
        <f>+FEE_4_Out!V76</f>
        <v>877.22254571160454</v>
      </c>
      <c r="AM78" s="61">
        <f>+FEE_4_Out!Y76</f>
        <v>54.382105244342377</v>
      </c>
    </row>
    <row r="79" spans="2:39" s="20" customFormat="1" x14ac:dyDescent="0.25">
      <c r="B79" s="55">
        <f>ITE_LUC_Rates!B60</f>
        <v>710</v>
      </c>
      <c r="C79" s="56" t="str">
        <f>ITE_LUC_Rates!C60</f>
        <v>700,001 - more</v>
      </c>
      <c r="D79" s="57" t="str">
        <f>ITE_LUC_Rates!D60</f>
        <v>1000 GSF</v>
      </c>
      <c r="E79" s="129">
        <f>ITE_LUC_Rates!H60</f>
        <v>9.9688142805499087</v>
      </c>
      <c r="F79" s="58" t="s">
        <v>71</v>
      </c>
      <c r="G79" s="104">
        <f>ITE_LUC_Rates!Q60</f>
        <v>8218.2999999999993</v>
      </c>
      <c r="H79" s="104">
        <f>FEE_1_In!$H77</f>
        <v>12150.809110279664</v>
      </c>
      <c r="I79" s="104">
        <f>+FEE_1_In!S77</f>
        <v>8924.961847832179</v>
      </c>
      <c r="J79" s="104">
        <f>+FEE_1_In!V77</f>
        <v>3035.1564957054002</v>
      </c>
      <c r="K79" s="104">
        <f>+FEE_1_In!Y77</f>
        <v>190.69076674208594</v>
      </c>
      <c r="L79" s="104">
        <f>+FEE_2_In!H77</f>
        <v>14452.241302995535</v>
      </c>
      <c r="M79" s="104">
        <f>+FEE_2_In!S77</f>
        <v>11985.056409916084</v>
      </c>
      <c r="N79" s="104">
        <f>+FEE_2_In!V77</f>
        <v>2364.996158380934</v>
      </c>
      <c r="O79" s="61">
        <f>+FEE_2_In!Y77</f>
        <v>102.18873469851654</v>
      </c>
      <c r="P79" s="61">
        <f>+FEE_3_In!H77</f>
        <v>14375.963995933107</v>
      </c>
      <c r="Q79" s="61">
        <f>+FEE_3_In!S77</f>
        <v>12929.823129907005</v>
      </c>
      <c r="R79" s="61">
        <f>+FEE_3_In!V77</f>
        <v>1384.005076839858</v>
      </c>
      <c r="S79" s="61">
        <f>+FEE_3_In!Y77</f>
        <v>62.135789186245304</v>
      </c>
      <c r="T79" s="61">
        <f>+FEE_4_In!H77</f>
        <v>13494.739429083593</v>
      </c>
      <c r="U79" s="61">
        <f>+FEE_4_In!S77</f>
        <v>11230.117977476468</v>
      </c>
      <c r="V79" s="61">
        <f>+FEE_4_In!V77</f>
        <v>2205.0530663583586</v>
      </c>
      <c r="W79" s="61">
        <f>+FEE_4_In!Y77</f>
        <v>59.568385248765253</v>
      </c>
      <c r="X79" s="61">
        <f>FEE_1_In!$H77</f>
        <v>12150.809110279664</v>
      </c>
      <c r="Y79" s="61">
        <f>+FEE_1_Out!S77</f>
        <v>10532.34972296277</v>
      </c>
      <c r="Z79" s="61">
        <f>+FEE_1_Out!V77</f>
        <v>824.98576613285047</v>
      </c>
      <c r="AA79" s="61">
        <f>+FEE_1_Out!Y77</f>
        <v>152.5960674900999</v>
      </c>
      <c r="AB79" s="61">
        <f>+FEE_2_Out!H77</f>
        <v>12602.048267183065</v>
      </c>
      <c r="AC79" s="61">
        <f>+FEE_2_Out!S77</f>
        <v>11900.212008134762</v>
      </c>
      <c r="AD79" s="61">
        <f>+FEE_2_Out!V77</f>
        <v>603.57937040769957</v>
      </c>
      <c r="AE79" s="61">
        <f>+FEE_2_Out!Y77</f>
        <v>98.256888640603492</v>
      </c>
      <c r="AF79" s="61">
        <f>+FEE_3_Out!H77</f>
        <v>13895.994629225526</v>
      </c>
      <c r="AG79" s="61">
        <f>+FEE_3_Out!S77</f>
        <v>13237.551527381109</v>
      </c>
      <c r="AH79" s="61">
        <f>+FEE_3_Out!V77</f>
        <v>601.068308790473</v>
      </c>
      <c r="AI79" s="61">
        <f>+FEE_3_Out!Y77</f>
        <v>57.374793053945133</v>
      </c>
      <c r="AJ79" s="61">
        <f>+FEE_4_Out!H77</f>
        <v>14559.995597832083</v>
      </c>
      <c r="AK79" s="61">
        <f>+FEE_4_Out!S77</f>
        <v>13634.176043900103</v>
      </c>
      <c r="AL79" s="61">
        <f>+FEE_4_Out!V77</f>
        <v>871.77515176252439</v>
      </c>
      <c r="AM79" s="61">
        <f>+FEE_4_Out!Y77</f>
        <v>54.044402169456227</v>
      </c>
    </row>
    <row r="80" spans="2:39" s="20" customFormat="1" x14ac:dyDescent="0.25">
      <c r="B80" s="134">
        <f>ITE_LUC_Rates!B61</f>
        <v>712</v>
      </c>
      <c r="C80" s="135" t="str">
        <f>ITE_LUC_Rates!C61</f>
        <v>Small Office Building</v>
      </c>
      <c r="D80" s="232" t="str">
        <f>ITE_LUC_Rates!D61</f>
        <v>1000 GSF</v>
      </c>
      <c r="E80" s="233">
        <f>ITE_LUC_Rates!H61</f>
        <v>16.190000000000001</v>
      </c>
      <c r="F80" s="136" t="s">
        <v>71</v>
      </c>
      <c r="G80" s="137">
        <f>ITE_LUC_Rates!Q61</f>
        <v>0</v>
      </c>
      <c r="H80" s="104">
        <f>FEE_1_In!$H78</f>
        <v>19733.700915589336</v>
      </c>
      <c r="I80" s="104">
        <f>+FEE_1_In!S78</f>
        <v>14494.716046453641</v>
      </c>
      <c r="J80" s="104">
        <f>+FEE_1_In!V78</f>
        <v>4929.2907142773829</v>
      </c>
      <c r="K80" s="104">
        <f>+FEE_1_In!Y78</f>
        <v>309.69415485831155</v>
      </c>
      <c r="L80" s="104">
        <f>+FEE_2_In!H78</f>
        <v>23471.375843766906</v>
      </c>
      <c r="M80" s="104">
        <f>+FEE_2_In!S78</f>
        <v>19464.507795588874</v>
      </c>
      <c r="N80" s="104">
        <f>+FEE_2_In!V78</f>
        <v>3840.9069249984236</v>
      </c>
      <c r="O80" s="61">
        <f>+FEE_2_In!Y78</f>
        <v>165.96112317960842</v>
      </c>
      <c r="P80" s="61">
        <f>+FEE_3_In!H78</f>
        <v>23347.496557165072</v>
      </c>
      <c r="Q80" s="61">
        <f>+FEE_3_In!S78</f>
        <v>20998.870134598088</v>
      </c>
      <c r="R80" s="61">
        <f>+FEE_3_In!V78</f>
        <v>2247.7138768404525</v>
      </c>
      <c r="S80" s="61">
        <f>+FEE_3_In!Y78</f>
        <v>100.91254572653337</v>
      </c>
      <c r="T80" s="61">
        <f>+FEE_4_In!H78</f>
        <v>21916.330790025651</v>
      </c>
      <c r="U80" s="61">
        <f>+FEE_4_In!S78</f>
        <v>18238.438889375575</v>
      </c>
      <c r="V80" s="61">
        <f>+FEE_4_In!V78</f>
        <v>3581.1489851902948</v>
      </c>
      <c r="W80" s="61">
        <f>+FEE_4_In!Y78</f>
        <v>96.742915459782196</v>
      </c>
      <c r="X80" s="61">
        <f>FEE_1_In!$H78</f>
        <v>19733.700915589336</v>
      </c>
      <c r="Y80" s="61">
        <f>+FEE_1_Out!S78</f>
        <v>17105.21805461511</v>
      </c>
      <c r="Z80" s="61">
        <f>+FEE_1_Out!V78</f>
        <v>1339.8303125930104</v>
      </c>
      <c r="AA80" s="61">
        <f>+FEE_1_Out!Y78</f>
        <v>247.82589615346262</v>
      </c>
      <c r="AB80" s="61">
        <f>+FEE_2_Out!H78</f>
        <v>20466.542529914514</v>
      </c>
      <c r="AC80" s="61">
        <f>+FEE_2_Out!S78</f>
        <v>19326.714992334466</v>
      </c>
      <c r="AD80" s="61">
        <f>+FEE_2_Out!V78</f>
        <v>980.25198703587512</v>
      </c>
      <c r="AE80" s="61">
        <f>+FEE_2_Out!Y78</f>
        <v>159.57555054417347</v>
      </c>
      <c r="AF80" s="61">
        <f>+FEE_3_Out!H78</f>
        <v>22567.995221468904</v>
      </c>
      <c r="AG80" s="61">
        <f>+FEE_3_Out!S78</f>
        <v>21498.640981450593</v>
      </c>
      <c r="AH80" s="61">
        <f>+FEE_3_Out!V78</f>
        <v>976.17386034610229</v>
      </c>
      <c r="AI80" s="61">
        <f>+FEE_3_Out!Y78</f>
        <v>93.180379672208204</v>
      </c>
      <c r="AJ80" s="61">
        <f>+FEE_4_Out!H78</f>
        <v>23646.375797051969</v>
      </c>
      <c r="AK80" s="61">
        <f>+FEE_4_Out!S78</f>
        <v>22142.784882794116</v>
      </c>
      <c r="AL80" s="61">
        <f>+FEE_4_Out!V78</f>
        <v>1415.8193050675127</v>
      </c>
      <c r="AM80" s="61">
        <f>+FEE_4_Out!Y78</f>
        <v>87.771609190338935</v>
      </c>
    </row>
    <row r="81" spans="2:39" s="20" customFormat="1" x14ac:dyDescent="0.25">
      <c r="B81" s="134">
        <f>ITE_LUC_Rates!B62</f>
        <v>714</v>
      </c>
      <c r="C81" s="135" t="str">
        <f>ITE_LUC_Rates!C62</f>
        <v>Corporate Headquarters Buildings</v>
      </c>
      <c r="D81" s="232" t="str">
        <f>ITE_LUC_Rates!D62</f>
        <v>1000 GSF</v>
      </c>
      <c r="E81" s="233">
        <f>ITE_LUC_Rates!H62</f>
        <v>7.95</v>
      </c>
      <c r="F81" s="136" t="s">
        <v>71</v>
      </c>
      <c r="G81" s="137">
        <f>ITE_LUC_Rates!Q62</f>
        <v>0</v>
      </c>
      <c r="H81" s="104">
        <f>FEE_1_In!$H79</f>
        <v>9690.1125558329331</v>
      </c>
      <c r="I81" s="104">
        <f>+FEE_1_In!S79</f>
        <v>7117.5412334346156</v>
      </c>
      <c r="J81" s="104">
        <f>+FEE_1_In!V79</f>
        <v>2420.4979109638784</v>
      </c>
      <c r="K81" s="104">
        <f>+FEE_1_In!Y79</f>
        <v>152.07341143443958</v>
      </c>
      <c r="L81" s="104">
        <f>+FEE_2_In!H79</f>
        <v>11525.474858427851</v>
      </c>
      <c r="M81" s="104">
        <f>+FEE_2_In!S79</f>
        <v>9557.926928655439</v>
      </c>
      <c r="N81" s="104">
        <f>+FEE_2_In!V79</f>
        <v>1886.0537401937904</v>
      </c>
      <c r="O81" s="61">
        <f>+FEE_2_In!Y79</f>
        <v>81.4941895786218</v>
      </c>
      <c r="P81" s="61">
        <f>+FEE_3_In!H79</f>
        <v>11464.6446960755</v>
      </c>
      <c r="Q81" s="61">
        <f>+FEE_3_In!S79</f>
        <v>10311.366125389426</v>
      </c>
      <c r="R81" s="61">
        <f>+FEE_3_In!V79</f>
        <v>1103.7260852922543</v>
      </c>
      <c r="S81" s="61">
        <f>+FEE_3_In!Y79</f>
        <v>49.552485393819659</v>
      </c>
      <c r="T81" s="61">
        <f>+FEE_4_In!H79</f>
        <v>10761.879541735882</v>
      </c>
      <c r="U81" s="61">
        <f>+FEE_4_In!S79</f>
        <v>8955.8733273956641</v>
      </c>
      <c r="V81" s="61">
        <f>+FEE_4_In!V79</f>
        <v>1758.5012002633014</v>
      </c>
      <c r="W81" s="61">
        <f>+FEE_4_In!Y79</f>
        <v>47.505014076915913</v>
      </c>
      <c r="X81" s="61">
        <f>FEE_1_In!$H79</f>
        <v>9690.1125558329331</v>
      </c>
      <c r="Y81" s="61">
        <f>+FEE_1_Out!S79</f>
        <v>8399.4122010000083</v>
      </c>
      <c r="Z81" s="61">
        <f>+FEE_1_Out!V79</f>
        <v>657.91544071120643</v>
      </c>
      <c r="AA81" s="61">
        <f>+FEE_1_Out!Y79</f>
        <v>121.69338322544955</v>
      </c>
      <c r="AB81" s="61">
        <f>+FEE_2_Out!H79</f>
        <v>10049.969926672044</v>
      </c>
      <c r="AC81" s="61">
        <f>+FEE_2_Out!S79</f>
        <v>9490.2646194600984</v>
      </c>
      <c r="AD81" s="61">
        <f>+FEE_2_Out!V79</f>
        <v>481.34671383169899</v>
      </c>
      <c r="AE81" s="61">
        <f>+FEE_2_Out!Y79</f>
        <v>78.358593380245779</v>
      </c>
      <c r="AF81" s="61">
        <f>+FEE_3_Out!H79</f>
        <v>11081.875355817034</v>
      </c>
      <c r="AG81" s="61">
        <f>+FEE_3_Out!S79</f>
        <v>10556.775528260172</v>
      </c>
      <c r="AH81" s="61">
        <f>+FEE_3_Out!V79</f>
        <v>479.34417478391072</v>
      </c>
      <c r="AI81" s="61">
        <f>+FEE_3_Out!Y79</f>
        <v>45.755652772949681</v>
      </c>
      <c r="AJ81" s="61">
        <f>+FEE_4_Out!H79</f>
        <v>11611.407509979197</v>
      </c>
      <c r="AK81" s="61">
        <f>+FEE_4_Out!S79</f>
        <v>10873.078432255299</v>
      </c>
      <c r="AL81" s="61">
        <f>+FEE_4_Out!V79</f>
        <v>695.22936845501715</v>
      </c>
      <c r="AM81" s="61">
        <f>+FEE_4_Out!Y79</f>
        <v>43.099709268881682</v>
      </c>
    </row>
    <row r="82" spans="2:39" s="20" customFormat="1" x14ac:dyDescent="0.25">
      <c r="B82" s="134">
        <f>ITE_LUC_Rates!B63</f>
        <v>715</v>
      </c>
      <c r="C82" s="135" t="str">
        <f>ITE_LUC_Rates!C63</f>
        <v>Single Tenant Office Building</v>
      </c>
      <c r="D82" s="232" t="str">
        <f>ITE_LUC_Rates!D63</f>
        <v>1000 GSF</v>
      </c>
      <c r="E82" s="233">
        <f>ITE_LUC_Rates!H63</f>
        <v>11.25</v>
      </c>
      <c r="F82" s="136" t="s">
        <v>71</v>
      </c>
      <c r="G82" s="137">
        <f>ITE_LUC_Rates!Q63</f>
        <v>0</v>
      </c>
      <c r="H82" s="104">
        <f>FEE_1_In!$H80</f>
        <v>13712.423428065475</v>
      </c>
      <c r="I82" s="104">
        <f>+FEE_1_In!S80</f>
        <v>10071.992311464081</v>
      </c>
      <c r="J82" s="104">
        <f>+FEE_1_In!V80</f>
        <v>3425.2328928734128</v>
      </c>
      <c r="K82" s="104">
        <f>+FEE_1_In!Y80</f>
        <v>215.19822372798055</v>
      </c>
      <c r="L82" s="104">
        <f>+FEE_2_In!H80</f>
        <v>16309.634233624314</v>
      </c>
      <c r="M82" s="104">
        <f>+FEE_2_In!S80</f>
        <v>13525.368295267128</v>
      </c>
      <c r="N82" s="104">
        <f>+FEE_2_In!V80</f>
        <v>2668.9439719723446</v>
      </c>
      <c r="O82" s="61">
        <f>+FEE_2_In!Y80</f>
        <v>115.32196638484217</v>
      </c>
      <c r="P82" s="61">
        <f>+FEE_3_In!H80</f>
        <v>16223.553815201176</v>
      </c>
      <c r="Q82" s="61">
        <f>+FEE_3_In!S80</f>
        <v>14591.555837815224</v>
      </c>
      <c r="R82" s="61">
        <f>+FEE_3_In!V80</f>
        <v>1561.8765357909258</v>
      </c>
      <c r="S82" s="61">
        <f>+FEE_3_In!Y80</f>
        <v>70.121441595027804</v>
      </c>
      <c r="T82" s="61">
        <f>+FEE_4_In!H80</f>
        <v>15229.074823211151</v>
      </c>
      <c r="U82" s="61">
        <f>+FEE_4_In!S80</f>
        <v>12673.405651974994</v>
      </c>
      <c r="V82" s="61">
        <f>+FEE_4_In!V80</f>
        <v>2488.4450947122186</v>
      </c>
      <c r="W82" s="61">
        <f>+FEE_4_In!Y80</f>
        <v>67.224076523937612</v>
      </c>
      <c r="X82" s="61">
        <f>FEE_1_In!$H80</f>
        <v>13712.423428065475</v>
      </c>
      <c r="Y82" s="61">
        <f>+FEE_1_Out!S80</f>
        <v>11885.960661792466</v>
      </c>
      <c r="Z82" s="61">
        <f>+FEE_1_Out!V80</f>
        <v>931.01241610076386</v>
      </c>
      <c r="AA82" s="61">
        <f>+FEE_1_Out!Y80</f>
        <v>172.20761777186254</v>
      </c>
      <c r="AB82" s="61">
        <f>+FEE_2_Out!H80</f>
        <v>14221.655556611378</v>
      </c>
      <c r="AC82" s="61">
        <f>+FEE_2_Out!S80</f>
        <v>13429.619744519005</v>
      </c>
      <c r="AD82" s="61">
        <f>+FEE_2_Out!V80</f>
        <v>681.15101013919673</v>
      </c>
      <c r="AE82" s="61">
        <f>+FEE_2_Out!Y80</f>
        <v>110.88480195317798</v>
      </c>
      <c r="AF82" s="61">
        <f>+FEE_3_Out!H80</f>
        <v>15681.89908842033</v>
      </c>
      <c r="AG82" s="61">
        <f>+FEE_3_Out!S80</f>
        <v>14938.833294707792</v>
      </c>
      <c r="AH82" s="61">
        <f>+FEE_3_Out!V80</f>
        <v>678.31722846779815</v>
      </c>
      <c r="AI82" s="61">
        <f>+FEE_3_Out!Y80</f>
        <v>64.748565244740107</v>
      </c>
      <c r="AJ82" s="61">
        <f>+FEE_4_Out!H80</f>
        <v>16431.237042423389</v>
      </c>
      <c r="AK82" s="61">
        <f>+FEE_4_Out!S80</f>
        <v>15386.431743757495</v>
      </c>
      <c r="AL82" s="61">
        <f>+FEE_4_Out!V80</f>
        <v>983.81514404011841</v>
      </c>
      <c r="AM82" s="61">
        <f>+FEE_4_Out!Y80</f>
        <v>60.990154625775979</v>
      </c>
    </row>
    <row r="83" spans="2:39" s="20" customFormat="1" x14ac:dyDescent="0.25">
      <c r="B83" s="55">
        <f>ITE_LUC_Rates!B64</f>
        <v>720</v>
      </c>
      <c r="C83" s="56" t="str">
        <f>ITE_LUC_Rates!C64</f>
        <v>Medical Office Building</v>
      </c>
      <c r="D83" s="57" t="str">
        <f>ITE_LUC_Rates!D64</f>
        <v>1000 GSF</v>
      </c>
      <c r="E83" s="129">
        <f>ITE_LUC_Rates!H64</f>
        <v>34.799999999999997</v>
      </c>
      <c r="F83" s="58" t="s">
        <v>71</v>
      </c>
      <c r="G83" s="104">
        <f>ITE_LUC_Rates!Q64</f>
        <v>35910.699999999997</v>
      </c>
      <c r="H83" s="104">
        <f>FEE_1_In!$H81</f>
        <v>12350.958807962796</v>
      </c>
      <c r="I83" s="104">
        <f>+FEE_1_In!S81</f>
        <v>9071.9749725932143</v>
      </c>
      <c r="J83" s="104">
        <f>+FEE_1_In!V81</f>
        <v>3085.151985678368</v>
      </c>
      <c r="K83" s="104">
        <f>+FEE_1_In!Y81</f>
        <v>193.83184969121265</v>
      </c>
      <c r="L83" s="104">
        <f>+FEE_2_In!H81</f>
        <v>14690.300489127512</v>
      </c>
      <c r="M83" s="104">
        <f>+FEE_2_In!S81</f>
        <v>12182.475807701747</v>
      </c>
      <c r="N83" s="104">
        <f>+FEE_2_In!V81</f>
        <v>2403.9526806853823</v>
      </c>
      <c r="O83" s="61">
        <f>+FEE_2_In!Y81</f>
        <v>103.87200074038253</v>
      </c>
      <c r="P83" s="61">
        <f>+FEE_3_In!H81</f>
        <v>14612.766732407286</v>
      </c>
      <c r="Q83" s="61">
        <f>+FEE_3_In!S81</f>
        <v>13142.804847178644</v>
      </c>
      <c r="R83" s="61">
        <f>+FEE_3_In!V81</f>
        <v>1406.8025872942908</v>
      </c>
      <c r="S83" s="61">
        <f>+FEE_3_In!Y81</f>
        <v>63.159297934350683</v>
      </c>
      <c r="T83" s="61">
        <f>+FEE_4_In!H81</f>
        <v>13717.026520628688</v>
      </c>
      <c r="U83" s="61">
        <f>+FEE_4_In!S81</f>
        <v>11415.101931856614</v>
      </c>
      <c r="V83" s="61">
        <f>+FEE_4_In!V81</f>
        <v>2241.3749853845993</v>
      </c>
      <c r="W83" s="61">
        <f>+FEE_4_In!Y81</f>
        <v>60.549603387475535</v>
      </c>
      <c r="X83" s="61">
        <f>FEE_1_In!$H81</f>
        <v>12350.958807962796</v>
      </c>
      <c r="Y83" s="61">
        <f>+FEE_1_Out!S81</f>
        <v>10705.839948495204</v>
      </c>
      <c r="Z83" s="61">
        <f>+FEE_1_Out!V81</f>
        <v>838.57503826985442</v>
      </c>
      <c r="AA83" s="61">
        <f>+FEE_1_Out!Y81</f>
        <v>155.10964963089242</v>
      </c>
      <c r="AB83" s="61">
        <f>+FEE_2_Out!H81</f>
        <v>12809.630834563786</v>
      </c>
      <c r="AC83" s="61">
        <f>+FEE_2_Out!S81</f>
        <v>12096.233837971451</v>
      </c>
      <c r="AD83" s="61">
        <f>+FEE_2_Out!V81</f>
        <v>613.5216077861694</v>
      </c>
      <c r="AE83" s="61">
        <f>+FEE_2_Out!Y81</f>
        <v>99.875388806165631</v>
      </c>
      <c r="AF83" s="61">
        <f>+FEE_3_Out!H81</f>
        <v>14124.89124827396</v>
      </c>
      <c r="AG83" s="61">
        <f>+FEE_3_Out!S81</f>
        <v>13455.602186577846</v>
      </c>
      <c r="AH83" s="61">
        <f>+FEE_3_Out!V81</f>
        <v>610.96918363752707</v>
      </c>
      <c r="AI83" s="61">
        <f>+FEE_3_Out!Y81</f>
        <v>58.319878058586021</v>
      </c>
      <c r="AJ83" s="61">
        <f>+FEE_4_Out!H81</f>
        <v>14799.829726631653</v>
      </c>
      <c r="AK83" s="61">
        <f>+FEE_4_Out!S81</f>
        <v>13858.759953381203</v>
      </c>
      <c r="AL83" s="61">
        <f>+FEE_4_Out!V81</f>
        <v>886.13514470532505</v>
      </c>
      <c r="AM83" s="61">
        <f>+FEE_4_Out!Y81</f>
        <v>54.934628545124582</v>
      </c>
    </row>
    <row r="84" spans="2:39" s="20" customFormat="1" x14ac:dyDescent="0.25">
      <c r="B84" s="134">
        <f>ITE_LUC_Rates!B65</f>
        <v>730</v>
      </c>
      <c r="C84" s="135" t="str">
        <f>ITE_LUC_Rates!C65</f>
        <v>Government Office Building</v>
      </c>
      <c r="D84" s="232" t="str">
        <f>ITE_LUC_Rates!D65</f>
        <v>1000 GSF</v>
      </c>
      <c r="E84" s="233">
        <f>ITE_LUC_Rates!H65</f>
        <v>22.59</v>
      </c>
      <c r="F84" s="136" t="s">
        <v>71</v>
      </c>
      <c r="G84" s="137">
        <f>ITE_LUC_Rates!Q65</f>
        <v>0</v>
      </c>
      <c r="H84" s="104">
        <f>FEE_1_In!$H82</f>
        <v>27534.546243555465</v>
      </c>
      <c r="I84" s="104">
        <f>+FEE_1_In!S82</f>
        <v>20224.560561419868</v>
      </c>
      <c r="J84" s="104">
        <f>+FEE_1_In!V82</f>
        <v>6877.8676488898127</v>
      </c>
      <c r="K84" s="104">
        <f>+FEE_1_In!Y82</f>
        <v>432.11803324578489</v>
      </c>
      <c r="L84" s="104">
        <f>+FEE_2_In!H82</f>
        <v>32749.745541117623</v>
      </c>
      <c r="M84" s="104">
        <f>+FEE_2_In!S82</f>
        <v>27158.939536896392</v>
      </c>
      <c r="N84" s="104">
        <f>+FEE_2_In!V82</f>
        <v>5359.2394957204679</v>
      </c>
      <c r="O84" s="61">
        <f>+FEE_2_In!Y82</f>
        <v>231.56650850076304</v>
      </c>
      <c r="P84" s="61">
        <f>+FEE_3_In!H82</f>
        <v>32576.896060923966</v>
      </c>
      <c r="Q84" s="61">
        <f>+FEE_3_In!S82</f>
        <v>29299.844122332968</v>
      </c>
      <c r="R84" s="61">
        <f>+FEE_3_In!V82</f>
        <v>3136.248083868179</v>
      </c>
      <c r="S84" s="61">
        <f>+FEE_3_In!Y82</f>
        <v>140.80385472281583</v>
      </c>
      <c r="T84" s="61">
        <f>+FEE_4_In!H82</f>
        <v>30579.982245007992</v>
      </c>
      <c r="U84" s="61">
        <f>+FEE_4_In!S82</f>
        <v>25448.198549165791</v>
      </c>
      <c r="V84" s="61">
        <f>+FEE_4_In!V82</f>
        <v>4996.7977501821342</v>
      </c>
      <c r="W84" s="61">
        <f>+FEE_4_In!Y82</f>
        <v>134.9859456600667</v>
      </c>
      <c r="X84" s="61">
        <f>FEE_1_In!$H82</f>
        <v>27534.546243555465</v>
      </c>
      <c r="Y84" s="61">
        <f>+FEE_1_Out!S82</f>
        <v>23867.009008879264</v>
      </c>
      <c r="Z84" s="61">
        <f>+FEE_1_Out!V82</f>
        <v>1869.4729315303334</v>
      </c>
      <c r="AA84" s="61">
        <f>+FEE_1_Out!Y82</f>
        <v>345.79289648589997</v>
      </c>
      <c r="AB84" s="61">
        <f>+FEE_2_Out!H82</f>
        <v>28557.084357675649</v>
      </c>
      <c r="AC84" s="61">
        <f>+FEE_2_Out!S82</f>
        <v>26966.676446994163</v>
      </c>
      <c r="AD84" s="61">
        <f>+FEE_2_Out!V82</f>
        <v>1367.7512283595067</v>
      </c>
      <c r="AE84" s="61">
        <f>+FEE_2_Out!Y82</f>
        <v>222.65668232198135</v>
      </c>
      <c r="AF84" s="61">
        <f>+FEE_3_Out!H82</f>
        <v>31489.253369548016</v>
      </c>
      <c r="AG84" s="61">
        <f>+FEE_3_Out!S82</f>
        <v>29997.17725577324</v>
      </c>
      <c r="AH84" s="61">
        <f>+FEE_3_Out!V82</f>
        <v>1362.0609947633386</v>
      </c>
      <c r="AI84" s="61">
        <f>+FEE_3_Out!Y82</f>
        <v>130.01511901143812</v>
      </c>
      <c r="AJ84" s="61">
        <f>+FEE_4_Out!H82</f>
        <v>32993.923981186163</v>
      </c>
      <c r="AK84" s="61">
        <f>+FEE_4_Out!S82</f>
        <v>30895.954941465046</v>
      </c>
      <c r="AL84" s="61">
        <f>+FEE_4_Out!V82</f>
        <v>1975.5008092325577</v>
      </c>
      <c r="AM84" s="61">
        <f>+FEE_4_Out!Y82</f>
        <v>122.46823048855813</v>
      </c>
    </row>
    <row r="85" spans="2:39" s="20" customFormat="1" x14ac:dyDescent="0.25">
      <c r="B85" s="134">
        <f>ITE_LUC_Rates!B66</f>
        <v>731</v>
      </c>
      <c r="C85" s="135" t="str">
        <f>ITE_LUC_Rates!C66</f>
        <v>State Motor Vehicles Department</v>
      </c>
      <c r="D85" s="232" t="str">
        <f>ITE_LUC_Rates!D66</f>
        <v>1000 GSF</v>
      </c>
      <c r="E85" s="233">
        <f>ITE_LUC_Rates!H66</f>
        <v>11.21</v>
      </c>
      <c r="F85" s="136" t="s">
        <v>71</v>
      </c>
      <c r="G85" s="137">
        <f>ITE_LUC_Rates!Q66</f>
        <v>0</v>
      </c>
      <c r="H85" s="104">
        <f>FEE_1_In!$H83</f>
        <v>3978.5703516454873</v>
      </c>
      <c r="I85" s="104">
        <f>+FEE_1_In!S83</f>
        <v>2922.3229724933894</v>
      </c>
      <c r="J85" s="104">
        <f>+FEE_1_In!V83</f>
        <v>993.80901607627902</v>
      </c>
      <c r="K85" s="104">
        <f>+FEE_1_In!Y83</f>
        <v>62.438363075818806</v>
      </c>
      <c r="L85" s="104">
        <f>+FEE_2_In!H83</f>
        <v>4732.134151813777</v>
      </c>
      <c r="M85" s="104">
        <f>+FEE_2_In!S83</f>
        <v>3924.2975231131213</v>
      </c>
      <c r="N85" s="104">
        <f>+FEE_2_In!V83</f>
        <v>774.37671122078018</v>
      </c>
      <c r="O85" s="61">
        <f>+FEE_2_In!Y83</f>
        <v>33.459917479876111</v>
      </c>
      <c r="P85" s="61">
        <f>+FEE_3_In!H83</f>
        <v>4707.158479031199</v>
      </c>
      <c r="Q85" s="61">
        <f>+FEE_3_In!S83</f>
        <v>4233.6448947377194</v>
      </c>
      <c r="R85" s="61">
        <f>+FEE_3_In!V83</f>
        <v>453.16830470025866</v>
      </c>
      <c r="S85" s="61">
        <f>+FEE_3_In!Y83</f>
        <v>20.34527959322044</v>
      </c>
      <c r="T85" s="61">
        <f>+FEE_4_In!H83</f>
        <v>4418.6168763289543</v>
      </c>
      <c r="U85" s="61">
        <f>+FEE_4_In!S83</f>
        <v>3677.1061108078347</v>
      </c>
      <c r="V85" s="61">
        <f>+FEE_4_In!V83</f>
        <v>722.00613753337257</v>
      </c>
      <c r="W85" s="61">
        <f>+FEE_4_In!Y83</f>
        <v>19.504627987747156</v>
      </c>
      <c r="X85" s="61">
        <f>FEE_1_In!$H83</f>
        <v>3978.5703516454873</v>
      </c>
      <c r="Y85" s="61">
        <f>+FEE_1_Out!S83</f>
        <v>3448.6340753629679</v>
      </c>
      <c r="Z85" s="61">
        <f>+FEE_1_Out!V83</f>
        <v>270.12718905186978</v>
      </c>
      <c r="AA85" s="61">
        <f>+FEE_1_Out!Y83</f>
        <v>49.964918746043232</v>
      </c>
      <c r="AB85" s="61">
        <f>+FEE_2_Out!H83</f>
        <v>4126.3207372258639</v>
      </c>
      <c r="AC85" s="61">
        <f>+FEE_2_Out!S83</f>
        <v>3896.5167047028735</v>
      </c>
      <c r="AD85" s="61">
        <f>+FEE_2_Out!V83</f>
        <v>197.63152940468279</v>
      </c>
      <c r="AE85" s="61">
        <f>+FEE_2_Out!Y83</f>
        <v>32.172503118307965</v>
      </c>
      <c r="AF85" s="61">
        <f>+FEE_3_Out!H83</f>
        <v>4550.000887734227</v>
      </c>
      <c r="AG85" s="61">
        <f>+FEE_3_Out!S83</f>
        <v>4334.4051871131514</v>
      </c>
      <c r="AH85" s="61">
        <f>+FEE_3_Out!V83</f>
        <v>196.80932610852528</v>
      </c>
      <c r="AI85" s="61">
        <f>+FEE_3_Out!Y83</f>
        <v>18.786374512550271</v>
      </c>
      <c r="AJ85" s="61">
        <f>+FEE_4_Out!H83</f>
        <v>4767.4164148143927</v>
      </c>
      <c r="AK85" s="61">
        <f>+FEE_4_Out!S83</f>
        <v>4464.2729619943484</v>
      </c>
      <c r="AL85" s="61">
        <f>+FEE_4_Out!V83</f>
        <v>285.44755667088208</v>
      </c>
      <c r="AM85" s="61">
        <f>+FEE_4_Out!Y83</f>
        <v>17.695896149162259</v>
      </c>
    </row>
    <row r="86" spans="2:39" s="20" customFormat="1" x14ac:dyDescent="0.25">
      <c r="B86" s="134">
        <f>ITE_LUC_Rates!B67</f>
        <v>733</v>
      </c>
      <c r="C86" s="135" t="str">
        <f>ITE_LUC_Rates!C67</f>
        <v>Government Office Complex</v>
      </c>
      <c r="D86" s="232" t="str">
        <f>ITE_LUC_Rates!D67</f>
        <v>1000 GSF</v>
      </c>
      <c r="E86" s="233">
        <f>ITE_LUC_Rates!H67</f>
        <v>33.979999999999997</v>
      </c>
      <c r="F86" s="136" t="s">
        <v>71</v>
      </c>
      <c r="G86" s="137">
        <f>ITE_LUC_Rates!Q67</f>
        <v>0</v>
      </c>
      <c r="H86" s="104">
        <f>FEE_1_In!$H84</f>
        <v>41417.613163170201</v>
      </c>
      <c r="I86" s="104">
        <f>+FEE_1_In!S84</f>
        <v>30421.893221648839</v>
      </c>
      <c r="J86" s="104">
        <f>+FEE_1_In!V84</f>
        <v>10345.725662207871</v>
      </c>
      <c r="K86" s="104">
        <f>+FEE_1_In!Y84</f>
        <v>649.99427931349146</v>
      </c>
      <c r="L86" s="104">
        <f>+FEE_2_In!H84</f>
        <v>49262.344111871491</v>
      </c>
      <c r="M86" s="104">
        <f>+FEE_2_In!S84</f>
        <v>40852.623526504627</v>
      </c>
      <c r="N86" s="104">
        <f>+FEE_2_In!V84</f>
        <v>8061.396992677357</v>
      </c>
      <c r="O86" s="61">
        <f>+FEE_2_In!Y84</f>
        <v>348.32359268950552</v>
      </c>
      <c r="P86" s="61">
        <f>+FEE_3_In!H84</f>
        <v>49002.342990269863</v>
      </c>
      <c r="Q86" s="61">
        <f>+FEE_3_In!S84</f>
        <v>44072.983766129895</v>
      </c>
      <c r="R86" s="61">
        <f>+FEE_3_In!V84</f>
        <v>4717.5613054378364</v>
      </c>
      <c r="S86" s="61">
        <f>+FEE_3_In!Y84</f>
        <v>211.79791870213734</v>
      </c>
      <c r="T86" s="61">
        <f>+FEE_4_In!H84</f>
        <v>45998.574443796882</v>
      </c>
      <c r="U86" s="61">
        <f>+FEE_4_In!S84</f>
        <v>38279.317693698693</v>
      </c>
      <c r="V86" s="61">
        <f>+FEE_4_In!V84</f>
        <v>7516.2101616285499</v>
      </c>
      <c r="W86" s="61">
        <f>+FEE_4_In!Y84</f>
        <v>203.04658846963551</v>
      </c>
      <c r="X86" s="61">
        <f>FEE_1_In!$H84</f>
        <v>41417.613163170201</v>
      </c>
      <c r="Y86" s="61">
        <f>+FEE_1_Out!S84</f>
        <v>35900.883847796256</v>
      </c>
      <c r="Z86" s="61">
        <f>+FEE_1_Out!V84</f>
        <v>2812.0712799203507</v>
      </c>
      <c r="AA86" s="61">
        <f>+FEE_1_Out!Y84</f>
        <v>520.14354239003467</v>
      </c>
      <c r="AB86" s="61">
        <f>+FEE_2_Out!H84</f>
        <v>42955.72051676931</v>
      </c>
      <c r="AC86" s="61">
        <f>+FEE_2_Out!S84</f>
        <v>40563.42034833385</v>
      </c>
      <c r="AD86" s="61">
        <f>+FEE_2_Out!V84</f>
        <v>2057.3787844026579</v>
      </c>
      <c r="AE86" s="61">
        <f>+FEE_2_Out!Y84</f>
        <v>334.92138403279893</v>
      </c>
      <c r="AF86" s="61">
        <f>+FEE_3_Out!H84</f>
        <v>47366.304979957582</v>
      </c>
      <c r="AG86" s="61">
        <f>+FEE_3_Out!S84</f>
        <v>45121.916031481844</v>
      </c>
      <c r="AH86" s="61">
        <f>+FEE_3_Out!V84</f>
        <v>2048.8195042965135</v>
      </c>
      <c r="AI86" s="61">
        <f>+FEE_3_Out!Y84</f>
        <v>195.56944417922386</v>
      </c>
      <c r="AJ86" s="61">
        <f>+FEE_4_Out!H84</f>
        <v>49629.638640137491</v>
      </c>
      <c r="AK86" s="61">
        <f>+FEE_4_Out!S84</f>
        <v>46473.862280255969</v>
      </c>
      <c r="AL86" s="61">
        <f>+FEE_4_Out!V84</f>
        <v>2971.5589861762865</v>
      </c>
      <c r="AM86" s="61">
        <f>+FEE_4_Out!Y84</f>
        <v>184.21737370523266</v>
      </c>
    </row>
    <row r="87" spans="2:39" s="20" customFormat="1" x14ac:dyDescent="0.25">
      <c r="B87" s="55">
        <f>ITE_LUC_Rates!B68</f>
        <v>750</v>
      </c>
      <c r="C87" s="56" t="str">
        <f>ITE_LUC_Rates!C68</f>
        <v>Office Park</v>
      </c>
      <c r="D87" s="57" t="str">
        <f>ITE_LUC_Rates!D68</f>
        <v>1000 GSF</v>
      </c>
      <c r="E87" s="129">
        <f>ITE_LUC_Rates!H68</f>
        <v>11.07</v>
      </c>
      <c r="F87" s="58" t="s">
        <v>71</v>
      </c>
      <c r="G87" s="104">
        <f>ITE_LUC_Rates!Q68</f>
        <v>11350.1</v>
      </c>
      <c r="H87" s="104">
        <f>FEE_1_In!$H85</f>
        <v>13493.024653216426</v>
      </c>
      <c r="I87" s="104">
        <f>+FEE_1_In!S85</f>
        <v>9910.8404344806531</v>
      </c>
      <c r="J87" s="104">
        <f>+FEE_1_In!V85</f>
        <v>3370.429166587438</v>
      </c>
      <c r="K87" s="104">
        <f>+FEE_1_In!Y85</f>
        <v>211.75505214833288</v>
      </c>
      <c r="L87" s="104">
        <f>+FEE_2_In!H85</f>
        <v>16048.680085886324</v>
      </c>
      <c r="M87" s="104">
        <f>+FEE_2_In!S85</f>
        <v>13308.962402542855</v>
      </c>
      <c r="N87" s="104">
        <f>+FEE_2_In!V85</f>
        <v>2626.2408684207867</v>
      </c>
      <c r="O87" s="61">
        <f>+FEE_2_In!Y85</f>
        <v>113.4768149226847</v>
      </c>
      <c r="P87" s="61">
        <f>+FEE_3_In!H85</f>
        <v>15963.976954157957</v>
      </c>
      <c r="Q87" s="61">
        <f>+FEE_3_In!S85</f>
        <v>14358.090944410178</v>
      </c>
      <c r="R87" s="61">
        <f>+FEE_3_In!V85</f>
        <v>1536.8865112182712</v>
      </c>
      <c r="S87" s="61">
        <f>+FEE_3_In!Y85</f>
        <v>68.999498529507363</v>
      </c>
      <c r="T87" s="61">
        <f>+FEE_4_In!H85</f>
        <v>14985.409626039773</v>
      </c>
      <c r="U87" s="61">
        <f>+FEE_4_In!S85</f>
        <v>12470.631161543395</v>
      </c>
      <c r="V87" s="61">
        <f>+FEE_4_In!V85</f>
        <v>2448.6299731968229</v>
      </c>
      <c r="W87" s="61">
        <f>+FEE_4_In!Y85</f>
        <v>66.148491299554593</v>
      </c>
      <c r="X87" s="61">
        <f>FEE_1_In!$H85</f>
        <v>13493.024653216426</v>
      </c>
      <c r="Y87" s="61">
        <f>+FEE_1_Out!S85</f>
        <v>11695.785291203785</v>
      </c>
      <c r="Z87" s="61">
        <f>+FEE_1_Out!V85</f>
        <v>916.11621744315164</v>
      </c>
      <c r="AA87" s="61">
        <f>+FEE_1_Out!Y85</f>
        <v>169.45229588751275</v>
      </c>
      <c r="AB87" s="61">
        <f>+FEE_2_Out!H85</f>
        <v>13994.109067705598</v>
      </c>
      <c r="AC87" s="61">
        <f>+FEE_2_Out!S85</f>
        <v>13214.745828606701</v>
      </c>
      <c r="AD87" s="61">
        <f>+FEE_2_Out!V85</f>
        <v>670.25259397696948</v>
      </c>
      <c r="AE87" s="61">
        <f>+FEE_2_Out!Y85</f>
        <v>109.11064512192713</v>
      </c>
      <c r="AF87" s="61">
        <f>+FEE_3_Out!H85</f>
        <v>15430.988703005603</v>
      </c>
      <c r="AG87" s="61">
        <f>+FEE_3_Out!S85</f>
        <v>14699.811961992466</v>
      </c>
      <c r="AH87" s="61">
        <f>+FEE_3_Out!V85</f>
        <v>667.46415281231339</v>
      </c>
      <c r="AI87" s="61">
        <f>+FEE_3_Out!Y85</f>
        <v>63.712588200824257</v>
      </c>
      <c r="AJ87" s="61">
        <f>+FEE_4_Out!H85</f>
        <v>16168.337249744613</v>
      </c>
      <c r="AK87" s="61">
        <f>+FEE_4_Out!S85</f>
        <v>15140.248835857374</v>
      </c>
      <c r="AL87" s="61">
        <f>+FEE_4_Out!V85</f>
        <v>968.07410173547657</v>
      </c>
      <c r="AM87" s="61">
        <f>+FEE_4_Out!Y85</f>
        <v>60.014312151763562</v>
      </c>
    </row>
    <row r="88" spans="2:39" s="20" customFormat="1" x14ac:dyDescent="0.25">
      <c r="B88" s="55">
        <f>ITE_LUC_Rates!B69</f>
        <v>760</v>
      </c>
      <c r="C88" s="56" t="str">
        <f>ITE_LUC_Rates!C69</f>
        <v>Research Center</v>
      </c>
      <c r="D88" s="57" t="str">
        <f>ITE_LUC_Rates!D69</f>
        <v>1000 GSF</v>
      </c>
      <c r="E88" s="129">
        <f>ITE_LUC_Rates!H69</f>
        <v>11.26</v>
      </c>
      <c r="F88" s="58" t="s">
        <v>71</v>
      </c>
      <c r="G88" s="104">
        <f>ITE_LUC_Rates!Q69</f>
        <v>8060.1</v>
      </c>
      <c r="H88" s="104">
        <f>FEE_1_In!$H86</f>
        <v>13724.612248890422</v>
      </c>
      <c r="I88" s="104">
        <f>+FEE_1_In!S86</f>
        <v>10080.945193518715</v>
      </c>
      <c r="J88" s="104">
        <f>+FEE_1_In!V86</f>
        <v>3428.2775443337446</v>
      </c>
      <c r="K88" s="104">
        <f>+FEE_1_In!Y86</f>
        <v>215.38951103796103</v>
      </c>
      <c r="L88" s="104">
        <f>+FEE_2_In!H86</f>
        <v>16324.131686276427</v>
      </c>
      <c r="M88" s="104">
        <f>+FEE_2_In!S86</f>
        <v>13537.390844862923</v>
      </c>
      <c r="N88" s="104">
        <f>+FEE_2_In!V86</f>
        <v>2671.3163666140981</v>
      </c>
      <c r="O88" s="61">
        <f>+FEE_2_In!Y86</f>
        <v>115.42447479940648</v>
      </c>
      <c r="P88" s="61">
        <f>+FEE_3_In!H86</f>
        <v>16237.974751925804</v>
      </c>
      <c r="Q88" s="61">
        <f>+FEE_3_In!S86</f>
        <v>14604.526109671062</v>
      </c>
      <c r="R88" s="61">
        <f>+FEE_3_In!V86</f>
        <v>1563.2648704894066</v>
      </c>
      <c r="S88" s="61">
        <f>+FEE_3_In!Y86</f>
        <v>70.183771765334512</v>
      </c>
      <c r="T88" s="61">
        <f>+FEE_4_In!H86</f>
        <v>15242.611778609566</v>
      </c>
      <c r="U88" s="61">
        <f>+FEE_4_In!S86</f>
        <v>12684.67090144342</v>
      </c>
      <c r="V88" s="61">
        <f>+FEE_4_In!V86</f>
        <v>2490.6570459075183</v>
      </c>
      <c r="W88" s="61">
        <f>+FEE_4_In!Y86</f>
        <v>67.283831258625554</v>
      </c>
      <c r="X88" s="61">
        <f>FEE_1_In!$H86</f>
        <v>13724.612248890422</v>
      </c>
      <c r="Y88" s="61">
        <f>+FEE_1_Out!S86</f>
        <v>11896.525960158502</v>
      </c>
      <c r="Z88" s="61">
        <f>+FEE_1_Out!V86</f>
        <v>931.83998269285337</v>
      </c>
      <c r="AA88" s="61">
        <f>+FEE_1_Out!Y86</f>
        <v>172.36069120988199</v>
      </c>
      <c r="AB88" s="61">
        <f>+FEE_2_Out!H86</f>
        <v>14234.297028217254</v>
      </c>
      <c r="AC88" s="61">
        <f>+FEE_2_Out!S86</f>
        <v>13441.557184291909</v>
      </c>
      <c r="AD88" s="61">
        <f>+FEE_2_Out!V86</f>
        <v>681.75647770376486</v>
      </c>
      <c r="AE88" s="61">
        <f>+FEE_2_Out!Y86</f>
        <v>110.98336622158081</v>
      </c>
      <c r="AF88" s="61">
        <f>+FEE_3_Out!H86</f>
        <v>15695.838554276705</v>
      </c>
      <c r="AG88" s="61">
        <f>+FEE_3_Out!S86</f>
        <v>14952.112257636421</v>
      </c>
      <c r="AH88" s="61">
        <f>+FEE_3_Out!V86</f>
        <v>678.92017711532503</v>
      </c>
      <c r="AI88" s="61">
        <f>+FEE_3_Out!Y86</f>
        <v>64.806119524957651</v>
      </c>
      <c r="AJ88" s="61">
        <f>+FEE_4_Out!H86</f>
        <v>16445.842586461098</v>
      </c>
      <c r="AK88" s="61">
        <f>+FEE_4_Out!S86</f>
        <v>15400.108571974168</v>
      </c>
      <c r="AL88" s="61">
        <f>+FEE_4_Out!V86</f>
        <v>984.68964639037631</v>
      </c>
      <c r="AM88" s="61">
        <f>+FEE_4_Out!Y86</f>
        <v>61.044368096554436</v>
      </c>
    </row>
    <row r="89" spans="2:39" s="20" customFormat="1" x14ac:dyDescent="0.25">
      <c r="B89" s="55">
        <f>ITE_LUC_Rates!B70</f>
        <v>770</v>
      </c>
      <c r="C89" s="56" t="str">
        <f>ITE_LUC_Rates!C70</f>
        <v>Business Park</v>
      </c>
      <c r="D89" s="57" t="str">
        <f>ITE_LUC_Rates!D70</f>
        <v>1000 GSF</v>
      </c>
      <c r="E89" s="129">
        <f>ITE_LUC_Rates!H70</f>
        <v>12.44</v>
      </c>
      <c r="F89" s="58" t="s">
        <v>71</v>
      </c>
      <c r="G89" s="104">
        <f>ITE_LUC_Rates!Q70</f>
        <v>12682.3</v>
      </c>
      <c r="H89" s="104">
        <f>FEE_1_In!$H87</f>
        <v>15162.893106234173</v>
      </c>
      <c r="I89" s="104">
        <f>+FEE_1_In!S87</f>
        <v>11137.385275965611</v>
      </c>
      <c r="J89" s="104">
        <f>+FEE_1_In!V87</f>
        <v>3787.5464166529105</v>
      </c>
      <c r="K89" s="104">
        <f>+FEE_1_In!Y87</f>
        <v>237.96141361565137</v>
      </c>
      <c r="L89" s="104">
        <f>+FEE_2_In!H87</f>
        <v>18034.831099225463</v>
      </c>
      <c r="M89" s="104">
        <f>+FEE_2_In!S87</f>
        <v>14956.051697166495</v>
      </c>
      <c r="N89" s="104">
        <f>+FEE_2_In!V87</f>
        <v>2951.2589343409745</v>
      </c>
      <c r="O89" s="61">
        <f>+FEE_2_In!Y87</f>
        <v>127.52046771799435</v>
      </c>
      <c r="P89" s="61">
        <f>+FEE_3_In!H87</f>
        <v>17939.645285431347</v>
      </c>
      <c r="Q89" s="61">
        <f>+FEE_3_In!S87</f>
        <v>16135.018188659677</v>
      </c>
      <c r="R89" s="61">
        <f>+FEE_3_In!V87</f>
        <v>1727.0883649101436</v>
      </c>
      <c r="S89" s="61">
        <f>+FEE_3_In!Y87</f>
        <v>77.538731861524084</v>
      </c>
      <c r="T89" s="61">
        <f>+FEE_4_In!H87</f>
        <v>16839.972515621928</v>
      </c>
      <c r="U89" s="61">
        <f>+FEE_4_In!S87</f>
        <v>14013.970338717239</v>
      </c>
      <c r="V89" s="61">
        <f>+FEE_4_In!V87</f>
        <v>2751.6672869528884</v>
      </c>
      <c r="W89" s="61">
        <f>+FEE_4_In!Y87</f>
        <v>74.334889951802992</v>
      </c>
      <c r="X89" s="61">
        <f>FEE_1_In!$H87</f>
        <v>15162.893106234173</v>
      </c>
      <c r="Y89" s="61">
        <f>+FEE_1_Out!S87</f>
        <v>13143.231167350954</v>
      </c>
      <c r="Z89" s="61">
        <f>+FEE_1_Out!V87</f>
        <v>1029.4928405594221</v>
      </c>
      <c r="AA89" s="61">
        <f>+FEE_1_Out!Y87</f>
        <v>190.42335689617511</v>
      </c>
      <c r="AB89" s="61">
        <f>+FEE_2_Out!H87</f>
        <v>15725.990677710717</v>
      </c>
      <c r="AC89" s="61">
        <f>+FEE_2_Out!S87</f>
        <v>14850.175077494794</v>
      </c>
      <c r="AD89" s="61">
        <f>+FEE_2_Out!V87</f>
        <v>753.20165032280943</v>
      </c>
      <c r="AE89" s="61">
        <f>+FEE_2_Out!Y87</f>
        <v>122.61394989311414</v>
      </c>
      <c r="AF89" s="61">
        <f>+FEE_3_Out!H87</f>
        <v>17340.695525328789</v>
      </c>
      <c r="AG89" s="61">
        <f>+FEE_3_Out!S87</f>
        <v>16519.029883214658</v>
      </c>
      <c r="AH89" s="61">
        <f>+FEE_3_Out!V87</f>
        <v>750.06811752350279</v>
      </c>
      <c r="AI89" s="61">
        <f>+FEE_3_Out!Y87</f>
        <v>71.597524590628154</v>
      </c>
      <c r="AJ89" s="61">
        <f>+FEE_4_Out!H87</f>
        <v>18169.296782910842</v>
      </c>
      <c r="AK89" s="61">
        <f>+FEE_4_Out!S87</f>
        <v>17013.974301541621</v>
      </c>
      <c r="AL89" s="61">
        <f>+FEE_4_Out!V87</f>
        <v>1087.8809237208065</v>
      </c>
      <c r="AM89" s="61">
        <f>+FEE_4_Out!Y87</f>
        <v>67.441557648413593</v>
      </c>
    </row>
    <row r="90" spans="2:39" s="20" customFormat="1" x14ac:dyDescent="0.25">
      <c r="B90" s="105" t="e">
        <f>ITE_LUC_Rates!#REF!</f>
        <v>#REF!</v>
      </c>
      <c r="C90" s="106"/>
      <c r="D90" s="107"/>
      <c r="E90" s="130"/>
      <c r="F90" s="114"/>
      <c r="G90" s="110"/>
      <c r="H90" s="110"/>
      <c r="I90" s="110"/>
      <c r="J90" s="110"/>
      <c r="K90" s="110"/>
      <c r="L90" s="110"/>
      <c r="M90" s="110"/>
      <c r="N90" s="110"/>
      <c r="O90" s="113"/>
      <c r="P90" s="113"/>
      <c r="Q90" s="113"/>
      <c r="R90" s="113"/>
      <c r="S90" s="113"/>
      <c r="T90" s="113"/>
      <c r="U90" s="113"/>
      <c r="V90" s="113"/>
      <c r="W90" s="113"/>
      <c r="X90" s="113"/>
      <c r="Y90" s="113"/>
      <c r="Z90" s="113"/>
      <c r="AA90" s="113"/>
      <c r="AB90" s="113"/>
      <c r="AC90" s="113"/>
      <c r="AD90" s="113"/>
      <c r="AE90" s="113"/>
      <c r="AF90" s="113"/>
      <c r="AG90" s="113"/>
      <c r="AH90" s="113"/>
      <c r="AI90" s="113"/>
      <c r="AJ90" s="113"/>
      <c r="AK90" s="113"/>
      <c r="AL90" s="113"/>
      <c r="AM90" s="113"/>
    </row>
    <row r="91" spans="2:39" s="20" customFormat="1" x14ac:dyDescent="0.25">
      <c r="B91" s="134">
        <f>ITE_LUC_Rates!B71</f>
        <v>812</v>
      </c>
      <c r="C91" s="135" t="str">
        <f>ITE_LUC_Rates!C71</f>
        <v>Building Materials and Lumber Store</v>
      </c>
      <c r="D91" s="232" t="str">
        <f>ITE_LUC_Rates!D71</f>
        <v>1000 GSF</v>
      </c>
      <c r="E91" s="233">
        <f>ITE_LUC_Rates!H71</f>
        <v>18.05</v>
      </c>
      <c r="F91" s="136" t="s">
        <v>71</v>
      </c>
      <c r="G91" s="137">
        <f>ITE_LUC_Rates!Q71</f>
        <v>0</v>
      </c>
      <c r="H91" s="104">
        <f>FEE_1_In!$H89</f>
        <v>7811.2499054147911</v>
      </c>
      <c r="I91" s="104">
        <f>+FEE_1_In!S89</f>
        <v>5737.4868419857148</v>
      </c>
      <c r="J91" s="104">
        <f>+FEE_1_In!V89</f>
        <v>1951.1758990551882</v>
      </c>
      <c r="K91" s="104">
        <f>+FEE_1_In!Y89</f>
        <v>122.58716437388833</v>
      </c>
      <c r="L91" s="104">
        <f>+FEE_2_In!H89</f>
        <v>9290.7449608067564</v>
      </c>
      <c r="M91" s="104">
        <f>+FEE_2_In!S89</f>
        <v>7704.6943869068182</v>
      </c>
      <c r="N91" s="104">
        <f>+FEE_2_In!V89</f>
        <v>1520.3576857141675</v>
      </c>
      <c r="O91" s="61">
        <f>+FEE_2_In!Y89</f>
        <v>65.692888185770599</v>
      </c>
      <c r="P91" s="61">
        <f>+FEE_3_In!H89</f>
        <v>9241.7094519637612</v>
      </c>
      <c r="Q91" s="61">
        <f>+FEE_3_In!S89</f>
        <v>8312.0456246054473</v>
      </c>
      <c r="R91" s="61">
        <f>+FEE_3_In!V89</f>
        <v>889.71931230595305</v>
      </c>
      <c r="S91" s="61">
        <f>+FEE_3_In!Y89</f>
        <v>39.944515052361069</v>
      </c>
      <c r="T91" s="61">
        <f>+FEE_4_In!H89</f>
        <v>8675.2068222229136</v>
      </c>
      <c r="U91" s="61">
        <f>+FEE_4_In!S89</f>
        <v>7219.3758615751158</v>
      </c>
      <c r="V91" s="61">
        <f>+FEE_4_In!V89</f>
        <v>1417.5369228255363</v>
      </c>
      <c r="W91" s="61">
        <f>+FEE_4_In!Y89</f>
        <v>38.294037822261529</v>
      </c>
      <c r="X91" s="61">
        <f>FEE_1_In!$H89</f>
        <v>7811.2499054147911</v>
      </c>
      <c r="Y91" s="61">
        <f>+FEE_1_Out!S89</f>
        <v>6770.8096663033566</v>
      </c>
      <c r="Z91" s="61">
        <f>+FEE_1_Out!V89</f>
        <v>530.34904335892884</v>
      </c>
      <c r="AA91" s="61">
        <f>+FEE_1_Out!Y89</f>
        <v>98.097666330738505</v>
      </c>
      <c r="AB91" s="61">
        <f>+FEE_2_Out!H89</f>
        <v>8101.3327953434291</v>
      </c>
      <c r="AC91" s="61">
        <f>+FEE_2_Out!S89</f>
        <v>7650.1514491177086</v>
      </c>
      <c r="AD91" s="61">
        <f>+FEE_2_Out!V89</f>
        <v>388.01607837117507</v>
      </c>
      <c r="AE91" s="61">
        <f>+FEE_2_Out!Y89</f>
        <v>63.165267854545419</v>
      </c>
      <c r="AF91" s="61">
        <f>+FEE_3_Out!H89</f>
        <v>8933.1571048509431</v>
      </c>
      <c r="AG91" s="61">
        <f>+FEE_3_Out!S89</f>
        <v>8509.8714149579137</v>
      </c>
      <c r="AH91" s="61">
        <f>+FEE_3_Out!V89</f>
        <v>386.40182127586303</v>
      </c>
      <c r="AI91" s="61">
        <f>+FEE_3_Out!Y89</f>
        <v>36.883868617166272</v>
      </c>
      <c r="AJ91" s="61">
        <f>+FEE_4_Out!H89</f>
        <v>9360.0157161705229</v>
      </c>
      <c r="AK91" s="61">
        <f>+FEE_4_Out!S89</f>
        <v>8764.8448236441818</v>
      </c>
      <c r="AL91" s="61">
        <f>+FEE_4_Out!V89</f>
        <v>560.42799371993851</v>
      </c>
      <c r="AM91" s="61">
        <f>+FEE_4_Out!Y89</f>
        <v>34.742898806402827</v>
      </c>
    </row>
    <row r="92" spans="2:39" s="20" customFormat="1" x14ac:dyDescent="0.25">
      <c r="B92" s="55">
        <f>ITE_LUC_Rates!B72</f>
        <v>813</v>
      </c>
      <c r="C92" s="56" t="str">
        <f>ITE_LUC_Rates!C72</f>
        <v>Discount Superstore (Free standing)</v>
      </c>
      <c r="D92" s="57" t="str">
        <f>ITE_LUC_Rates!D72</f>
        <v>1000 GSF</v>
      </c>
      <c r="E92" s="129">
        <f>ITE_LUC_Rates!H72</f>
        <v>50.7</v>
      </c>
      <c r="F92" s="58" t="s">
        <v>71</v>
      </c>
      <c r="G92" s="104">
        <f>ITE_LUC_Rates!Q72</f>
        <v>20592.7</v>
      </c>
      <c r="H92" s="104">
        <f>FEE_1_In!$H90</f>
        <v>21940.740731552902</v>
      </c>
      <c r="I92" s="104">
        <f>+FEE_1_In!S90</f>
        <v>16115.821766685634</v>
      </c>
      <c r="J92" s="104">
        <f>+FEE_1_In!V90</f>
        <v>5480.5882593960132</v>
      </c>
      <c r="K92" s="104">
        <f>+FEE_1_In!Y90</f>
        <v>344.33070547125408</v>
      </c>
      <c r="L92" s="104">
        <f>+FEE_2_In!H90</f>
        <v>26096.441524260525</v>
      </c>
      <c r="M92" s="104">
        <f>+FEE_2_In!S90</f>
        <v>21641.440743278428</v>
      </c>
      <c r="N92" s="104">
        <f>+FEE_2_In!V90</f>
        <v>4270.478374831484</v>
      </c>
      <c r="O92" s="61">
        <f>+FEE_2_In!Y90</f>
        <v>184.52240615061322</v>
      </c>
      <c r="P92" s="61">
        <f>+FEE_3_In!H90</f>
        <v>25958.707435709839</v>
      </c>
      <c r="Q92" s="61">
        <f>+FEE_3_In!S90</f>
        <v>23347.407931717233</v>
      </c>
      <c r="R92" s="61">
        <f>+FEE_3_In!V90</f>
        <v>2499.1007830422059</v>
      </c>
      <c r="S92" s="61">
        <f>+FEE_3_In!Y90</f>
        <v>112.19872095039922</v>
      </c>
      <c r="T92" s="61">
        <f>+FEE_4_In!H90</f>
        <v>24367.478442476542</v>
      </c>
      <c r="U92" s="61">
        <f>+FEE_4_In!S90</f>
        <v>20278.246879881346</v>
      </c>
      <c r="V92" s="61">
        <f>+FEE_4_In!V90</f>
        <v>3981.6688081581538</v>
      </c>
      <c r="W92" s="61">
        <f>+FEE_4_In!Y90</f>
        <v>107.56275443704484</v>
      </c>
      <c r="X92" s="61">
        <f>FEE_1_In!$H90</f>
        <v>21940.740731552902</v>
      </c>
      <c r="Y92" s="61">
        <f>+FEE_1_Out!S90</f>
        <v>19018.285323079232</v>
      </c>
      <c r="Z92" s="61">
        <f>+FEE_1_Out!V90</f>
        <v>1489.6784763599828</v>
      </c>
      <c r="AA92" s="61">
        <f>+FEE_1_Out!Y90</f>
        <v>275.54302952733747</v>
      </c>
      <c r="AB92" s="61">
        <f>+FEE_2_Out!H90</f>
        <v>22755.54419523057</v>
      </c>
      <c r="AC92" s="61">
        <f>+FEE_2_Out!S90</f>
        <v>21488.237034363865</v>
      </c>
      <c r="AD92" s="61">
        <f>+FEE_2_Out!V90</f>
        <v>1089.8844971423032</v>
      </c>
      <c r="AE92" s="61">
        <f>+FEE_2_Out!Y90</f>
        <v>177.42266372440179</v>
      </c>
      <c r="AF92" s="61">
        <f>+FEE_3_Out!H90</f>
        <v>25092.025773736437</v>
      </c>
      <c r="AG92" s="61">
        <f>+FEE_3_Out!S90</f>
        <v>23903.073725117236</v>
      </c>
      <c r="AH92" s="61">
        <f>+FEE_3_Out!V90</f>
        <v>1085.3502680712606</v>
      </c>
      <c r="AI92" s="61">
        <f>+FEE_3_Out!Y90</f>
        <v>103.60178054794068</v>
      </c>
      <c r="AJ92" s="61">
        <f>+FEE_4_Out!H90</f>
        <v>26291.01367367565</v>
      </c>
      <c r="AK92" s="61">
        <f>+FEE_4_Out!S90</f>
        <v>24619.25942153795</v>
      </c>
      <c r="AL92" s="61">
        <f>+FEE_4_Out!V90</f>
        <v>1574.1661651856441</v>
      </c>
      <c r="AM92" s="61">
        <f>+FEE_4_Out!Y90</f>
        <v>97.588086952056685</v>
      </c>
    </row>
    <row r="93" spans="2:39" s="20" customFormat="1" x14ac:dyDescent="0.25">
      <c r="B93" s="55">
        <f>ITE_LUC_Rates!B73</f>
        <v>816</v>
      </c>
      <c r="C93" s="56" t="str">
        <f>ITE_LUC_Rates!C73</f>
        <v>Hardware/Paint Store/Pool Suply</v>
      </c>
      <c r="D93" s="57" t="str">
        <f>ITE_LUC_Rates!D73</f>
        <v>1000 GSF</v>
      </c>
      <c r="E93" s="129">
        <f>ITE_LUC_Rates!H73</f>
        <v>9.14</v>
      </c>
      <c r="F93" s="58" t="s">
        <v>71</v>
      </c>
      <c r="G93" s="104">
        <f>ITE_LUC_Rates!Q73</f>
        <v>14865.5</v>
      </c>
      <c r="H93" s="104">
        <f>FEE_1_In!$H91</f>
        <v>3955.3919188637783</v>
      </c>
      <c r="I93" s="104">
        <f>+FEE_1_In!S91</f>
        <v>2905.298046301908</v>
      </c>
      <c r="J93" s="104">
        <f>+FEE_1_In!V91</f>
        <v>988.01926411991258</v>
      </c>
      <c r="K93" s="104">
        <f>+FEE_1_In!Y91</f>
        <v>62.074608441957849</v>
      </c>
      <c r="L93" s="104">
        <f>+FEE_2_In!H91</f>
        <v>4704.5655923420354</v>
      </c>
      <c r="M93" s="104">
        <f>+FEE_2_In!S91</f>
        <v>3901.435274034809</v>
      </c>
      <c r="N93" s="104">
        <f>+FEE_2_In!V91</f>
        <v>769.86533226745109</v>
      </c>
      <c r="O93" s="61">
        <f>+FEE_2_In!Y91</f>
        <v>33.264986039775245</v>
      </c>
      <c r="P93" s="61">
        <f>+FEE_3_In!H91</f>
        <v>4679.7354233212609</v>
      </c>
      <c r="Q93" s="61">
        <f>+FEE_3_In!S91</f>
        <v>4208.9804437060257</v>
      </c>
      <c r="R93" s="61">
        <f>+FEE_3_In!V91</f>
        <v>450.52822794883167</v>
      </c>
      <c r="S93" s="61">
        <f>+FEE_3_In!Y91</f>
        <v>20.226751666403334</v>
      </c>
      <c r="T93" s="61">
        <f>+FEE_4_In!H91</f>
        <v>4392.8748119178626</v>
      </c>
      <c r="U93" s="61">
        <f>+FEE_4_In!S91</f>
        <v>3655.6839542823577</v>
      </c>
      <c r="V93" s="61">
        <f>+FEE_4_In!V91</f>
        <v>717.79986009004995</v>
      </c>
      <c r="W93" s="61">
        <f>+FEE_4_In!Y91</f>
        <v>19.390997545455427</v>
      </c>
      <c r="X93" s="61">
        <f>FEE_1_In!$H91</f>
        <v>3955.3919188637783</v>
      </c>
      <c r="Y93" s="61">
        <f>+FEE_1_Out!S91</f>
        <v>3428.5429556793729</v>
      </c>
      <c r="Z93" s="61">
        <f>+FEE_1_Out!V91</f>
        <v>268.55347680335791</v>
      </c>
      <c r="AA93" s="61">
        <f>+FEE_1_Out!Y91</f>
        <v>49.673832147531847</v>
      </c>
      <c r="AB93" s="61">
        <f>+FEE_2_Out!H91</f>
        <v>4102.2815373650383</v>
      </c>
      <c r="AC93" s="61">
        <f>+FEE_2_Out!S91</f>
        <v>3873.8163016584963</v>
      </c>
      <c r="AD93" s="61">
        <f>+FEE_2_Out!V91</f>
        <v>196.48016378462827</v>
      </c>
      <c r="AE93" s="61">
        <f>+FEE_2_Out!Y91</f>
        <v>31.985071921913857</v>
      </c>
      <c r="AF93" s="61">
        <f>+FEE_3_Out!H91</f>
        <v>4523.4934037860176</v>
      </c>
      <c r="AG93" s="61">
        <f>+FEE_3_Out!S91</f>
        <v>4309.1537248041741</v>
      </c>
      <c r="AH93" s="61">
        <f>+FEE_3_Out!V91</f>
        <v>195.66275049647578</v>
      </c>
      <c r="AI93" s="61">
        <f>+FEE_3_Out!Y91</f>
        <v>18.676928485368403</v>
      </c>
      <c r="AJ93" s="61">
        <f>+FEE_4_Out!H91</f>
        <v>4739.6423072464595</v>
      </c>
      <c r="AK93" s="61">
        <f>+FEE_4_Out!S91</f>
        <v>4438.264913468578</v>
      </c>
      <c r="AL93" s="61">
        <f>+FEE_4_Out!V91</f>
        <v>283.78459072577499</v>
      </c>
      <c r="AM93" s="61">
        <f>+FEE_4_Out!Y91</f>
        <v>17.592803052106476</v>
      </c>
    </row>
    <row r="94" spans="2:39" s="20" customFormat="1" x14ac:dyDescent="0.25">
      <c r="B94" s="55">
        <f>ITE_LUC_Rates!B74</f>
        <v>817</v>
      </c>
      <c r="C94" s="56" t="str">
        <f>ITE_LUC_Rates!C74</f>
        <v>Nursery Garden Center</v>
      </c>
      <c r="D94" s="57" t="str">
        <f>ITE_LUC_Rates!D74</f>
        <v>1000 GSF</v>
      </c>
      <c r="E94" s="129">
        <f>ITE_LUC_Rates!H74</f>
        <v>68.099999999999994</v>
      </c>
      <c r="F94" s="58" t="s">
        <v>71</v>
      </c>
      <c r="G94" s="104">
        <f>ITE_LUC_Rates!Q74</f>
        <v>17723.2</v>
      </c>
      <c r="H94" s="104">
        <f>FEE_1_In!$H92</f>
        <v>29470.699089127276</v>
      </c>
      <c r="I94" s="104">
        <f>+FEE_1_In!S92</f>
        <v>21646.695509098459</v>
      </c>
      <c r="J94" s="104">
        <f>+FEE_1_In!V92</f>
        <v>7361.5002064076634</v>
      </c>
      <c r="K94" s="104">
        <f>+FEE_1_In!Y92</f>
        <v>462.50337362115204</v>
      </c>
      <c r="L94" s="104">
        <f>+FEE_2_In!H92</f>
        <v>35052.616721935738</v>
      </c>
      <c r="M94" s="104">
        <f>+FEE_2_In!S92</f>
        <v>29068.680761681677</v>
      </c>
      <c r="N94" s="104">
        <f>+FEE_2_In!V92</f>
        <v>5736.0863377914011</v>
      </c>
      <c r="O94" s="61">
        <f>+FEE_2_In!Y92</f>
        <v>247.84962246265803</v>
      </c>
      <c r="P94" s="61">
        <f>+FEE_3_In!H92</f>
        <v>34867.612946190136</v>
      </c>
      <c r="Q94" s="61">
        <f>+FEE_3_In!S92</f>
        <v>31360.127813608353</v>
      </c>
      <c r="R94" s="61">
        <f>+FEE_3_In!V92</f>
        <v>3356.7803417194127</v>
      </c>
      <c r="S94" s="61">
        <f>+FEE_3_In!Y92</f>
        <v>150.70479086237057</v>
      </c>
      <c r="T94" s="61">
        <f>+FEE_4_In!H92</f>
        <v>32730.281694924117</v>
      </c>
      <c r="U94" s="61">
        <f>+FEE_4_In!S92</f>
        <v>27237.645217355417</v>
      </c>
      <c r="V94" s="61">
        <f>+FEE_4_In!V92</f>
        <v>5348.1586949816619</v>
      </c>
      <c r="W94" s="61">
        <f>+FEE_4_In!Y92</f>
        <v>144.47778258703656</v>
      </c>
      <c r="X94" s="61">
        <f>FEE_1_In!$H92</f>
        <v>29470.699089127276</v>
      </c>
      <c r="Y94" s="61">
        <f>+FEE_1_Out!S92</f>
        <v>25545.270818573885</v>
      </c>
      <c r="Z94" s="61">
        <f>+FEE_1_Out!V92</f>
        <v>2000.9290777142967</v>
      </c>
      <c r="AA94" s="61">
        <f>+FEE_1_Out!Y92</f>
        <v>370.10809291541767</v>
      </c>
      <c r="AB94" s="61">
        <f>+FEE_2_Out!H92</f>
        <v>30565.139244481299</v>
      </c>
      <c r="AC94" s="61">
        <f>+FEE_2_Out!S92</f>
        <v>28862.898265092292</v>
      </c>
      <c r="AD94" s="61">
        <f>+FEE_2_Out!V92</f>
        <v>1463.9276973449871</v>
      </c>
      <c r="AE94" s="61">
        <f>+FEE_2_Out!Y92</f>
        <v>238.31328204401899</v>
      </c>
      <c r="AF94" s="61">
        <f>+FEE_3_Out!H92</f>
        <v>33703.490240462561</v>
      </c>
      <c r="AG94" s="61">
        <f>+FEE_3_Out!S92</f>
        <v>32106.495476932629</v>
      </c>
      <c r="AH94" s="61">
        <f>+FEE_3_Out!V92</f>
        <v>1457.8373423205687</v>
      </c>
      <c r="AI94" s="61">
        <f>+FEE_3_Out!Y92</f>
        <v>139.15742120936414</v>
      </c>
      <c r="AJ94" s="61">
        <f>+FEE_4_Out!H92</f>
        <v>35313.965111978541</v>
      </c>
      <c r="AK94" s="61">
        <f>+FEE_4_Out!S92</f>
        <v>33068.472714136777</v>
      </c>
      <c r="AL94" s="61">
        <f>+FEE_4_Out!V92</f>
        <v>2114.4125414032028</v>
      </c>
      <c r="AM94" s="61">
        <f>+FEE_4_Out!Y92</f>
        <v>131.07985643856134</v>
      </c>
    </row>
    <row r="95" spans="2:39" s="20" customFormat="1" x14ac:dyDescent="0.25">
      <c r="B95" s="134">
        <f>ITE_LUC_Rates!B75</f>
        <v>820</v>
      </c>
      <c r="C95" s="135" t="str">
        <f>ITE_LUC_Rates!C75</f>
        <v>Shopping Center/General Retail…</v>
      </c>
      <c r="D95" s="232" t="str">
        <f>ITE_LUC_Rates!D75</f>
        <v>1000 GSF</v>
      </c>
      <c r="E95" s="233">
        <f>ITE_LUC_Rates!H75</f>
        <v>37.75</v>
      </c>
      <c r="F95" s="136" t="s">
        <v>71</v>
      </c>
      <c r="G95" s="137">
        <f>ITE_LUC_Rates!Q75</f>
        <v>0</v>
      </c>
      <c r="H95" s="104">
        <f>FEE_1_In!$H93</f>
        <v>16336.547586116805</v>
      </c>
      <c r="I95" s="104">
        <f>+FEE_1_In!S93</f>
        <v>11999.45309057954</v>
      </c>
      <c r="J95" s="104">
        <f>+FEE_1_In!V93</f>
        <v>4080.7141379132049</v>
      </c>
      <c r="K95" s="104">
        <f>+FEE_1_In!Y93</f>
        <v>256.38035762406003</v>
      </c>
      <c r="L95" s="104">
        <f>+FEE_2_In!H93</f>
        <v>19430.782397255123</v>
      </c>
      <c r="M95" s="104">
        <f>+FEE_2_In!S93</f>
        <v>16113.696016938078</v>
      </c>
      <c r="N95" s="104">
        <f>+FEE_2_In!V93</f>
        <v>3179.6954368814309</v>
      </c>
      <c r="O95" s="61">
        <f>+FEE_2_In!Y93</f>
        <v>137.39094343561439</v>
      </c>
      <c r="P95" s="61">
        <f>+FEE_3_In!H93</f>
        <v>19328.228909231682</v>
      </c>
      <c r="Q95" s="61">
        <f>+FEE_3_In!S93</f>
        <v>17383.918134562635</v>
      </c>
      <c r="R95" s="61">
        <f>+FEE_3_In!V93</f>
        <v>1860.7703069002619</v>
      </c>
      <c r="S95" s="61">
        <f>+FEE_3_In!Y93</f>
        <v>83.540467768788389</v>
      </c>
      <c r="T95" s="61">
        <f>+FEE_4_In!H93</f>
        <v>18143.438090798616</v>
      </c>
      <c r="U95" s="61">
        <f>+FEE_4_In!S93</f>
        <v>15098.694668945187</v>
      </c>
      <c r="V95" s="61">
        <f>+FEE_4_In!V93</f>
        <v>2964.6547831946805</v>
      </c>
      <c r="W95" s="61">
        <f>+FEE_4_In!Y93</f>
        <v>80.088638658746419</v>
      </c>
      <c r="X95" s="61">
        <f>FEE_1_In!$H93</f>
        <v>16336.547586116805</v>
      </c>
      <c r="Y95" s="61">
        <f>+FEE_1_Out!S93</f>
        <v>14160.557612351895</v>
      </c>
      <c r="Z95" s="61">
        <f>+FEE_1_Out!V93</f>
        <v>1109.1787471911114</v>
      </c>
      <c r="AA95" s="61">
        <f>+FEE_1_Out!Y93</f>
        <v>205.16270936207079</v>
      </c>
      <c r="AB95" s="61">
        <f>+FEE_2_Out!H93</f>
        <v>16943.230638460635</v>
      </c>
      <c r="AC95" s="61">
        <f>+FEE_2_Out!S93</f>
        <v>15999.624221838974</v>
      </c>
      <c r="AD95" s="61">
        <f>+FEE_2_Out!V93</f>
        <v>811.5017705546735</v>
      </c>
      <c r="AE95" s="61">
        <f>+FEE_2_Out!Y93</f>
        <v>132.10464606698554</v>
      </c>
      <c r="AF95" s="61">
        <f>+FEE_3_Out!H93</f>
        <v>18682.918598787983</v>
      </c>
      <c r="AG95" s="61">
        <f>+FEE_3_Out!S93</f>
        <v>17797.653513277633</v>
      </c>
      <c r="AH95" s="61">
        <f>+FEE_3_Out!V93</f>
        <v>808.12569269605683</v>
      </c>
      <c r="AI95" s="61">
        <f>+FEE_3_Out!Y93</f>
        <v>77.139392814295107</v>
      </c>
      <c r="AJ95" s="61">
        <f>+FEE_4_Out!H93</f>
        <v>19575.656137697351</v>
      </c>
      <c r="AK95" s="61">
        <f>+FEE_4_Out!S93</f>
        <v>18330.908149172734</v>
      </c>
      <c r="AL95" s="61">
        <f>+FEE_4_Out!V93</f>
        <v>1172.086247253611</v>
      </c>
      <c r="AM95" s="61">
        <f>+FEE_4_Out!Y93</f>
        <v>72.661741271008665</v>
      </c>
    </row>
    <row r="96" spans="2:39" s="20" customFormat="1" x14ac:dyDescent="0.25">
      <c r="B96" s="55">
        <f>ITE_LUC_Rates!B76</f>
        <v>820</v>
      </c>
      <c r="C96" s="56" t="str">
        <f>ITE_LUC_Rates!C76</f>
        <v>1 - 10,000</v>
      </c>
      <c r="D96" s="57" t="str">
        <f>ITE_LUC_Rates!D76</f>
        <v>1000 GSF</v>
      </c>
      <c r="E96" s="129">
        <f>ITE_LUC_Rates!H76</f>
        <v>156.80137359044605</v>
      </c>
      <c r="F96" s="58" t="s">
        <v>71</v>
      </c>
      <c r="G96" s="104">
        <f>ITE_LUC_Rates!Q76</f>
        <v>18799.7</v>
      </c>
      <c r="H96" s="104">
        <f>FEE_1_In!$H94</f>
        <v>15857.27962693118</v>
      </c>
      <c r="I96" s="104">
        <f>+FEE_1_In!S94</f>
        <v>11647.423179501327</v>
      </c>
      <c r="J96" s="104">
        <f>+FEE_1_In!V94</f>
        <v>3960.9975621441827</v>
      </c>
      <c r="K96" s="104">
        <f>+FEE_1_In!Y94</f>
        <v>248.85888528567034</v>
      </c>
      <c r="L96" s="104">
        <f>+FEE_2_In!H94</f>
        <v>18860.738367093789</v>
      </c>
      <c r="M96" s="104">
        <f>+FEE_2_In!S94</f>
        <v>15640.96589055945</v>
      </c>
      <c r="N96" s="104">
        <f>+FEE_2_In!V94</f>
        <v>3086.4121935992894</v>
      </c>
      <c r="O96" s="61">
        <f>+FEE_2_In!Y94</f>
        <v>133.36028293504856</v>
      </c>
      <c r="P96" s="61">
        <f>+FEE_3_In!H94</f>
        <v>18761.19350746342</v>
      </c>
      <c r="Q96" s="61">
        <f>+FEE_3_In!S94</f>
        <v>16873.923294889028</v>
      </c>
      <c r="R96" s="61">
        <f>+FEE_3_In!V94</f>
        <v>1806.1805851245801</v>
      </c>
      <c r="S96" s="61">
        <f>+FEE_3_In!Y94</f>
        <v>81.089627449810251</v>
      </c>
      <c r="T96" s="61">
        <f>+FEE_4_In!H94</f>
        <v>17611.161090376714</v>
      </c>
      <c r="U96" s="61">
        <f>+FEE_4_In!S94</f>
        <v>14655.741802545073</v>
      </c>
      <c r="V96" s="61">
        <f>+FEE_4_In!V94</f>
        <v>2877.6802226186683</v>
      </c>
      <c r="W96" s="61">
        <f>+FEE_4_In!Y94</f>
        <v>77.739065212974296</v>
      </c>
      <c r="X96" s="61">
        <f>FEE_1_In!$H94</f>
        <v>15857.27962693118</v>
      </c>
      <c r="Y96" s="61">
        <f>+FEE_1_Out!S94</f>
        <v>13745.127025685599</v>
      </c>
      <c r="Z96" s="61">
        <f>+FEE_1_Out!V94</f>
        <v>1076.6385895025853</v>
      </c>
      <c r="AA96" s="61">
        <f>+FEE_1_Out!Y94</f>
        <v>199.1438175185753</v>
      </c>
      <c r="AB96" s="61">
        <f>+FEE_2_Out!H94</f>
        <v>16446.16431968669</v>
      </c>
      <c r="AC96" s="61">
        <f>+FEE_2_Out!S94</f>
        <v>15530.240638305435</v>
      </c>
      <c r="AD96" s="61">
        <f>+FEE_2_Out!V94</f>
        <v>787.69461084733234</v>
      </c>
      <c r="AE96" s="61">
        <f>+FEE_2_Out!Y94</f>
        <v>128.22907053392316</v>
      </c>
      <c r="AF96" s="61">
        <f>+FEE_3_Out!H94</f>
        <v>18134.814770774665</v>
      </c>
      <c r="AG96" s="61">
        <f>+FEE_3_Out!S94</f>
        <v>17275.520851365003</v>
      </c>
      <c r="AH96" s="61">
        <f>+FEE_3_Out!V94</f>
        <v>784.41757753511217</v>
      </c>
      <c r="AI96" s="61">
        <f>+FEE_3_Out!Y94</f>
        <v>74.876341874551613</v>
      </c>
      <c r="AJ96" s="61">
        <f>+FEE_4_Out!H94</f>
        <v>19001.361923000066</v>
      </c>
      <c r="AK96" s="61">
        <f>+FEE_4_Out!S94</f>
        <v>17793.131309093056</v>
      </c>
      <c r="AL96" s="61">
        <f>+FEE_4_Out!V94</f>
        <v>1137.7005619826202</v>
      </c>
      <c r="AM96" s="61">
        <f>+FEE_4_Out!Y94</f>
        <v>70.530051924391458</v>
      </c>
    </row>
    <row r="97" spans="2:39" s="20" customFormat="1" x14ac:dyDescent="0.25">
      <c r="B97" s="55">
        <f>ITE_LUC_Rates!B77</f>
        <v>820</v>
      </c>
      <c r="C97" s="56" t="str">
        <f>ITE_LUC_Rates!C77</f>
        <v>10,001 - 50,000</v>
      </c>
      <c r="D97" s="57" t="str">
        <f>ITE_LUC_Rates!D77</f>
        <v>1000 GSF</v>
      </c>
      <c r="E97" s="129">
        <f>ITE_LUC_Rates!H77</f>
        <v>88.3774492278785</v>
      </c>
      <c r="F97" s="58" t="s">
        <v>71</v>
      </c>
      <c r="G97" s="104">
        <f>ITE_LUC_Rates!Q77</f>
        <v>14048.1</v>
      </c>
      <c r="H97" s="104">
        <f>FEE_1_In!$H95</f>
        <v>8463.9144291315297</v>
      </c>
      <c r="I97" s="104">
        <f>+FEE_1_In!S95</f>
        <v>6216.8792775624906</v>
      </c>
      <c r="J97" s="104">
        <f>+FEE_1_In!V95</f>
        <v>2114.2052867030811</v>
      </c>
      <c r="K97" s="104">
        <f>+FEE_1_In!Y95</f>
        <v>132.82986486595775</v>
      </c>
      <c r="L97" s="104">
        <f>+FEE_2_In!H95</f>
        <v>10067.02784872399</v>
      </c>
      <c r="M97" s="104">
        <f>+FEE_2_In!S95</f>
        <v>8348.4557251438291</v>
      </c>
      <c r="N97" s="104">
        <f>+FEE_2_In!V95</f>
        <v>1647.3903036487011</v>
      </c>
      <c r="O97" s="61">
        <f>+FEE_2_In!Y95</f>
        <v>71.181819931459771</v>
      </c>
      <c r="P97" s="61">
        <f>+FEE_3_In!H95</f>
        <v>10013.895205950861</v>
      </c>
      <c r="Q97" s="61">
        <f>+FEE_3_In!S95</f>
        <v>9006.553848562573</v>
      </c>
      <c r="R97" s="61">
        <f>+FEE_3_In!V95</f>
        <v>964.05930119879497</v>
      </c>
      <c r="S97" s="61">
        <f>+FEE_3_In!Y95</f>
        <v>43.282056189493709</v>
      </c>
      <c r="T97" s="61">
        <f>+FEE_4_In!H95</f>
        <v>9400.0587725932892</v>
      </c>
      <c r="U97" s="61">
        <f>+FEE_4_In!S95</f>
        <v>7822.5866876633681</v>
      </c>
      <c r="V97" s="61">
        <f>+FEE_4_In!V95</f>
        <v>1535.9784106526613</v>
      </c>
      <c r="W97" s="61">
        <f>+FEE_4_In!Y95</f>
        <v>41.493674277258535</v>
      </c>
      <c r="X97" s="61">
        <f>FEE_1_In!$H95</f>
        <v>8463.9144291315297</v>
      </c>
      <c r="Y97" s="61">
        <f>+FEE_1_Out!S95</f>
        <v>7336.540800186458</v>
      </c>
      <c r="Z97" s="61">
        <f>+FEE_1_Out!V95</f>
        <v>574.66205471803767</v>
      </c>
      <c r="AA97" s="61">
        <f>+FEE_1_Out!Y95</f>
        <v>106.29416080329307</v>
      </c>
      <c r="AB97" s="61">
        <f>+FEE_2_Out!H95</f>
        <v>8778.2350292200244</v>
      </c>
      <c r="AC97" s="61">
        <f>+FEE_2_Out!S95</f>
        <v>8289.3554833450817</v>
      </c>
      <c r="AD97" s="61">
        <f>+FEE_2_Out!V95</f>
        <v>420.43654014759443</v>
      </c>
      <c r="AE97" s="61">
        <f>+FEE_2_Out!Y95</f>
        <v>68.443005727347199</v>
      </c>
      <c r="AF97" s="61">
        <f>+FEE_3_Out!H95</f>
        <v>9679.56194373373</v>
      </c>
      <c r="AG97" s="61">
        <f>+FEE_3_Out!S95</f>
        <v>9220.908859821131</v>
      </c>
      <c r="AH97" s="61">
        <f>+FEE_3_Out!V95</f>
        <v>418.68740472281837</v>
      </c>
      <c r="AI97" s="61">
        <f>+FEE_3_Out!Y95</f>
        <v>39.965679189782335</v>
      </c>
      <c r="AJ97" s="61">
        <f>+FEE_4_Out!H95</f>
        <v>10142.086482481671</v>
      </c>
      <c r="AK97" s="61">
        <f>+FEE_4_Out!S95</f>
        <v>9497.1864260181337</v>
      </c>
      <c r="AL97" s="61">
        <f>+FEE_4_Out!V95</f>
        <v>607.25423459403942</v>
      </c>
      <c r="AM97" s="61">
        <f>+FEE_4_Out!Y95</f>
        <v>37.645821869496864</v>
      </c>
    </row>
    <row r="98" spans="2:39" s="20" customFormat="1" x14ac:dyDescent="0.25">
      <c r="B98" s="55">
        <f>ITE_LUC_Rates!B78</f>
        <v>820</v>
      </c>
      <c r="C98" s="56" t="str">
        <f>ITE_LUC_Rates!C78</f>
        <v>50,001 - 100,000</v>
      </c>
      <c r="D98" s="57" t="str">
        <f>ITE_LUC_Rates!D78</f>
        <v>1000 GSF</v>
      </c>
      <c r="E98" s="129">
        <f>ITE_LUC_Rates!H78</f>
        <v>65.917489686786567</v>
      </c>
      <c r="F98" s="58" t="s">
        <v>71</v>
      </c>
      <c r="G98" s="104">
        <f>ITE_LUC_Rates!Q78</f>
        <v>13383.7</v>
      </c>
      <c r="H98" s="104">
        <f>FEE_1_In!$H96</f>
        <v>6312.9225494338752</v>
      </c>
      <c r="I98" s="104">
        <f>+FEE_1_In!S96</f>
        <v>4636.941654720802</v>
      </c>
      <c r="J98" s="104">
        <f>+FEE_1_In!V96</f>
        <v>1576.907982744066</v>
      </c>
      <c r="K98" s="104">
        <f>+FEE_1_In!Y96</f>
        <v>99.072911969007336</v>
      </c>
      <c r="L98" s="104">
        <f>+FEE_2_In!H96</f>
        <v>7508.6259016573622</v>
      </c>
      <c r="M98" s="104">
        <f>+FEE_2_In!S96</f>
        <v>6226.8061476158637</v>
      </c>
      <c r="N98" s="104">
        <f>+FEE_2_In!V96</f>
        <v>1228.7278519532151</v>
      </c>
      <c r="O98" s="61">
        <f>+FEE_2_In!Y96</f>
        <v>53.091902088282673</v>
      </c>
      <c r="P98" s="61">
        <f>+FEE_3_In!H96</f>
        <v>7468.9962171323123</v>
      </c>
      <c r="Q98" s="61">
        <f>+FEE_3_In!S96</f>
        <v>6717.6573392076716</v>
      </c>
      <c r="R98" s="61">
        <f>+FEE_3_In!V96</f>
        <v>719.05638372029443</v>
      </c>
      <c r="S98" s="61">
        <f>+FEE_3_In!Y96</f>
        <v>32.282494204345973</v>
      </c>
      <c r="T98" s="61">
        <f>+FEE_4_In!H96</f>
        <v>7011.1581926280023</v>
      </c>
      <c r="U98" s="61">
        <f>+FEE_4_In!S96</f>
        <v>5834.5797690819145</v>
      </c>
      <c r="V98" s="61">
        <f>+FEE_4_In!V96</f>
        <v>1145.6298176501928</v>
      </c>
      <c r="W98" s="61">
        <f>+FEE_4_In!Y96</f>
        <v>30.948605895894872</v>
      </c>
      <c r="X98" s="61">
        <f>FEE_1_In!$H96</f>
        <v>6312.9225494338752</v>
      </c>
      <c r="Y98" s="61">
        <f>+FEE_1_Out!S96</f>
        <v>5472.0560138142901</v>
      </c>
      <c r="Z98" s="61">
        <f>+FEE_1_Out!V96</f>
        <v>428.61929594268668</v>
      </c>
      <c r="AA98" s="61">
        <f>+FEE_1_Out!Y96</f>
        <v>79.280906042561739</v>
      </c>
      <c r="AB98" s="61">
        <f>+FEE_2_Out!H96</f>
        <v>6547.3627272812128</v>
      </c>
      <c r="AC98" s="61">
        <f>+FEE_2_Out!S96</f>
        <v>6182.7254504098319</v>
      </c>
      <c r="AD98" s="61">
        <f>+FEE_2_Out!V96</f>
        <v>313.58815559009042</v>
      </c>
      <c r="AE98" s="61">
        <f>+FEE_2_Out!Y96</f>
        <v>51.049121281290724</v>
      </c>
      <c r="AF98" s="61">
        <f>+FEE_3_Out!H96</f>
        <v>7219.6293304809205</v>
      </c>
      <c r="AG98" s="61">
        <f>+FEE_3_Out!S96</f>
        <v>6877.5368601419523</v>
      </c>
      <c r="AH98" s="61">
        <f>+FEE_3_Out!V96</f>
        <v>312.28353979351795</v>
      </c>
      <c r="AI98" s="61">
        <f>+FEE_3_Out!Y96</f>
        <v>29.80893054545038</v>
      </c>
      <c r="AJ98" s="61">
        <f>+FEE_4_Out!H96</f>
        <v>7564.6093766258309</v>
      </c>
      <c r="AK98" s="61">
        <f>+FEE_4_Out!S96</f>
        <v>7083.6021378750038</v>
      </c>
      <c r="AL98" s="61">
        <f>+FEE_4_Out!V96</f>
        <v>452.92860447801985</v>
      </c>
      <c r="AM98" s="61">
        <f>+FEE_4_Out!Y96</f>
        <v>28.07863427280693</v>
      </c>
    </row>
    <row r="99" spans="2:39" s="20" customFormat="1" x14ac:dyDescent="0.25">
      <c r="B99" s="55">
        <f>ITE_LUC_Rates!B79</f>
        <v>820</v>
      </c>
      <c r="C99" s="56" t="str">
        <f>ITE_LUC_Rates!C79</f>
        <v>100,001 - 200,000</v>
      </c>
      <c r="D99" s="57" t="str">
        <f>ITE_LUC_Rates!D79</f>
        <v>1000 GSF</v>
      </c>
      <c r="E99" s="129">
        <f>ITE_LUC_Rates!H79</f>
        <v>52.804515394409307</v>
      </c>
      <c r="F99" s="58" t="s">
        <v>71</v>
      </c>
      <c r="G99" s="104">
        <f>ITE_LUC_Rates!Q79</f>
        <v>20241.2</v>
      </c>
      <c r="H99" s="104">
        <f>FEE_1_In!$H97</f>
        <v>22851.482874241199</v>
      </c>
      <c r="I99" s="104">
        <f>+FEE_1_In!S97</f>
        <v>16784.776303205294</v>
      </c>
      <c r="J99" s="104">
        <f>+FEE_1_In!V97</f>
        <v>5708.0829805462654</v>
      </c>
      <c r="K99" s="104">
        <f>+FEE_1_In!Y97</f>
        <v>358.62359048963816</v>
      </c>
      <c r="L99" s="104">
        <f>+FEE_2_In!H97</f>
        <v>27179.683396590084</v>
      </c>
      <c r="M99" s="104">
        <f>+FEE_2_In!S97</f>
        <v>22539.759189065928</v>
      </c>
      <c r="N99" s="104">
        <f>+FEE_2_In!V97</f>
        <v>4447.7424277175769</v>
      </c>
      <c r="O99" s="61">
        <f>+FEE_2_In!Y97</f>
        <v>192.18177980657794</v>
      </c>
      <c r="P99" s="61">
        <f>+FEE_3_In!H97</f>
        <v>27036.232079051435</v>
      </c>
      <c r="Q99" s="61">
        <f>+FEE_3_In!S97</f>
        <v>24316.539675540764</v>
      </c>
      <c r="R99" s="61">
        <f>+FEE_3_In!V97</f>
        <v>2602.8364057264794</v>
      </c>
      <c r="S99" s="61">
        <f>+FEE_3_In!Y97</f>
        <v>116.85599778418916</v>
      </c>
      <c r="T99" s="61">
        <f>+FEE_4_In!H97</f>
        <v>25378.952476108276</v>
      </c>
      <c r="U99" s="61">
        <f>+FEE_4_In!S97</f>
        <v>21119.980267067593</v>
      </c>
      <c r="V99" s="61">
        <f>+FEE_4_In!V97</f>
        <v>4146.9446129354355</v>
      </c>
      <c r="W99" s="61">
        <f>+FEE_4_In!Y97</f>
        <v>112.0275961052466</v>
      </c>
      <c r="X99" s="61">
        <f>FEE_1_In!$H97</f>
        <v>22851.482874241199</v>
      </c>
      <c r="Y99" s="61">
        <f>+FEE_1_Out!S97</f>
        <v>19807.718739996177</v>
      </c>
      <c r="Z99" s="61">
        <f>+FEE_1_Out!V97</f>
        <v>1551.5138074491304</v>
      </c>
      <c r="AA99" s="61">
        <f>+FEE_1_Out!Y97</f>
        <v>286.98059456604477</v>
      </c>
      <c r="AB99" s="61">
        <f>+FEE_2_Out!H97</f>
        <v>23700.108161049589</v>
      </c>
      <c r="AC99" s="61">
        <f>+FEE_2_Out!S97</f>
        <v>22380.196119916825</v>
      </c>
      <c r="AD99" s="61">
        <f>+FEE_2_Out!V97</f>
        <v>1135.1247082342957</v>
      </c>
      <c r="AE99" s="61">
        <f>+FEE_2_Out!Y97</f>
        <v>184.78733289846707</v>
      </c>
      <c r="AF99" s="61">
        <f>+FEE_3_Out!H97</f>
        <v>26133.575172508503</v>
      </c>
      <c r="AG99" s="61">
        <f>+FEE_3_Out!S97</f>
        <v>24895.270700032623</v>
      </c>
      <c r="AH99" s="61">
        <f>+FEE_3_Out!V97</f>
        <v>1130.402267035407</v>
      </c>
      <c r="AI99" s="61">
        <f>+FEE_3_Out!Y97</f>
        <v>107.90220544047237</v>
      </c>
      <c r="AJ99" s="61">
        <f>+FEE_4_Out!H97</f>
        <v>27382.332076257037</v>
      </c>
      <c r="AK99" s="61">
        <f>+FEE_4_Out!S97</f>
        <v>25641.184676993238</v>
      </c>
      <c r="AL99" s="61">
        <f>+FEE_4_Out!V97</f>
        <v>1639.5085109053969</v>
      </c>
      <c r="AM99" s="61">
        <f>+FEE_4_Out!Y97</f>
        <v>101.63888835839903</v>
      </c>
    </row>
    <row r="100" spans="2:39" s="20" customFormat="1" x14ac:dyDescent="0.25">
      <c r="B100" s="55">
        <f>ITE_LUC_Rates!B80</f>
        <v>820</v>
      </c>
      <c r="C100" s="56" t="str">
        <f>ITE_LUC_Rates!C80</f>
        <v>200,001 - 300,000</v>
      </c>
      <c r="D100" s="57" t="str">
        <f>ITE_LUC_Rates!D80</f>
        <v>1000 GSF</v>
      </c>
      <c r="E100" s="129">
        <f>ITE_LUC_Rates!H80</f>
        <v>44.841430781139344</v>
      </c>
      <c r="F100" s="58" t="s">
        <v>71</v>
      </c>
      <c r="G100" s="104">
        <f>ITE_LUC_Rates!Q80</f>
        <v>18774.5</v>
      </c>
      <c r="H100" s="104">
        <f>FEE_1_In!$H98</f>
        <v>19405.408418162799</v>
      </c>
      <c r="I100" s="104">
        <f>+FEE_1_In!S98</f>
        <v>14253.580004576184</v>
      </c>
      <c r="J100" s="104">
        <f>+FEE_1_In!V98</f>
        <v>4847.2863722609709</v>
      </c>
      <c r="K100" s="104">
        <f>+FEE_1_In!Y98</f>
        <v>304.54204132564337</v>
      </c>
      <c r="L100" s="104">
        <f>+FEE_2_In!H98</f>
        <v>23080.902884500567</v>
      </c>
      <c r="M100" s="104">
        <f>+FEE_2_In!S98</f>
        <v>19140.693631042373</v>
      </c>
      <c r="N100" s="104">
        <f>+FEE_2_In!V98</f>
        <v>3777.0090818019407</v>
      </c>
      <c r="O100" s="61">
        <f>+FEE_2_In!Y98</f>
        <v>163.20017165625251</v>
      </c>
      <c r="P100" s="61">
        <f>+FEE_3_In!H98</f>
        <v>22959.08447033984</v>
      </c>
      <c r="Q100" s="61">
        <f>+FEE_3_In!S98</f>
        <v>20649.53011221148</v>
      </c>
      <c r="R100" s="61">
        <f>+FEE_3_In!V98</f>
        <v>2210.3206070587412</v>
      </c>
      <c r="S100" s="61">
        <f>+FEE_3_In!Y98</f>
        <v>99.233751069619231</v>
      </c>
      <c r="T100" s="61">
        <f>+FEE_4_In!H98</f>
        <v>21551.727769018089</v>
      </c>
      <c r="U100" s="61">
        <f>+FEE_4_In!S98</f>
        <v>17935.02177173677</v>
      </c>
      <c r="V100" s="61">
        <f>+FEE_4_In!V98</f>
        <v>3521.572509949614</v>
      </c>
      <c r="W100" s="61">
        <f>+FEE_4_In!Y98</f>
        <v>95.133487331704814</v>
      </c>
      <c r="X100" s="61">
        <f>FEE_1_In!$H98</f>
        <v>19405.408418162799</v>
      </c>
      <c r="Y100" s="61">
        <f>+FEE_1_Out!S98</f>
        <v>16820.65335090366</v>
      </c>
      <c r="Z100" s="61">
        <f>+FEE_1_Out!V98</f>
        <v>1317.5407156577767</v>
      </c>
      <c r="AA100" s="61">
        <f>+FEE_1_Out!Y98</f>
        <v>243.70303127762398</v>
      </c>
      <c r="AB100" s="61">
        <f>+FEE_2_Out!H98</f>
        <v>20126.058381017527</v>
      </c>
      <c r="AC100" s="61">
        <f>+FEE_2_Out!S98</f>
        <v>19005.193167359805</v>
      </c>
      <c r="AD100" s="61">
        <f>+FEE_2_Out!V98</f>
        <v>963.94438339336193</v>
      </c>
      <c r="AE100" s="61">
        <f>+FEE_2_Out!Y98</f>
        <v>156.9208302643614</v>
      </c>
      <c r="AF100" s="61">
        <f>+FEE_3_Out!H98</f>
        <v>22192.551023502307</v>
      </c>
      <c r="AG100" s="61">
        <f>+FEE_3_Out!S98</f>
        <v>21140.986704167954</v>
      </c>
      <c r="AH100" s="61">
        <f>+FEE_3_Out!V98</f>
        <v>959.93410096663615</v>
      </c>
      <c r="AI100" s="61">
        <f>+FEE_3_Out!Y98</f>
        <v>91.630218367717362</v>
      </c>
      <c r="AJ100" s="61">
        <f>+FEE_4_Out!H98</f>
        <v>23252.991515071288</v>
      </c>
      <c r="AK100" s="61">
        <f>+FEE_4_Out!S98</f>
        <v>21774.414541100716</v>
      </c>
      <c r="AL100" s="61">
        <f>+FEE_4_Out!V98</f>
        <v>1392.2655450529317</v>
      </c>
      <c r="AM100" s="61">
        <f>+FEE_4_Out!Y98</f>
        <v>86.311428917642147</v>
      </c>
    </row>
    <row r="101" spans="2:39" s="20" customFormat="1" x14ac:dyDescent="0.25">
      <c r="B101" s="55">
        <f>ITE_LUC_Rates!B81</f>
        <v>820</v>
      </c>
      <c r="C101" s="56" t="str">
        <f>ITE_LUC_Rates!C81</f>
        <v>300,001 - 400,000</v>
      </c>
      <c r="D101" s="57" t="str">
        <f>ITE_LUC_Rates!D81</f>
        <v>1000 GSF</v>
      </c>
      <c r="E101" s="129">
        <f>ITE_LUC_Rates!H81</f>
        <v>40.264145799881483</v>
      </c>
      <c r="F101" s="58" t="s">
        <v>71</v>
      </c>
      <c r="G101" s="104">
        <f>ITE_LUC_Rates!Q81</f>
        <v>25847.3</v>
      </c>
      <c r="H101" s="104">
        <f>FEE_1_In!$H99</f>
        <v>17424.559837724741</v>
      </c>
      <c r="I101" s="104">
        <f>+FEE_1_In!S99</f>
        <v>12798.615331335977</v>
      </c>
      <c r="J101" s="104">
        <f>+FEE_1_In!V99</f>
        <v>4352.4892454721848</v>
      </c>
      <c r="K101" s="104">
        <f>+FEE_1_In!Y99</f>
        <v>273.45526091658036</v>
      </c>
      <c r="L101" s="104">
        <f>+FEE_2_In!H99</f>
        <v>20724.870343015915</v>
      </c>
      <c r="M101" s="104">
        <f>+FEE_2_In!S99</f>
        <v>17186.866378833489</v>
      </c>
      <c r="N101" s="104">
        <f>+FEE_2_In!V99</f>
        <v>3391.4627992003125</v>
      </c>
      <c r="O101" s="61">
        <f>+FEE_2_In!Y99</f>
        <v>146.54116498211516</v>
      </c>
      <c r="P101" s="61">
        <f>+FEE_3_In!H99</f>
        <v>20615.486804100368</v>
      </c>
      <c r="Q101" s="61">
        <f>+FEE_3_In!S99</f>
        <v>18541.685148165132</v>
      </c>
      <c r="R101" s="61">
        <f>+FEE_3_In!V99</f>
        <v>1984.6974023078769</v>
      </c>
      <c r="S101" s="61">
        <f>+FEE_3_In!Y99</f>
        <v>89.104253627358815</v>
      </c>
      <c r="T101" s="61">
        <f>+FEE_4_In!H99</f>
        <v>19351.789048981154</v>
      </c>
      <c r="U101" s="61">
        <f>+FEE_4_In!S99</f>
        <v>16104.266053994759</v>
      </c>
      <c r="V101" s="61">
        <f>+FEE_4_In!V99</f>
        <v>3162.1004619037517</v>
      </c>
      <c r="W101" s="61">
        <f>+FEE_4_In!Y99</f>
        <v>85.42253308264344</v>
      </c>
      <c r="X101" s="61">
        <f>FEE_1_In!$H99</f>
        <v>17424.559837724741</v>
      </c>
      <c r="Y101" s="61">
        <f>+FEE_1_Out!S99</f>
        <v>15103.649173810818</v>
      </c>
      <c r="Z101" s="61">
        <f>+FEE_1_Out!V99</f>
        <v>1183.0499283452398</v>
      </c>
      <c r="AA101" s="61">
        <f>+FEE_1_Out!Y99</f>
        <v>218.82652297889078</v>
      </c>
      <c r="AB101" s="61">
        <f>+FEE_2_Out!H99</f>
        <v>18071.647913854253</v>
      </c>
      <c r="AC101" s="61">
        <f>+FEE_2_Out!S99</f>
        <v>17065.197414872579</v>
      </c>
      <c r="AD101" s="61">
        <f>+FEE_2_Out!V99</f>
        <v>865.54769818477735</v>
      </c>
      <c r="AE101" s="61">
        <f>+FEE_2_Out!Y99</f>
        <v>140.90280079689657</v>
      </c>
      <c r="AF101" s="61">
        <f>+FEE_3_Out!H99</f>
        <v>19927.19889877925</v>
      </c>
      <c r="AG101" s="61">
        <f>+FEE_3_Out!S99</f>
        <v>18982.97525706976</v>
      </c>
      <c r="AH101" s="61">
        <f>+FEE_3_Out!V99</f>
        <v>861.94677391640414</v>
      </c>
      <c r="AI101" s="61">
        <f>+FEE_3_Out!Y99</f>
        <v>82.27686779308894</v>
      </c>
      <c r="AJ101" s="61">
        <f>+FEE_4_Out!H99</f>
        <v>20879.392658452743</v>
      </c>
      <c r="AK101" s="61">
        <f>+FEE_4_Out!S99</f>
        <v>19551.74459238481</v>
      </c>
      <c r="AL101" s="61">
        <f>+FEE_4_Out!V99</f>
        <v>1250.1470609127239</v>
      </c>
      <c r="AM101" s="61">
        <f>+FEE_4_Out!Y99</f>
        <v>77.501005155209498</v>
      </c>
    </row>
    <row r="102" spans="2:39" s="20" customFormat="1" x14ac:dyDescent="0.25">
      <c r="B102" s="55">
        <f>ITE_LUC_Rates!B82</f>
        <v>820</v>
      </c>
      <c r="C102" s="56" t="str">
        <f>ITE_LUC_Rates!C82</f>
        <v>400,001 - 500,000</v>
      </c>
      <c r="D102" s="57" t="str">
        <f>ITE_LUC_Rates!D82</f>
        <v>1000 GSF</v>
      </c>
      <c r="E102" s="129">
        <f>ITE_LUC_Rates!H82</f>
        <v>37.152860747503944</v>
      </c>
      <c r="F102" s="58" t="s">
        <v>71</v>
      </c>
      <c r="G102" s="104">
        <f>ITE_LUC_Rates!Q82</f>
        <v>24653.1</v>
      </c>
      <c r="H102" s="104">
        <f>FEE_1_In!$H100</f>
        <v>16078.131855946211</v>
      </c>
      <c r="I102" s="104">
        <f>+FEE_1_In!S100</f>
        <v>11809.642641602848</v>
      </c>
      <c r="J102" s="104">
        <f>+FEE_1_In!V100</f>
        <v>4016.1643474505941</v>
      </c>
      <c r="K102" s="104">
        <f>+FEE_1_In!Y100</f>
        <v>252.32486689276723</v>
      </c>
      <c r="L102" s="104">
        <f>+FEE_2_In!H100</f>
        <v>19123.421261464115</v>
      </c>
      <c r="M102" s="104">
        <f>+FEE_2_In!S100</f>
        <v>15858.805410461175</v>
      </c>
      <c r="N102" s="104">
        <f>+FEE_2_In!V100</f>
        <v>3129.3981930047548</v>
      </c>
      <c r="O102" s="61">
        <f>+FEE_2_In!Y100</f>
        <v>135.21765799818732</v>
      </c>
      <c r="P102" s="61">
        <f>+FEE_3_In!H100</f>
        <v>19022.489991008337</v>
      </c>
      <c r="Q102" s="61">
        <f>+FEE_3_In!S100</f>
        <v>17108.934826474542</v>
      </c>
      <c r="R102" s="61">
        <f>+FEE_3_In!V100</f>
        <v>1831.3361614663736</v>
      </c>
      <c r="S102" s="61">
        <f>+FEE_3_In!Y100</f>
        <v>82.219003067420829</v>
      </c>
      <c r="T102" s="61">
        <f>+FEE_4_In!H100</f>
        <v>17856.440499825156</v>
      </c>
      <c r="U102" s="61">
        <f>+FEE_4_In!S100</f>
        <v>14859.859616010612</v>
      </c>
      <c r="V102" s="61">
        <f>+FEE_4_In!V100</f>
        <v>2917.7591079325416</v>
      </c>
      <c r="W102" s="61">
        <f>+FEE_4_In!Y100</f>
        <v>78.821775882001745</v>
      </c>
      <c r="X102" s="61">
        <f>FEE_1_In!$H100</f>
        <v>16078.131855946211</v>
      </c>
      <c r="Y102" s="61">
        <f>+FEE_1_Out!S100</f>
        <v>13936.562253740847</v>
      </c>
      <c r="Z102" s="61">
        <f>+FEE_1_Out!V100</f>
        <v>1091.6334712180728</v>
      </c>
      <c r="AA102" s="61">
        <f>+FEE_1_Out!Y100</f>
        <v>201.9173926227719</v>
      </c>
      <c r="AB102" s="61">
        <f>+FEE_2_Out!H100</f>
        <v>16675.218239034974</v>
      </c>
      <c r="AC102" s="61">
        <f>+FEE_2_Out!S100</f>
        <v>15746.538032486742</v>
      </c>
      <c r="AD102" s="61">
        <f>+FEE_2_Out!V100</f>
        <v>798.66522590121019</v>
      </c>
      <c r="AE102" s="61">
        <f>+FEE_2_Out!Y100</f>
        <v>130.01498064702011</v>
      </c>
      <c r="AF102" s="61">
        <f>+FEE_3_Out!H100</f>
        <v>18387.387365767456</v>
      </c>
      <c r="AG102" s="61">
        <f>+FEE_3_Out!S100</f>
        <v>17516.125632082865</v>
      </c>
      <c r="AH102" s="61">
        <f>+FEE_3_Out!V100</f>
        <v>795.34255171435143</v>
      </c>
      <c r="AI102" s="61">
        <f>+FEE_3_Out!Y100</f>
        <v>75.919181970238725</v>
      </c>
      <c r="AJ102" s="61">
        <f>+FEE_4_Out!H100</f>
        <v>19266.003351652733</v>
      </c>
      <c r="AK102" s="61">
        <f>+FEE_4_Out!S100</f>
        <v>18040.945108384101</v>
      </c>
      <c r="AL102" s="61">
        <f>+FEE_4_Out!V100</f>
        <v>1153.5458841927916</v>
      </c>
      <c r="AM102" s="61">
        <f>+FEE_4_Out!Y100</f>
        <v>71.512359075839612</v>
      </c>
    </row>
    <row r="103" spans="2:39" s="20" customFormat="1" x14ac:dyDescent="0.25">
      <c r="B103" s="55">
        <f>ITE_LUC_Rates!B83</f>
        <v>820</v>
      </c>
      <c r="C103" s="56" t="str">
        <f>ITE_LUC_Rates!C83</f>
        <v>500,001 - 600,000</v>
      </c>
      <c r="D103" s="57" t="str">
        <f>ITE_LUC_Rates!D83</f>
        <v>1000 GSF</v>
      </c>
      <c r="E103" s="129">
        <f>ITE_LUC_Rates!H83</f>
        <v>34.84209042728628</v>
      </c>
      <c r="F103" s="58" t="s">
        <v>71</v>
      </c>
      <c r="G103" s="104">
        <f>ITE_LUC_Rates!Q83</f>
        <v>23479</v>
      </c>
      <c r="H103" s="104">
        <f>FEE_1_In!$H101</f>
        <v>15078.131609672775</v>
      </c>
      <c r="I103" s="104">
        <f>+FEE_1_In!S101</f>
        <v>11075.12661350867</v>
      </c>
      <c r="J103" s="104">
        <f>+FEE_1_In!V101</f>
        <v>3766.3738013530456</v>
      </c>
      <c r="K103" s="104">
        <f>+FEE_1_In!Y101</f>
        <v>236.63119481105949</v>
      </c>
      <c r="L103" s="104">
        <f>+FEE_2_In!H101</f>
        <v>17934.015294253921</v>
      </c>
      <c r="M103" s="104">
        <f>+FEE_2_In!S101</f>
        <v>14872.446456687663</v>
      </c>
      <c r="N103" s="104">
        <f>+FEE_2_In!V101</f>
        <v>2934.7612170344996</v>
      </c>
      <c r="O103" s="61">
        <f>+FEE_2_In!Y101</f>
        <v>126.80762053175764</v>
      </c>
      <c r="P103" s="61">
        <f>+FEE_3_In!H101</f>
        <v>17839.361574959981</v>
      </c>
      <c r="Q103" s="61">
        <f>+FEE_3_In!S101</f>
        <v>16044.822453641675</v>
      </c>
      <c r="R103" s="61">
        <f>+FEE_3_In!V101</f>
        <v>1717.4338356934613</v>
      </c>
      <c r="S103" s="61">
        <f>+FEE_3_In!Y101</f>
        <v>77.10528562484555</v>
      </c>
      <c r="T103" s="61">
        <f>+FEE_4_In!H101</f>
        <v>16745.836042952997</v>
      </c>
      <c r="U103" s="61">
        <f>+FEE_4_In!S101</f>
        <v>13935.631390446981</v>
      </c>
      <c r="V103" s="61">
        <f>+FEE_4_In!V101</f>
        <v>2736.2852991193608</v>
      </c>
      <c r="W103" s="61">
        <f>+FEE_4_In!Y101</f>
        <v>73.919353386656894</v>
      </c>
      <c r="X103" s="61">
        <f>FEE_1_In!$H101</f>
        <v>15078.131609672775</v>
      </c>
      <c r="Y103" s="61">
        <f>+FEE_1_Out!S101</f>
        <v>13069.759704115548</v>
      </c>
      <c r="Z103" s="61">
        <f>+FEE_1_Out!V101</f>
        <v>1023.7379128385912</v>
      </c>
      <c r="AA103" s="61">
        <f>+FEE_1_Out!Y101</f>
        <v>189.35887872583641</v>
      </c>
      <c r="AB103" s="61">
        <f>+FEE_2_Out!H101</f>
        <v>15638.081431406963</v>
      </c>
      <c r="AC103" s="61">
        <f>+FEE_2_Out!S101</f>
        <v>14767.161693772541</v>
      </c>
      <c r="AD103" s="61">
        <f>+FEE_2_Out!V101</f>
        <v>748.99120719387713</v>
      </c>
      <c r="AE103" s="61">
        <f>+FEE_2_Out!Y101</f>
        <v>121.92853044054462</v>
      </c>
      <c r="AF103" s="61">
        <f>+FEE_3_Out!H101</f>
        <v>17243.759980519193</v>
      </c>
      <c r="AG103" s="61">
        <f>+FEE_3_Out!S101</f>
        <v>16426.687499420623</v>
      </c>
      <c r="AH103" s="61">
        <f>+FEE_3_Out!V101</f>
        <v>745.87519103389081</v>
      </c>
      <c r="AI103" s="61">
        <f>+FEE_3_Out!Y101</f>
        <v>71.197290064678867</v>
      </c>
      <c r="AJ103" s="61">
        <f>+FEE_4_Out!H101</f>
        <v>18067.729306572528</v>
      </c>
      <c r="AK103" s="61">
        <f>+FEE_4_Out!S101</f>
        <v>16918.865148284913</v>
      </c>
      <c r="AL103" s="61">
        <f>+FEE_4_Out!V101</f>
        <v>1081.7996030566608</v>
      </c>
      <c r="AM103" s="61">
        <f>+FEE_4_Out!Y101</f>
        <v>67.064555230955321</v>
      </c>
    </row>
    <row r="104" spans="2:39" s="20" customFormat="1" x14ac:dyDescent="0.25">
      <c r="B104" s="55">
        <f>ITE_LUC_Rates!B84</f>
        <v>820</v>
      </c>
      <c r="C104" s="56" t="str">
        <f>ITE_LUC_Rates!C84</f>
        <v>600,001 - 800,000</v>
      </c>
      <c r="D104" s="57" t="str">
        <f>ITE_LUC_Rates!D84</f>
        <v>1000 GSF</v>
      </c>
      <c r="E104" s="129">
        <f>ITE_LUC_Rates!H84</f>
        <v>32.254394347161764</v>
      </c>
      <c r="F104" s="58" t="s">
        <v>71</v>
      </c>
      <c r="G104" s="104">
        <f>ITE_LUC_Rates!Q84</f>
        <v>21864.3</v>
      </c>
      <c r="H104" s="104">
        <f>FEE_1_In!$H102</f>
        <v>13958.290016259209</v>
      </c>
      <c r="I104" s="104">
        <f>+FEE_1_In!S102</f>
        <v>10252.585216789976</v>
      </c>
      <c r="J104" s="104">
        <f>+FEE_1_In!V102</f>
        <v>3486.64802708055</v>
      </c>
      <c r="K104" s="104">
        <f>+FEE_1_In!Y102</f>
        <v>219.05677238868327</v>
      </c>
      <c r="L104" s="104">
        <f>+FEE_2_In!H102</f>
        <v>16602.069348740555</v>
      </c>
      <c r="M104" s="104">
        <f>+FEE_2_In!S102</f>
        <v>13767.880946241341</v>
      </c>
      <c r="N104" s="104">
        <f>+FEE_2_In!V102</f>
        <v>2716.7986894051519</v>
      </c>
      <c r="O104" s="61">
        <f>+FEE_2_In!Y102</f>
        <v>117.38971309406362</v>
      </c>
      <c r="P104" s="61">
        <f>+FEE_3_In!H102</f>
        <v>16514.445490611153</v>
      </c>
      <c r="Q104" s="61">
        <f>+FEE_3_In!S102</f>
        <v>14853.185451945958</v>
      </c>
      <c r="R104" s="61">
        <f>+FEE_3_In!V102</f>
        <v>1589.8813051192121</v>
      </c>
      <c r="S104" s="61">
        <f>+FEE_3_In!Y102</f>
        <v>71.378733545982982</v>
      </c>
      <c r="T104" s="61">
        <f>+FEE_4_In!H102</f>
        <v>15502.135284607526</v>
      </c>
      <c r="U104" s="61">
        <f>+FEE_4_In!S102</f>
        <v>12900.642436544291</v>
      </c>
      <c r="V104" s="61">
        <f>+FEE_4_In!V102</f>
        <v>2533.0634299433268</v>
      </c>
      <c r="W104" s="61">
        <f>+FEE_4_In!Y102</f>
        <v>68.429418119908632</v>
      </c>
      <c r="X104" s="61">
        <f>FEE_1_In!$H102</f>
        <v>13958.290016259209</v>
      </c>
      <c r="Y104" s="61">
        <f>+FEE_1_Out!S102</f>
        <v>12099.078394821228</v>
      </c>
      <c r="Z104" s="61">
        <f>+FEE_1_Out!V102</f>
        <v>947.70566128193252</v>
      </c>
      <c r="AA104" s="61">
        <f>+FEE_1_Out!Y102</f>
        <v>175.29533597606272</v>
      </c>
      <c r="AB104" s="61">
        <f>+FEE_2_Out!H102</f>
        <v>14476.65278219398</v>
      </c>
      <c r="AC104" s="61">
        <f>+FEE_2_Out!S102</f>
        <v>13670.415604174716</v>
      </c>
      <c r="AD104" s="61">
        <f>+FEE_2_Out!V102</f>
        <v>693.36418863285894</v>
      </c>
      <c r="AE104" s="61">
        <f>+FEE_2_Out!Y102</f>
        <v>112.87298938640487</v>
      </c>
      <c r="AF104" s="61">
        <f>+FEE_3_Out!H102</f>
        <v>15963.078782549152</v>
      </c>
      <c r="AG104" s="61">
        <f>+FEE_3_Out!S102</f>
        <v>15206.6896654677</v>
      </c>
      <c r="AH104" s="61">
        <f>+FEE_3_Out!V102</f>
        <v>690.47959666998361</v>
      </c>
      <c r="AI104" s="61">
        <f>+FEE_3_Out!Y102</f>
        <v>65.909520411467298</v>
      </c>
      <c r="AJ104" s="61">
        <f>+FEE_4_Out!H102</f>
        <v>16725.852521052395</v>
      </c>
      <c r="AK104" s="61">
        <f>+FEE_4_Out!S102</f>
        <v>15662.313647285258</v>
      </c>
      <c r="AL104" s="61">
        <f>+FEE_4_Out!V102</f>
        <v>1001.4551530543819</v>
      </c>
      <c r="AM104" s="61">
        <f>+FEE_4_Out!Y102</f>
        <v>62.08372071275636</v>
      </c>
    </row>
    <row r="105" spans="2:39" s="20" customFormat="1" x14ac:dyDescent="0.25">
      <c r="B105" s="55">
        <f>ITE_LUC_Rates!B85</f>
        <v>820</v>
      </c>
      <c r="C105" s="56" t="str">
        <f>ITE_LUC_Rates!C85</f>
        <v>800,001 - 1,000,000</v>
      </c>
      <c r="D105" s="57" t="str">
        <f>ITE_LUC_Rates!D85</f>
        <v>1000 GSF</v>
      </c>
      <c r="E105" s="129">
        <f>ITE_LUC_Rates!H85</f>
        <v>29.762037611107274</v>
      </c>
      <c r="F105" s="58" t="s">
        <v>71</v>
      </c>
      <c r="G105" s="104">
        <f>ITE_LUC_Rates!Q85</f>
        <v>20513.7</v>
      </c>
      <c r="H105" s="104">
        <f>FEE_1_In!$H103</f>
        <v>12879.707117712638</v>
      </c>
      <c r="I105" s="104">
        <f>+FEE_1_In!S103</f>
        <v>9460.3489852859784</v>
      </c>
      <c r="J105" s="104">
        <f>+FEE_1_In!V103</f>
        <v>3217.228282192053</v>
      </c>
      <c r="K105" s="104">
        <f>+FEE_1_In!Y103</f>
        <v>202.12985023460683</v>
      </c>
      <c r="L105" s="104">
        <f>+FEE_2_In!H103</f>
        <v>15319.196729015843</v>
      </c>
      <c r="M105" s="104">
        <f>+FEE_2_In!S103</f>
        <v>12704.011308875775</v>
      </c>
      <c r="N105" s="104">
        <f>+FEE_2_In!V103</f>
        <v>2506.866627399505</v>
      </c>
      <c r="O105" s="61">
        <f>+FEE_2_In!Y103</f>
        <v>108.31879274056338</v>
      </c>
      <c r="P105" s="61">
        <f>+FEE_3_In!H103</f>
        <v>15238.34372854687</v>
      </c>
      <c r="Q105" s="61">
        <f>+FEE_3_In!S103</f>
        <v>13705.452327132793</v>
      </c>
      <c r="R105" s="61">
        <f>+FEE_3_In!V103</f>
        <v>1467.0282346913168</v>
      </c>
      <c r="S105" s="61">
        <f>+FEE_3_In!Y103</f>
        <v>65.863166722759587</v>
      </c>
      <c r="T105" s="61">
        <f>+FEE_4_In!H103</f>
        <v>14304.256605381315</v>
      </c>
      <c r="U105" s="61">
        <f>+FEE_4_In!S103</f>
        <v>11903.785923596595</v>
      </c>
      <c r="V105" s="61">
        <f>+FEE_4_In!V103</f>
        <v>2337.3289314275276</v>
      </c>
      <c r="W105" s="61">
        <f>+FEE_4_In!Y103</f>
        <v>63.141750357191803</v>
      </c>
      <c r="X105" s="61">
        <f>FEE_1_In!$H103</f>
        <v>12879.707117712638</v>
      </c>
      <c r="Y105" s="61">
        <f>+FEE_1_Out!S103</f>
        <v>11164.160218624333</v>
      </c>
      <c r="Z105" s="61">
        <f>+FEE_1_Out!V103</f>
        <v>874.47469116139632</v>
      </c>
      <c r="AA105" s="61">
        <f>+FEE_1_Out!Y103</f>
        <v>161.74994099153963</v>
      </c>
      <c r="AB105" s="61">
        <f>+FEE_2_Out!H103</f>
        <v>13358.015033523985</v>
      </c>
      <c r="AC105" s="61">
        <f>+FEE_2_Out!S103</f>
        <v>12614.07729414449</v>
      </c>
      <c r="AD105" s="61">
        <f>+FEE_2_Out!V103</f>
        <v>639.78665474777051</v>
      </c>
      <c r="AE105" s="61">
        <f>+FEE_2_Out!Y103</f>
        <v>104.15108463172554</v>
      </c>
      <c r="AF105" s="61">
        <f>+FEE_3_Out!H103</f>
        <v>14729.582146288305</v>
      </c>
      <c r="AG105" s="61">
        <f>+FEE_3_Out!S103</f>
        <v>14031.640615937069</v>
      </c>
      <c r="AH105" s="61">
        <f>+FEE_3_Out!V103</f>
        <v>637.12496054363339</v>
      </c>
      <c r="AI105" s="61">
        <f>+FEE_3_Out!Y103</f>
        <v>60.816569807603408</v>
      </c>
      <c r="AJ105" s="61">
        <f>+FEE_4_Out!H103</f>
        <v>15433.414946549708</v>
      </c>
      <c r="AK105" s="61">
        <f>+FEE_4_Out!S103</f>
        <v>14452.057689574349</v>
      </c>
      <c r="AL105" s="61">
        <f>+FEE_4_Out!V103</f>
        <v>924.07086024433238</v>
      </c>
      <c r="AM105" s="61">
        <f>+FEE_4_Out!Y103</f>
        <v>57.286396731027963</v>
      </c>
    </row>
    <row r="106" spans="2:39" s="20" customFormat="1" x14ac:dyDescent="0.25">
      <c r="B106" s="55">
        <f>ITE_LUC_Rates!B86</f>
        <v>820</v>
      </c>
      <c r="C106" s="56" t="str">
        <f>ITE_LUC_Rates!C86</f>
        <v>1,000,001 - 1,200,000</v>
      </c>
      <c r="D106" s="57" t="str">
        <f>ITE_LUC_Rates!D86</f>
        <v>1000 GSF</v>
      </c>
      <c r="E106" s="129">
        <f>ITE_LUC_Rates!H86</f>
        <v>27.910949113552771</v>
      </c>
      <c r="F106" s="58" t="s">
        <v>71</v>
      </c>
      <c r="G106" s="104">
        <f>ITE_LUC_Rates!Q86</f>
        <v>19521.3</v>
      </c>
      <c r="H106" s="104">
        <f>FEE_1_In!$H104</f>
        <v>12078.637042840784</v>
      </c>
      <c r="I106" s="104">
        <f>+FEE_1_In!S104</f>
        <v>8871.9503205729579</v>
      </c>
      <c r="J106" s="104">
        <f>+FEE_1_In!V104</f>
        <v>3017.1286000066448</v>
      </c>
      <c r="K106" s="104">
        <f>+FEE_1_In!Y104</f>
        <v>189.5581222611815</v>
      </c>
      <c r="L106" s="104">
        <f>+FEE_2_In!H104</f>
        <v>14366.399436458403</v>
      </c>
      <c r="M106" s="104">
        <f>+FEE_2_In!S104</f>
        <v>11913.868862517</v>
      </c>
      <c r="N106" s="104">
        <f>+FEE_2_In!V104</f>
        <v>2350.9488088845978</v>
      </c>
      <c r="O106" s="61">
        <f>+FEE_2_In!Y104</f>
        <v>101.58176505680635</v>
      </c>
      <c r="P106" s="61">
        <f>+FEE_3_In!H104</f>
        <v>14290.5751931302</v>
      </c>
      <c r="Q106" s="61">
        <f>+FEE_3_In!S104</f>
        <v>12853.023958885957</v>
      </c>
      <c r="R106" s="61">
        <f>+FEE_3_In!V104</f>
        <v>1375.7845125272368</v>
      </c>
      <c r="S106" s="61">
        <f>+FEE_3_In!Y104</f>
        <v>61.766721717007883</v>
      </c>
      <c r="T106" s="61">
        <f>+FEE_4_In!H104</f>
        <v>13414.584829064243</v>
      </c>
      <c r="U106" s="61">
        <f>+FEE_4_In!S104</f>
        <v>11163.41453207946</v>
      </c>
      <c r="V106" s="61">
        <f>+FEE_4_In!V104</f>
        <v>2191.9557296158291</v>
      </c>
      <c r="W106" s="61">
        <f>+FEE_4_In!Y104</f>
        <v>59.214567368953276</v>
      </c>
      <c r="X106" s="61">
        <f>FEE_1_In!$H104</f>
        <v>12078.637042840784</v>
      </c>
      <c r="Y106" s="61">
        <f>+FEE_1_Out!S104</f>
        <v>10469.790806301617</v>
      </c>
      <c r="Z106" s="61">
        <f>+FEE_1_Out!V104</f>
        <v>820.0856045214656</v>
      </c>
      <c r="AA106" s="61">
        <f>+FEE_1_Out!Y104</f>
        <v>151.68969380141388</v>
      </c>
      <c r="AB106" s="61">
        <f>+FEE_2_Out!H104</f>
        <v>12527.195977993722</v>
      </c>
      <c r="AC106" s="61">
        <f>+FEE_2_Out!S104</f>
        <v>11829.52841037653</v>
      </c>
      <c r="AD106" s="61">
        <f>+FEE_2_Out!V104</f>
        <v>599.99429466250251</v>
      </c>
      <c r="AE106" s="61">
        <f>+FEE_2_Out!Y104</f>
        <v>97.673272954689608</v>
      </c>
      <c r="AF106" s="61">
        <f>+FEE_3_Out!H104</f>
        <v>13813.456696779338</v>
      </c>
      <c r="AG106" s="61">
        <f>+FEE_3_Out!S104</f>
        <v>13158.924544363857</v>
      </c>
      <c r="AH106" s="61">
        <f>+FEE_3_Out!V104</f>
        <v>597.49814797865497</v>
      </c>
      <c r="AI106" s="61">
        <f>+FEE_3_Out!Y104</f>
        <v>57.034004436825136</v>
      </c>
      <c r="AJ106" s="61">
        <f>+FEE_4_Out!H104</f>
        <v>14473.513703938484</v>
      </c>
      <c r="AK106" s="61">
        <f>+FEE_4_Out!S104</f>
        <v>13553.193233291919</v>
      </c>
      <c r="AL106" s="61">
        <f>+FEE_4_Out!V104</f>
        <v>866.59707559710114</v>
      </c>
      <c r="AM106" s="61">
        <f>+FEE_4_Out!Y104</f>
        <v>53.723395049463853</v>
      </c>
    </row>
    <row r="107" spans="2:39" s="20" customFormat="1" x14ac:dyDescent="0.25">
      <c r="B107" s="55">
        <f>ITE_LUC_Rates!B87</f>
        <v>820</v>
      </c>
      <c r="C107" s="56" t="str">
        <f>ITE_LUC_Rates!C87</f>
        <v>1,200,001 - more</v>
      </c>
      <c r="D107" s="57" t="str">
        <f>ITE_LUC_Rates!D87</f>
        <v>1000 GSF</v>
      </c>
      <c r="E107" s="129">
        <f>ITE_LUC_Rates!H87</f>
        <v>26.458084032221276</v>
      </c>
      <c r="F107" s="58" t="s">
        <v>71</v>
      </c>
      <c r="G107" s="104">
        <f>ITE_LUC_Rates!Q87</f>
        <v>19248.8</v>
      </c>
      <c r="H107" s="104">
        <f>FEE_1_In!$H105</f>
        <v>11449.900631254572</v>
      </c>
      <c r="I107" s="104">
        <f>+FEE_1_In!S105</f>
        <v>8410.1334625496893</v>
      </c>
      <c r="J107" s="104">
        <f>+FEE_1_In!V105</f>
        <v>2860.07622708294</v>
      </c>
      <c r="K107" s="104">
        <f>+FEE_1_In!Y105</f>
        <v>179.69094162194236</v>
      </c>
      <c r="L107" s="104">
        <f>+FEE_2_In!H105</f>
        <v>13618.576780884296</v>
      </c>
      <c r="M107" s="104">
        <f>+FEE_2_In!S105</f>
        <v>11293.709226114359</v>
      </c>
      <c r="N107" s="104">
        <f>+FEE_2_In!V105</f>
        <v>2228.5734851888592</v>
      </c>
      <c r="O107" s="61">
        <f>+FEE_2_In!Y105</f>
        <v>96.294069581076698</v>
      </c>
      <c r="P107" s="61">
        <f>+FEE_3_In!H105</f>
        <v>13546.699461575112</v>
      </c>
      <c r="Q107" s="61">
        <f>+FEE_3_In!S105</f>
        <v>12183.977928834795</v>
      </c>
      <c r="R107" s="61">
        <f>+FEE_3_In!V105</f>
        <v>1304.1699905862065</v>
      </c>
      <c r="S107" s="61">
        <f>+FEE_3_In!Y105</f>
        <v>58.551542154110621</v>
      </c>
      <c r="T107" s="61">
        <f>+FEE_4_In!H105</f>
        <v>12716.307540125936</v>
      </c>
      <c r="U107" s="61">
        <f>+FEE_4_In!S105</f>
        <v>10582.318737160349</v>
      </c>
      <c r="V107" s="61">
        <f>+FEE_4_In!V105</f>
        <v>2077.8565663653403</v>
      </c>
      <c r="W107" s="61">
        <f>+FEE_4_In!Y105</f>
        <v>56.132236600246827</v>
      </c>
      <c r="X107" s="61">
        <f>FEE_1_In!$H105</f>
        <v>11449.900631254572</v>
      </c>
      <c r="Y107" s="61">
        <f>+FEE_1_Out!S105</f>
        <v>9924.8006159130346</v>
      </c>
      <c r="Z107" s="61">
        <f>+FEE_1_Out!V105</f>
        <v>777.397205296327</v>
      </c>
      <c r="AA107" s="61">
        <f>+FEE_1_Out!Y105</f>
        <v>143.79370078357243</v>
      </c>
      <c r="AB107" s="61">
        <f>+FEE_2_Out!H105</f>
        <v>11875.110463833047</v>
      </c>
      <c r="AC107" s="61">
        <f>+FEE_2_Out!S105</f>
        <v>11213.75899722857</v>
      </c>
      <c r="AD107" s="61">
        <f>+FEE_2_Out!V105</f>
        <v>568.7624380829642</v>
      </c>
      <c r="AE107" s="61">
        <f>+FEE_2_Out!Y105</f>
        <v>92.589028521513995</v>
      </c>
      <c r="AF107" s="61">
        <f>+FEE_3_Out!H105</f>
        <v>13094.416695467078</v>
      </c>
      <c r="AG107" s="61">
        <f>+FEE_3_Out!S105</f>
        <v>12473.95529087835</v>
      </c>
      <c r="AH107" s="61">
        <f>+FEE_3_Out!V105</f>
        <v>566.3962247933589</v>
      </c>
      <c r="AI107" s="61">
        <f>+FEE_3_Out!Y105</f>
        <v>54.065179795368103</v>
      </c>
      <c r="AJ107" s="61">
        <f>+FEE_4_Out!H105</f>
        <v>13720.115366279862</v>
      </c>
      <c r="AK107" s="61">
        <f>+FEE_4_Out!S105</f>
        <v>12847.700879410384</v>
      </c>
      <c r="AL107" s="61">
        <f>+FEE_4_Out!V105</f>
        <v>821.4875873601834</v>
      </c>
      <c r="AM107" s="61">
        <f>+FEE_4_Out!Y105</f>
        <v>50.926899509294522</v>
      </c>
    </row>
    <row r="108" spans="2:39" s="20" customFormat="1" x14ac:dyDescent="0.25">
      <c r="B108" s="134">
        <f>ITE_LUC_Rates!B88</f>
        <v>823</v>
      </c>
      <c r="C108" s="135" t="str">
        <f>ITE_LUC_Rates!C88</f>
        <v>Factory Outlet Center</v>
      </c>
      <c r="D108" s="232" t="str">
        <f>ITE_LUC_Rates!D88</f>
        <v>1000 GSF</v>
      </c>
      <c r="E108" s="233">
        <f>ITE_LUC_Rates!H88</f>
        <v>26.59</v>
      </c>
      <c r="F108" s="136" t="s">
        <v>71</v>
      </c>
      <c r="G108" s="137">
        <f>ITE_LUC_Rates!Q88</f>
        <v>0</v>
      </c>
      <c r="H108" s="104">
        <f>FEE_1_In!$H106</f>
        <v>11506.988087810485</v>
      </c>
      <c r="I108" s="104">
        <f>+FEE_1_In!S106</f>
        <v>8452.0651040664889</v>
      </c>
      <c r="J108" s="104">
        <f>+FEE_1_In!V106</f>
        <v>2874.3361305195263</v>
      </c>
      <c r="K108" s="104">
        <f>+FEE_1_In!Y106</f>
        <v>180.58685322447036</v>
      </c>
      <c r="L108" s="104">
        <f>+FEE_2_In!H106</f>
        <v>13686.47692564275</v>
      </c>
      <c r="M108" s="104">
        <f>+FEE_2_In!S106</f>
        <v>11350.017936169101</v>
      </c>
      <c r="N108" s="104">
        <f>+FEE_2_In!V106</f>
        <v>2239.6848123623108</v>
      </c>
      <c r="O108" s="61">
        <f>+FEE_2_In!Y106</f>
        <v>96.774177111337394</v>
      </c>
      <c r="P108" s="61">
        <f>+FEE_3_In!H106</f>
        <v>13614.241236992597</v>
      </c>
      <c r="Q108" s="61">
        <f>+FEE_3_In!S106</f>
        <v>12244.725382729019</v>
      </c>
      <c r="R108" s="61">
        <f>+FEE_3_In!V106</f>
        <v>1310.672383059019</v>
      </c>
      <c r="S108" s="61">
        <f>+FEE_3_In!Y106</f>
        <v>58.84347120455849</v>
      </c>
      <c r="T108" s="61">
        <f>+FEE_4_In!H106</f>
        <v>12779.709108194305</v>
      </c>
      <c r="U108" s="61">
        <f>+FEE_4_In!S106</f>
        <v>10635.080562841124</v>
      </c>
      <c r="V108" s="61">
        <f>+FEE_4_In!V106</f>
        <v>2088.2164419906371</v>
      </c>
      <c r="W108" s="61">
        <f>+FEE_4_In!Y106</f>
        <v>56.412103362544826</v>
      </c>
      <c r="X108" s="61">
        <f>FEE_1_In!$H106</f>
        <v>11506.988087810485</v>
      </c>
      <c r="Y108" s="61">
        <f>+FEE_1_Out!S106</f>
        <v>9974.2841566208444</v>
      </c>
      <c r="Z108" s="61">
        <f>+FEE_1_Out!V106</f>
        <v>781.27318908110351</v>
      </c>
      <c r="AA108" s="61">
        <f>+FEE_1_Out!Y106</f>
        <v>144.5106342235089</v>
      </c>
      <c r="AB108" s="61">
        <f>+FEE_2_Out!H106</f>
        <v>11934.317951699823</v>
      </c>
      <c r="AC108" s="61">
        <f>+FEE_2_Out!S106</f>
        <v>11269.669087647639</v>
      </c>
      <c r="AD108" s="61">
        <f>+FEE_2_Out!V106</f>
        <v>571.59820076950382</v>
      </c>
      <c r="AE108" s="61">
        <f>+FEE_2_Out!Y106</f>
        <v>93.050663282679352</v>
      </c>
      <c r="AF108" s="61">
        <f>+FEE_3_Out!H106</f>
        <v>13159.703458060196</v>
      </c>
      <c r="AG108" s="61">
        <f>+FEE_3_Out!S106</f>
        <v>12536.148527630521</v>
      </c>
      <c r="AH108" s="61">
        <f>+FEE_3_Out!V106</f>
        <v>569.22018990167294</v>
      </c>
      <c r="AI108" s="61">
        <f>+FEE_3_Out!Y106</f>
        <v>54.334740528002818</v>
      </c>
      <c r="AJ108" s="61">
        <f>+FEE_4_Out!H106</f>
        <v>13788.521766923781</v>
      </c>
      <c r="AK108" s="61">
        <f>+FEE_4_Out!S106</f>
        <v>12911.757554609352</v>
      </c>
      <c r="AL108" s="61">
        <f>+FEE_4_Out!V106</f>
        <v>825.58339905890114</v>
      </c>
      <c r="AM108" s="61">
        <f>+FEE_4_Out!Y106</f>
        <v>51.180813255526374</v>
      </c>
    </row>
    <row r="109" spans="2:39" s="20" customFormat="1" x14ac:dyDescent="0.25">
      <c r="B109" s="55">
        <f>ITE_LUC_Rates!B89</f>
        <v>840</v>
      </c>
      <c r="C109" s="56" t="str">
        <f>ITE_LUC_Rates!C89</f>
        <v>Car Sales (New &amp; Used Car Sales Area)</v>
      </c>
      <c r="D109" s="57" t="str">
        <f>ITE_LUC_Rates!D89</f>
        <v>1000 GSF</v>
      </c>
      <c r="E109" s="129">
        <f>ITE_LUC_Rates!H89</f>
        <v>27.84</v>
      </c>
      <c r="F109" s="58" t="s">
        <v>71</v>
      </c>
      <c r="G109" s="104">
        <f>ITE_LUC_Rates!Q89</f>
        <v>24316.7</v>
      </c>
      <c r="H109" s="104">
        <f>FEE_1_In!$H107</f>
        <v>12047.933372118991</v>
      </c>
      <c r="I109" s="104">
        <f>+FEE_1_In!S107</f>
        <v>8849.3979878605151</v>
      </c>
      <c r="J109" s="104">
        <f>+FEE_1_In!V107</f>
        <v>3009.4591152186395</v>
      </c>
      <c r="K109" s="104">
        <f>+FEE_1_In!Y107</f>
        <v>189.0762690398366</v>
      </c>
      <c r="L109" s="104">
        <f>+FEE_2_In!H107</f>
        <v>14329.880316280334</v>
      </c>
      <c r="M109" s="104">
        <f>+FEE_2_In!S107</f>
        <v>11883.584029445195</v>
      </c>
      <c r="N109" s="104">
        <f>+FEE_2_In!V107</f>
        <v>2344.9727407358682</v>
      </c>
      <c r="O109" s="61">
        <f>+FEE_2_In!Y107</f>
        <v>101.32354609927165</v>
      </c>
      <c r="P109" s="61">
        <f>+FEE_3_In!H107</f>
        <v>14254.248816768479</v>
      </c>
      <c r="Q109" s="61">
        <f>+FEE_3_In!S107</f>
        <v>12820.351811025794</v>
      </c>
      <c r="R109" s="61">
        <f>+FEE_3_In!V107</f>
        <v>1372.2872938835308</v>
      </c>
      <c r="S109" s="61">
        <f>+FEE_3_In!Y107</f>
        <v>61.609711859154132</v>
      </c>
      <c r="T109" s="61">
        <f>+FEE_4_In!H107</f>
        <v>13380.485203916116</v>
      </c>
      <c r="U109" s="61">
        <f>+FEE_4_In!S107</f>
        <v>11135.037339958517</v>
      </c>
      <c r="V109" s="61">
        <f>+FEE_4_In!V107</f>
        <v>2186.3838189176136</v>
      </c>
      <c r="W109" s="61">
        <f>+FEE_4_In!Y107</f>
        <v>59.064045039986745</v>
      </c>
      <c r="X109" s="61">
        <f>FEE_1_In!$H107</f>
        <v>12047.933372118991</v>
      </c>
      <c r="Y109" s="61">
        <f>+FEE_1_Out!S107</f>
        <v>10443.176792791437</v>
      </c>
      <c r="Z109" s="61">
        <f>+FEE_1_Out!V107</f>
        <v>818.00096216690179</v>
      </c>
      <c r="AA109" s="61">
        <f>+FEE_1_Out!Y107</f>
        <v>151.30410142092848</v>
      </c>
      <c r="AB109" s="61">
        <f>+FEE_2_Out!H107</f>
        <v>12495.352078801168</v>
      </c>
      <c r="AC109" s="61">
        <f>+FEE_2_Out!S107</f>
        <v>11799.457969165485</v>
      </c>
      <c r="AD109" s="61">
        <f>+FEE_2_Out!V107</f>
        <v>598.46912032429429</v>
      </c>
      <c r="AE109" s="61">
        <f>+FEE_2_Out!Y107</f>
        <v>97.424989311387478</v>
      </c>
      <c r="AF109" s="61">
        <f>+FEE_3_Out!H107</f>
        <v>13778.343146761785</v>
      </c>
      <c r="AG109" s="61">
        <f>+FEE_3_Out!S107</f>
        <v>13125.474802904615</v>
      </c>
      <c r="AH109" s="61">
        <f>+FEE_3_Out!V107</f>
        <v>595.97931879889336</v>
      </c>
      <c r="AI109" s="61">
        <f>+FEE_3_Out!Y107</f>
        <v>56.889025058277497</v>
      </c>
      <c r="AJ109" s="61">
        <f>+FEE_4_Out!H107</f>
        <v>14436.722301284617</v>
      </c>
      <c r="AK109" s="61">
        <f>+FEE_4_Out!S107</f>
        <v>13518.741268158117</v>
      </c>
      <c r="AL109" s="61">
        <f>+FEE_4_Out!V107</f>
        <v>864.39420194809338</v>
      </c>
      <c r="AM109" s="61">
        <f>+FEE_4_Out!Y107</f>
        <v>53.586831178407458</v>
      </c>
    </row>
    <row r="110" spans="2:39" s="20" customFormat="1" x14ac:dyDescent="0.25">
      <c r="B110" s="55">
        <f>ITE_LUC_Rates!B90</f>
        <v>843</v>
      </c>
      <c r="C110" s="56" t="str">
        <f>ITE_LUC_Rates!C90</f>
        <v>Car Sales (Parts Sales)</v>
      </c>
      <c r="D110" s="57" t="str">
        <f>ITE_LUC_Rates!D90</f>
        <v>1000 GSF</v>
      </c>
      <c r="E110" s="129">
        <f>ITE_LUC_Rates!H90</f>
        <v>55.34</v>
      </c>
      <c r="F110" s="58" t="s">
        <v>71</v>
      </c>
      <c r="G110" s="104">
        <f>ITE_LUC_Rates!Q90</f>
        <v>15535</v>
      </c>
      <c r="H110" s="104">
        <f>FEE_1_In!$H108</f>
        <v>23948.729626906064</v>
      </c>
      <c r="I110" s="104">
        <f>+FEE_1_In!S108</f>
        <v>17590.721431329053</v>
      </c>
      <c r="J110" s="104">
        <f>+FEE_1_In!V108</f>
        <v>5982.1647785991199</v>
      </c>
      <c r="K110" s="104">
        <f>+FEE_1_In!Y108</f>
        <v>375.84341697789353</v>
      </c>
      <c r="L110" s="104">
        <f>+FEE_2_In!H108</f>
        <v>28484.754910307252</v>
      </c>
      <c r="M110" s="104">
        <f>+FEE_2_In!S108</f>
        <v>23622.038081519295</v>
      </c>
      <c r="N110" s="104">
        <f>+FEE_2_In!V108</f>
        <v>4661.3071649541298</v>
      </c>
      <c r="O110" s="61">
        <f>+FEE_2_In!Y108</f>
        <v>201.40966383382516</v>
      </c>
      <c r="P110" s="61">
        <f>+FEE_3_In!H108</f>
        <v>28334.415571837922</v>
      </c>
      <c r="Q110" s="61">
        <f>+FEE_3_In!S108</f>
        <v>25484.133233554869</v>
      </c>
      <c r="R110" s="61">
        <f>+FEE_3_In!V108</f>
        <v>2727.8153320227948</v>
      </c>
      <c r="S110" s="61">
        <f>+FEE_3_In!Y108</f>
        <v>122.46700626025827</v>
      </c>
      <c r="T110" s="61">
        <f>+FEE_4_In!H108</f>
        <v>26597.559309795903</v>
      </c>
      <c r="U110" s="61">
        <f>+FEE_4_In!S108</f>
        <v>22134.086436541103</v>
      </c>
      <c r="V110" s="61">
        <f>+FEE_4_In!V108</f>
        <v>4346.0661113110891</v>
      </c>
      <c r="W110" s="61">
        <f>+FEE_4_In!Y108</f>
        <v>117.40676194370931</v>
      </c>
      <c r="X110" s="61">
        <f>FEE_1_In!$H108</f>
        <v>23948.729626906064</v>
      </c>
      <c r="Y110" s="61">
        <f>+FEE_1_Out!S108</f>
        <v>20758.814788544471</v>
      </c>
      <c r="Z110" s="61">
        <f>+FEE_1_Out!V108</f>
        <v>1626.0119700544667</v>
      </c>
      <c r="AA110" s="61">
        <f>+FEE_1_Out!Y108</f>
        <v>300.76037976415887</v>
      </c>
      <c r="AB110" s="61">
        <f>+FEE_2_Out!H108</f>
        <v>24838.102875030771</v>
      </c>
      <c r="AC110" s="61">
        <f>+FEE_2_Out!S108</f>
        <v>23454.813362558118</v>
      </c>
      <c r="AD110" s="61">
        <f>+FEE_2_Out!V108</f>
        <v>1189.6293505296858</v>
      </c>
      <c r="AE110" s="61">
        <f>+FEE_2_Out!Y108</f>
        <v>193.66016194296637</v>
      </c>
      <c r="AF110" s="61">
        <f>+FEE_3_Out!H108</f>
        <v>27388.416298196742</v>
      </c>
      <c r="AG110" s="61">
        <f>+FEE_3_Out!S108</f>
        <v>26090.652858934678</v>
      </c>
      <c r="AH110" s="61">
        <f>+FEE_3_Out!V108</f>
        <v>1184.6801545377427</v>
      </c>
      <c r="AI110" s="61">
        <f>+FEE_3_Out!Y108</f>
        <v>113.08328472432028</v>
      </c>
      <c r="AJ110" s="61">
        <f>+FEE_4_Out!H108</f>
        <v>28697.134057223095</v>
      </c>
      <c r="AK110" s="61">
        <f>+FEE_4_Out!S108</f>
        <v>26872.382966230976</v>
      </c>
      <c r="AL110" s="61">
        <f>+FEE_4_Out!V108</f>
        <v>1718.2318655103265</v>
      </c>
      <c r="AM110" s="61">
        <f>+FEE_4_Out!Y108</f>
        <v>106.51922548179127</v>
      </c>
    </row>
    <row r="111" spans="2:39" s="20" customFormat="1" x14ac:dyDescent="0.25">
      <c r="B111" s="55">
        <f>ITE_LUC_Rates!B91</f>
        <v>848</v>
      </c>
      <c r="C111" s="56" t="str">
        <f>ITE_LUC_Rates!C91</f>
        <v>Tire Stores</v>
      </c>
      <c r="D111" s="57" t="str">
        <f>ITE_LUC_Rates!D91</f>
        <v>1000 GSF</v>
      </c>
      <c r="E111" s="129">
        <f>ITE_LUC_Rates!H91</f>
        <v>28.52</v>
      </c>
      <c r="F111" s="58" t="s">
        <v>71</v>
      </c>
      <c r="G111" s="104">
        <f>ITE_LUC_Rates!Q91</f>
        <v>24027.4</v>
      </c>
      <c r="H111" s="104">
        <f>FEE_1_In!$H109</f>
        <v>12342.207606782815</v>
      </c>
      <c r="I111" s="104">
        <f>+FEE_1_In!S109</f>
        <v>9065.5470766444632</v>
      </c>
      <c r="J111" s="104">
        <f>+FEE_1_In!V109</f>
        <v>3082.9660188949561</v>
      </c>
      <c r="K111" s="104">
        <f>+FEE_1_In!Y109</f>
        <v>193.69451124339582</v>
      </c>
      <c r="L111" s="104">
        <f>+FEE_2_In!H109</f>
        <v>14679.891760787183</v>
      </c>
      <c r="M111" s="104">
        <f>+FEE_2_In!S109</f>
        <v>12173.843984187391</v>
      </c>
      <c r="N111" s="104">
        <f>+FEE_2_In!V109</f>
        <v>2402.2493737710834</v>
      </c>
      <c r="O111" s="61">
        <f>+FEE_2_In!Y109</f>
        <v>103.79840282870786</v>
      </c>
      <c r="P111" s="61">
        <f>+FEE_3_In!H109</f>
        <v>14602.412940166558</v>
      </c>
      <c r="Q111" s="61">
        <f>+FEE_3_In!S109</f>
        <v>13133.492588019239</v>
      </c>
      <c r="R111" s="61">
        <f>+FEE_3_In!V109</f>
        <v>1405.8058053720654</v>
      </c>
      <c r="S111" s="61">
        <f>+FEE_3_In!Y109</f>
        <v>63.114546775254155</v>
      </c>
      <c r="T111" s="61">
        <f>+FEE_4_In!H109</f>
        <v>13707.307399988777</v>
      </c>
      <c r="U111" s="61">
        <f>+FEE_4_In!S109</f>
        <v>11407.013826710374</v>
      </c>
      <c r="V111" s="61">
        <f>+FEE_4_In!V109</f>
        <v>2239.7868719658877</v>
      </c>
      <c r="W111" s="61">
        <f>+FEE_4_In!Y109</f>
        <v>60.506701312515162</v>
      </c>
      <c r="X111" s="61">
        <f>FEE_1_In!$H109</f>
        <v>12342.207606782815</v>
      </c>
      <c r="Y111" s="61">
        <f>+FEE_1_Out!S109</f>
        <v>10698.254386868239</v>
      </c>
      <c r="Z111" s="61">
        <f>+FEE_1_Out!V109</f>
        <v>837.98087072557598</v>
      </c>
      <c r="AA111" s="61">
        <f>+FEE_1_Out!Y109</f>
        <v>154.99974757632472</v>
      </c>
      <c r="AB111" s="61">
        <f>+FEE_2_Out!H109</f>
        <v>12800.554643944297</v>
      </c>
      <c r="AC111" s="61">
        <f>+FEE_2_Out!S109</f>
        <v>12087.663120711191</v>
      </c>
      <c r="AD111" s="61">
        <f>+FEE_2_Out!V109</f>
        <v>613.08690056210037</v>
      </c>
      <c r="AE111" s="61">
        <f>+FEE_2_Out!Y109</f>
        <v>99.804622671004708</v>
      </c>
      <c r="AF111" s="61">
        <f>+FEE_3_Out!H109</f>
        <v>14114.883137415449</v>
      </c>
      <c r="AG111" s="61">
        <f>+FEE_3_Out!S109</f>
        <v>13446.068296653721</v>
      </c>
      <c r="AH111" s="61">
        <f>+FEE_3_Out!V109</f>
        <v>610.53628491898121</v>
      </c>
      <c r="AI111" s="61">
        <f>+FEE_3_Out!Y109</f>
        <v>58.278555842746918</v>
      </c>
      <c r="AJ111" s="61">
        <f>+FEE_4_Out!H109</f>
        <v>14789.343391976912</v>
      </c>
      <c r="AK111" s="61">
        <f>+FEE_4_Out!S109</f>
        <v>13848.940408328644</v>
      </c>
      <c r="AL111" s="61">
        <f>+FEE_4_Out!V109</f>
        <v>885.50727871981405</v>
      </c>
      <c r="AM111" s="61">
        <f>+FEE_4_Out!Y109</f>
        <v>54.895704928454762</v>
      </c>
    </row>
    <row r="112" spans="2:39" s="20" customFormat="1" x14ac:dyDescent="0.25">
      <c r="B112" s="55">
        <f>ITE_LUC_Rates!B92</f>
        <v>850</v>
      </c>
      <c r="C112" s="56" t="str">
        <f>ITE_LUC_Rates!C92</f>
        <v>Supermarket (free standing)</v>
      </c>
      <c r="D112" s="57" t="str">
        <f>ITE_LUC_Rates!D92</f>
        <v>1000 GSF</v>
      </c>
      <c r="E112" s="129">
        <f>ITE_LUC_Rates!H92</f>
        <v>106.78</v>
      </c>
      <c r="F112" s="58" t="s">
        <v>71</v>
      </c>
      <c r="G112" s="104">
        <f>ITE_LUC_Rates!Q92</f>
        <v>19750</v>
      </c>
      <c r="H112" s="104">
        <f>FEE_1_In!$H110</f>
        <v>10226.327990212803</v>
      </c>
      <c r="I112" s="104">
        <f>+FEE_1_In!S110</f>
        <v>7511.3999675011692</v>
      </c>
      <c r="J112" s="104">
        <f>+FEE_1_In!V110</f>
        <v>2554.4394241573232</v>
      </c>
      <c r="K112" s="104">
        <f>+FEE_1_In!Y110</f>
        <v>160.4885985543107</v>
      </c>
      <c r="L112" s="104">
        <f>+FEE_2_In!H110</f>
        <v>12163.252538721774</v>
      </c>
      <c r="M112" s="104">
        <f>+FEE_2_In!S110</f>
        <v>10086.827693253368</v>
      </c>
      <c r="N112" s="104">
        <f>+FEE_2_In!V110</f>
        <v>1990.4210651071653</v>
      </c>
      <c r="O112" s="61">
        <f>+FEE_2_In!Y110</f>
        <v>86.003780361241965</v>
      </c>
      <c r="P112" s="61">
        <f>+FEE_3_In!H110</f>
        <v>12099.056257375321</v>
      </c>
      <c r="Q112" s="61">
        <f>+FEE_3_In!S110</f>
        <v>10881.959463095014</v>
      </c>
      <c r="R112" s="61">
        <f>+FEE_3_In!V110</f>
        <v>1164.8022553420153</v>
      </c>
      <c r="S112" s="61">
        <f>+FEE_3_In!Y110</f>
        <v>52.294538938291112</v>
      </c>
      <c r="T112" s="61">
        <f>+FEE_4_In!H110</f>
        <v>11357.402646340284</v>
      </c>
      <c r="U112" s="61">
        <f>+FEE_4_In!S110</f>
        <v>9451.458644782906</v>
      </c>
      <c r="V112" s="61">
        <f>+FEE_4_In!V110</f>
        <v>1855.8102335200008</v>
      </c>
      <c r="W112" s="61">
        <f>+FEE_4_In!Y110</f>
        <v>50.133768037378623</v>
      </c>
      <c r="X112" s="61">
        <f>FEE_1_In!$H110</f>
        <v>10226.327990212803</v>
      </c>
      <c r="Y112" s="61">
        <f>+FEE_1_Out!S110</f>
        <v>8864.2049922027982</v>
      </c>
      <c r="Z112" s="61">
        <f>+FEE_1_Out!V110</f>
        <v>694.32207807413624</v>
      </c>
      <c r="AA112" s="61">
        <f>+FEE_1_Out!Y110</f>
        <v>128.42745055143854</v>
      </c>
      <c r="AB112" s="61">
        <f>+FEE_2_Out!H110</f>
        <v>10606.098553525939</v>
      </c>
      <c r="AC112" s="61">
        <f>+FEE_2_Out!S110</f>
        <v>10015.421199012982</v>
      </c>
      <c r="AD112" s="61">
        <f>+FEE_2_Out!V110</f>
        <v>507.98268279051365</v>
      </c>
      <c r="AE112" s="61">
        <f>+FEE_2_Out!Y110</f>
        <v>82.694671722441299</v>
      </c>
      <c r="AF112" s="61">
        <f>+FEE_3_Out!H110</f>
        <v>11695.105859944259</v>
      </c>
      <c r="AG112" s="61">
        <f>+FEE_3_Out!S110</f>
        <v>11140.948925929259</v>
      </c>
      <c r="AH112" s="61">
        <f>+FEE_3_Out!V110</f>
        <v>505.86933054636825</v>
      </c>
      <c r="AI112" s="61">
        <f>+FEE_3_Out!Y110</f>
        <v>48.287603468632035</v>
      </c>
      <c r="AJ112" s="61">
        <f>+FEE_4_Out!H110</f>
        <v>12253.940389329222</v>
      </c>
      <c r="AK112" s="61">
        <f>+FEE_4_Out!S110</f>
        <v>11474.754877291905</v>
      </c>
      <c r="AL112" s="61">
        <f>+FEE_4_Out!V110</f>
        <v>733.70082228507067</v>
      </c>
      <c r="AM112" s="61">
        <f>+FEE_4_Out!Y110</f>
        <v>45.48468975224543</v>
      </c>
    </row>
    <row r="113" spans="2:39" s="20" customFormat="1" x14ac:dyDescent="0.25">
      <c r="B113" s="55">
        <f>ITE_LUC_Rates!B93</f>
        <v>851</v>
      </c>
      <c r="C113" s="56" t="str">
        <f>ITE_LUC_Rates!C93</f>
        <v>Convenience market</v>
      </c>
      <c r="D113" s="57" t="str">
        <f>ITE_LUC_Rates!D93</f>
        <v>1000 GSF</v>
      </c>
      <c r="E113" s="129">
        <f>ITE_LUC_Rates!H93</f>
        <v>762.28</v>
      </c>
      <c r="F113" s="58" t="s">
        <v>71</v>
      </c>
      <c r="G113" s="104">
        <f>ITE_LUC_Rates!Q93</f>
        <v>52868.6</v>
      </c>
      <c r="H113" s="104">
        <f>FEE_1_In!$H111</f>
        <v>77089.165976245044</v>
      </c>
      <c r="I113" s="104">
        <f>+FEE_1_In!S111</f>
        <v>56623.214057171041</v>
      </c>
      <c r="J113" s="104">
        <f>+FEE_1_In!V111</f>
        <v>19256.140125134978</v>
      </c>
      <c r="K113" s="104">
        <f>+FEE_1_In!Y111</f>
        <v>1209.8117939390252</v>
      </c>
      <c r="L113" s="104">
        <f>+FEE_2_In!H111</f>
        <v>91690.291438520027</v>
      </c>
      <c r="M113" s="104">
        <f>+FEE_2_In!S111</f>
        <v>76037.570373567942</v>
      </c>
      <c r="N113" s="104">
        <f>+FEE_2_In!V111</f>
        <v>15004.398450500677</v>
      </c>
      <c r="O113" s="61">
        <f>+FEE_2_In!Y111</f>
        <v>648.32261445140102</v>
      </c>
      <c r="P113" s="61">
        <f>+FEE_3_In!H111</f>
        <v>91206.360374260126</v>
      </c>
      <c r="Q113" s="61">
        <f>+FEE_3_In!S111</f>
        <v>82031.515124506128</v>
      </c>
      <c r="R113" s="61">
        <f>+FEE_3_In!V111</f>
        <v>8780.6331341516689</v>
      </c>
      <c r="S113" s="61">
        <f>+FEE_3_In!Y111</f>
        <v>394.21211560233201</v>
      </c>
      <c r="T113" s="61">
        <f>+FEE_4_In!H111</f>
        <v>85615.550224939681</v>
      </c>
      <c r="U113" s="61">
        <f>+FEE_4_In!S111</f>
        <v>71247.965533924114</v>
      </c>
      <c r="V113" s="61">
        <f>+FEE_4_In!V111</f>
        <v>13989.661122658781</v>
      </c>
      <c r="W113" s="61">
        <f>+FEE_4_In!Y111</f>
        <v>377.92356835678078</v>
      </c>
      <c r="X113" s="61">
        <f>FEE_1_In!$H111</f>
        <v>77089.165976245044</v>
      </c>
      <c r="Y113" s="61">
        <f>+FEE_1_Out!S111</f>
        <v>66821.069160442756</v>
      </c>
      <c r="Z113" s="61">
        <f>+FEE_1_Out!V111</f>
        <v>5234.0106799678961</v>
      </c>
      <c r="AA113" s="61">
        <f>+FEE_1_Out!Y111</f>
        <v>968.12512379234056</v>
      </c>
      <c r="AB113" s="61">
        <f>+FEE_2_Out!H111</f>
        <v>79951.991813256871</v>
      </c>
      <c r="AC113" s="61">
        <f>+FEE_2_Out!S111</f>
        <v>75499.286534877567</v>
      </c>
      <c r="AD113" s="61">
        <f>+FEE_2_Out!V111</f>
        <v>3829.327729775001</v>
      </c>
      <c r="AE113" s="61">
        <f>+FEE_2_Out!Y111</f>
        <v>623.37754860429789</v>
      </c>
      <c r="AF113" s="61">
        <f>+FEE_3_Out!H111</f>
        <v>88161.259604605933</v>
      </c>
      <c r="AG113" s="61">
        <f>+FEE_3_Out!S111</f>
        <v>83983.85634665699</v>
      </c>
      <c r="AH113" s="61">
        <f>+FEE_3_Out!V111</f>
        <v>3813.3966387645114</v>
      </c>
      <c r="AI113" s="61">
        <f>+FEE_3_Out!Y111</f>
        <v>364.0066191844312</v>
      </c>
      <c r="AJ113" s="61">
        <f>+FEE_4_Out!H111</f>
        <v>92373.923996970829</v>
      </c>
      <c r="AK113" s="61">
        <f>+FEE_4_Out!S111</f>
        <v>86500.18698000662</v>
      </c>
      <c r="AL113" s="61">
        <f>+FEE_4_Out!V111</f>
        <v>5530.8596125777385</v>
      </c>
      <c r="AM113" s="61">
        <f>+FEE_4_Out!Y111</f>
        <v>342.87740438646875</v>
      </c>
    </row>
    <row r="114" spans="2:39" s="20" customFormat="1" x14ac:dyDescent="0.25">
      <c r="B114" s="55">
        <f>ITE_LUC_Rates!B94</f>
        <v>853</v>
      </c>
      <c r="C114" s="56" t="str">
        <f>ITE_LUC_Rates!C94</f>
        <v>Convenience market with Gasoline Pump</v>
      </c>
      <c r="D114" s="57" t="str">
        <f>ITE_LUC_Rates!D94</f>
        <v>1000 GSF</v>
      </c>
      <c r="E114" s="129">
        <f>ITE_LUC_Rates!H94</f>
        <v>624.20000000000005</v>
      </c>
      <c r="F114" s="58" t="s">
        <v>71</v>
      </c>
      <c r="G114" s="104">
        <f>ITE_LUC_Rates!Q94</f>
        <v>60577.2</v>
      </c>
      <c r="H114" s="104">
        <f>FEE_1_In!$H112</f>
        <v>63125.173692569879</v>
      </c>
      <c r="I114" s="104">
        <f>+FEE_1_In!S112</f>
        <v>46366.440434599055</v>
      </c>
      <c r="J114" s="104">
        <f>+FEE_1_In!V112</f>
        <v>15768.067725913384</v>
      </c>
      <c r="K114" s="104">
        <f>+FEE_1_In!Y112</f>
        <v>990.66553205743253</v>
      </c>
      <c r="L114" s="104">
        <f>+FEE_2_In!H112</f>
        <v>75081.43978055859</v>
      </c>
      <c r="M114" s="104">
        <f>+FEE_2_In!S112</f>
        <v>62264.064946189217</v>
      </c>
      <c r="N114" s="104">
        <f>+FEE_2_In!V112</f>
        <v>12286.489889282841</v>
      </c>
      <c r="O114" s="61">
        <f>+FEE_2_In!Y112</f>
        <v>530.88494508653582</v>
      </c>
      <c r="P114" s="61">
        <f>+FEE_3_In!H112</f>
        <v>74685.168370694737</v>
      </c>
      <c r="Q114" s="61">
        <f>+FEE_3_In!S112</f>
        <v>67172.261820743995</v>
      </c>
      <c r="R114" s="61">
        <f>+FEE_3_In!V112</f>
        <v>7190.102327671555</v>
      </c>
      <c r="S114" s="61">
        <f>+FEE_3_In!Y112</f>
        <v>322.80422227918314</v>
      </c>
      <c r="T114" s="61">
        <f>+FEE_4_In!H112</f>
        <v>70107.08197828535</v>
      </c>
      <c r="U114" s="61">
        <f>+FEE_4_In!S112</f>
        <v>58342.052902182186</v>
      </c>
      <c r="V114" s="61">
        <f>+FEE_4_In!V112</f>
        <v>11455.562880783456</v>
      </c>
      <c r="W114" s="61">
        <f>+FEE_4_In!Y112</f>
        <v>309.46619531970214</v>
      </c>
      <c r="X114" s="61">
        <f>FEE_1_In!$H112</f>
        <v>63125.173692569879</v>
      </c>
      <c r="Y114" s="61">
        <f>+FEE_1_Out!S112</f>
        <v>54717.048026903998</v>
      </c>
      <c r="Z114" s="61">
        <f>+FEE_1_Out!V112</f>
        <v>4285.9178601510748</v>
      </c>
      <c r="AA114" s="61">
        <f>+FEE_1_Out!Y112</f>
        <v>792.75817582932666</v>
      </c>
      <c r="AB114" s="61">
        <f>+FEE_2_Out!H112</f>
        <v>65469.425001095311</v>
      </c>
      <c r="AC114" s="61">
        <f>+FEE_2_Out!S112</f>
        <v>61823.286266293981</v>
      </c>
      <c r="AD114" s="61">
        <f>+FEE_2_Out!V112</f>
        <v>3135.6802866736057</v>
      </c>
      <c r="AE114" s="61">
        <f>+FEE_2_Out!Y112</f>
        <v>510.45844812772577</v>
      </c>
      <c r="AF114" s="61">
        <f>+FEE_3_Out!H112</f>
        <v>72191.659554487895</v>
      </c>
      <c r="AG114" s="61">
        <f>+FEE_3_Out!S112</f>
        <v>68770.954415153625</v>
      </c>
      <c r="AH114" s="61">
        <f>+FEE_3_Out!V112</f>
        <v>3122.6349660450337</v>
      </c>
      <c r="AI114" s="61">
        <f>+FEE_3_Out!Y112</f>
        <v>298.07017328924013</v>
      </c>
      <c r="AJ114" s="61">
        <f>+FEE_4_Out!H112</f>
        <v>75641.238598558528</v>
      </c>
      <c r="AK114" s="61">
        <f>+FEE_4_Out!S112</f>
        <v>70831.474934302532</v>
      </c>
      <c r="AL114" s="61">
        <f>+FEE_4_Out!V112</f>
        <v>4528.9953431429722</v>
      </c>
      <c r="AM114" s="61">
        <f>+FEE_4_Out!Y112</f>
        <v>280.76832111302122</v>
      </c>
    </row>
    <row r="115" spans="2:39" s="20" customFormat="1" x14ac:dyDescent="0.25">
      <c r="B115" s="134">
        <f>ITE_LUC_Rates!B95</f>
        <v>857</v>
      </c>
      <c r="C115" s="135" t="str">
        <f>ITE_LUC_Rates!C95</f>
        <v>Discount Club</v>
      </c>
      <c r="D115" s="232" t="str">
        <f>ITE_LUC_Rates!D95</f>
        <v>1000 GSF</v>
      </c>
      <c r="E115" s="233">
        <f>ITE_LUC_Rates!H95</f>
        <v>41.8</v>
      </c>
      <c r="F115" s="136" t="s">
        <v>71</v>
      </c>
      <c r="G115" s="137">
        <f>ITE_LUC_Rates!Q95</f>
        <v>0</v>
      </c>
      <c r="H115" s="104">
        <f>FEE_1_In!$H113</f>
        <v>18089.21030727636</v>
      </c>
      <c r="I115" s="104">
        <f>+FEE_1_In!S113</f>
        <v>13286.811634072183</v>
      </c>
      <c r="J115" s="104">
        <f>+FEE_1_In!V113</f>
        <v>4518.5126083383311</v>
      </c>
      <c r="K115" s="104">
        <f>+FEE_1_In!Y113</f>
        <v>283.88606486584661</v>
      </c>
      <c r="L115" s="104">
        <f>+FEE_2_In!H113</f>
        <v>21515.409382920909</v>
      </c>
      <c r="M115" s="104">
        <f>+FEE_2_In!S113</f>
        <v>17842.450159152631</v>
      </c>
      <c r="N115" s="104">
        <f>+FEE_2_In!V113</f>
        <v>3520.8283248117564</v>
      </c>
      <c r="O115" s="61">
        <f>+FEE_2_In!Y113</f>
        <v>152.13089895652138</v>
      </c>
      <c r="P115" s="61">
        <f>+FEE_3_In!H113</f>
        <v>21401.853467705547</v>
      </c>
      <c r="Q115" s="61">
        <f>+FEE_3_In!S113</f>
        <v>19248.947762244188</v>
      </c>
      <c r="R115" s="61">
        <f>+FEE_3_In!V113</f>
        <v>2060.4026179716811</v>
      </c>
      <c r="S115" s="61">
        <f>+FEE_3_In!Y113</f>
        <v>92.503087489678265</v>
      </c>
      <c r="T115" s="61">
        <f>+FEE_4_In!H113</f>
        <v>20089.952640937274</v>
      </c>
      <c r="U115" s="61">
        <f>+FEE_4_In!S113</f>
        <v>16718.55462680553</v>
      </c>
      <c r="V115" s="61">
        <f>+FEE_4_In!V113</f>
        <v>3282.7170844380835</v>
      </c>
      <c r="W115" s="61">
        <f>+FEE_4_In!Y113</f>
        <v>88.680929693658285</v>
      </c>
      <c r="X115" s="61">
        <f>FEE_1_In!$H113</f>
        <v>18089.21030727636</v>
      </c>
      <c r="Y115" s="61">
        <f>+FEE_1_Out!S113</f>
        <v>15679.769753544617</v>
      </c>
      <c r="Z115" s="61">
        <f>+FEE_1_Out!V113</f>
        <v>1228.1767319890985</v>
      </c>
      <c r="AA115" s="61">
        <f>+FEE_1_Out!Y113</f>
        <v>227.17354308171016</v>
      </c>
      <c r="AB115" s="61">
        <f>+FEE_2_Out!H113</f>
        <v>18760.981210268998</v>
      </c>
      <c r="AC115" s="61">
        <f>+FEE_2_Out!S113</f>
        <v>17716.1401979568</v>
      </c>
      <c r="AD115" s="61">
        <f>+FEE_2_Out!V113</f>
        <v>898.56354991219484</v>
      </c>
      <c r="AE115" s="61">
        <f>+FEE_2_Out!Y113</f>
        <v>146.27746239999988</v>
      </c>
      <c r="AF115" s="61">
        <f>+FEE_3_Out!H113</f>
        <v>20687.311190181132</v>
      </c>
      <c r="AG115" s="61">
        <f>+FEE_3_Out!S113</f>
        <v>19707.070645165695</v>
      </c>
      <c r="AH115" s="61">
        <f>+FEE_3_Out!V113</f>
        <v>894.82527032305109</v>
      </c>
      <c r="AI115" s="61">
        <f>+FEE_3_Out!Y113</f>
        <v>85.415274692385054</v>
      </c>
      <c r="AJ115" s="61">
        <f>+FEE_4_Out!H113</f>
        <v>21675.825869026474</v>
      </c>
      <c r="AK115" s="61">
        <f>+FEE_4_Out!S113</f>
        <v>20297.535381070735</v>
      </c>
      <c r="AL115" s="61">
        <f>+FEE_4_Out!V113</f>
        <v>1297.8332486145946</v>
      </c>
      <c r="AM115" s="61">
        <f>+FEE_4_Out!Y113</f>
        <v>80.457239341143378</v>
      </c>
    </row>
    <row r="116" spans="2:39" s="20" customFormat="1" x14ac:dyDescent="0.25">
      <c r="B116" s="134">
        <f>ITE_LUC_Rates!B96</f>
        <v>861</v>
      </c>
      <c r="C116" s="135" t="str">
        <f>ITE_LUC_Rates!C96</f>
        <v>Sporting Goods Store</v>
      </c>
      <c r="D116" s="232" t="str">
        <f>ITE_LUC_Rates!D96</f>
        <v>1000 GSF</v>
      </c>
      <c r="E116" s="233">
        <f>ITE_LUC_Rates!H96</f>
        <v>28.75</v>
      </c>
      <c r="F116" s="136" t="s">
        <v>71</v>
      </c>
      <c r="G116" s="137">
        <f>ITE_LUC_Rates!Q96</f>
        <v>0</v>
      </c>
      <c r="H116" s="104">
        <f>FEE_1_In!$H114</f>
        <v>12441.741539095581</v>
      </c>
      <c r="I116" s="104">
        <f>+FEE_1_In!S114</f>
        <v>9138.6563272625644</v>
      </c>
      <c r="J116" s="104">
        <f>+FEE_1_In!V114</f>
        <v>3107.8286480795932</v>
      </c>
      <c r="K116" s="104">
        <f>+FEE_1_In!Y114</f>
        <v>195.25656375342322</v>
      </c>
      <c r="L116" s="104">
        <f>+FEE_2_In!H114</f>
        <v>14798.277984664495</v>
      </c>
      <c r="M116" s="104">
        <f>+FEE_2_In!S114</f>
        <v>12272.02014535019</v>
      </c>
      <c r="N116" s="104">
        <f>+FEE_2_In!V114</f>
        <v>2421.6223525918181</v>
      </c>
      <c r="O116" s="61">
        <f>+FEE_2_In!Y114</f>
        <v>104.63548672248777</v>
      </c>
      <c r="P116" s="61">
        <f>+FEE_3_In!H114</f>
        <v>14720.174334845322</v>
      </c>
      <c r="Q116" s="61">
        <f>+FEE_3_In!S114</f>
        <v>13239.407850825846</v>
      </c>
      <c r="R116" s="61">
        <f>+FEE_3_In!V114</f>
        <v>1417.1429489637756</v>
      </c>
      <c r="S116" s="61">
        <f>+FEE_3_In!Y114</f>
        <v>63.623535055699755</v>
      </c>
      <c r="T116" s="61">
        <f>+FEE_4_In!H114</f>
        <v>13817.85020160159</v>
      </c>
      <c r="U116" s="61">
        <f>+FEE_4_In!S114</f>
        <v>11499.005873699974</v>
      </c>
      <c r="V116" s="61">
        <f>+FEE_4_In!V114</f>
        <v>2257.8496693204515</v>
      </c>
      <c r="W116" s="61">
        <f>+FEE_4_In!Y114</f>
        <v>60.994658581164487</v>
      </c>
      <c r="X116" s="61">
        <f>FEE_1_In!$H114</f>
        <v>12441.741539095581</v>
      </c>
      <c r="Y116" s="61">
        <f>+FEE_1_Out!S114</f>
        <v>10784.53063192363</v>
      </c>
      <c r="Z116" s="61">
        <f>+FEE_1_Out!V114</f>
        <v>844.73878097336308</v>
      </c>
      <c r="AA116" s="61">
        <f>+FEE_1_Out!Y114</f>
        <v>156.24974554064991</v>
      </c>
      <c r="AB116" s="61">
        <f>+FEE_2_Out!H114</f>
        <v>12903.784923330946</v>
      </c>
      <c r="AC116" s="61">
        <f>+FEE_2_Out!S114</f>
        <v>12185.144274910477</v>
      </c>
      <c r="AD116" s="61">
        <f>+FEE_2_Out!V114</f>
        <v>618.03114976018185</v>
      </c>
      <c r="AE116" s="61">
        <f>+FEE_2_Out!Y114</f>
        <v>100.609498660287</v>
      </c>
      <c r="AF116" s="61">
        <f>+FEE_3_Out!H114</f>
        <v>14228.712840136544</v>
      </c>
      <c r="AG116" s="61">
        <f>+FEE_3_Out!S114</f>
        <v>13554.504331304157</v>
      </c>
      <c r="AH116" s="61">
        <f>+FEE_3_Out!V114</f>
        <v>615.4599646360698</v>
      </c>
      <c r="AI116" s="61">
        <f>+FEE_3_Out!Y114</f>
        <v>58.748544196317447</v>
      </c>
      <c r="AJ116" s="61">
        <f>+FEE_4_Out!H114</f>
        <v>14908.61229029931</v>
      </c>
      <c r="AK116" s="61">
        <f>+FEE_4_Out!S114</f>
        <v>13960.625411621619</v>
      </c>
      <c r="AL116" s="61">
        <f>+FEE_4_Out!V114</f>
        <v>892.64846645142563</v>
      </c>
      <c r="AM116" s="61">
        <f>+FEE_4_Out!Y114</f>
        <v>55.338412226264886</v>
      </c>
    </row>
    <row r="117" spans="2:39" s="20" customFormat="1" x14ac:dyDescent="0.25">
      <c r="B117" s="55">
        <f>ITE_LUC_Rates!B97</f>
        <v>862</v>
      </c>
      <c r="C117" s="56" t="str">
        <f>ITE_LUC_Rates!C97</f>
        <v>Home Improvements Superstore</v>
      </c>
      <c r="D117" s="57" t="str">
        <f>ITE_LUC_Rates!D97</f>
        <v>1000 GSF</v>
      </c>
      <c r="E117" s="129">
        <f>ITE_LUC_Rates!H97</f>
        <v>30.74</v>
      </c>
      <c r="F117" s="58" t="s">
        <v>71</v>
      </c>
      <c r="G117" s="104">
        <f>ITE_LUC_Rates!Q97</f>
        <v>22273</v>
      </c>
      <c r="H117" s="104">
        <f>FEE_1_In!$H115</f>
        <v>13302.926431714719</v>
      </c>
      <c r="I117" s="104">
        <f>+FEE_1_In!S115</f>
        <v>9771.2102782626516</v>
      </c>
      <c r="J117" s="104">
        <f>+FEE_1_In!V115</f>
        <v>3322.9444397205807</v>
      </c>
      <c r="K117" s="104">
        <f>+FEE_1_In!Y115</f>
        <v>208.77171373148622</v>
      </c>
      <c r="L117" s="104">
        <f>+FEE_2_In!H115</f>
        <v>15822.576182559535</v>
      </c>
      <c r="M117" s="104">
        <f>+FEE_2_In!S115</f>
        <v>13121.457365845734</v>
      </c>
      <c r="N117" s="104">
        <f>+FEE_2_In!V115</f>
        <v>2589.2407345625211</v>
      </c>
      <c r="O117" s="61">
        <f>+FEE_2_In!Y115</f>
        <v>111.87808215127909</v>
      </c>
      <c r="P117" s="61">
        <f>+FEE_3_In!H115</f>
        <v>15739.066401848529</v>
      </c>
      <c r="Q117" s="61">
        <f>+FEE_3_In!S115</f>
        <v>14155.805124674314</v>
      </c>
      <c r="R117" s="61">
        <f>+FEE_3_In!V115</f>
        <v>1515.2338869963985</v>
      </c>
      <c r="S117" s="61">
        <f>+FEE_3_In!Y115</f>
        <v>68.027390177816017</v>
      </c>
      <c r="T117" s="61">
        <f>+FEE_4_In!H115</f>
        <v>14774.28574599071</v>
      </c>
      <c r="U117" s="61">
        <f>+FEE_4_In!S115</f>
        <v>12294.93706287086</v>
      </c>
      <c r="V117" s="61">
        <f>+FEE_4_In!V115</f>
        <v>2414.1321333881979</v>
      </c>
      <c r="W117" s="61">
        <f>+FEE_4_In!Y115</f>
        <v>65.216549731652037</v>
      </c>
      <c r="X117" s="61">
        <f>FEE_1_In!$H115</f>
        <v>13302.926431714719</v>
      </c>
      <c r="Y117" s="61">
        <f>+FEE_1_Out!S115</f>
        <v>11531.007708707213</v>
      </c>
      <c r="Z117" s="61">
        <f>+FEE_1_Out!V115</f>
        <v>903.20939572595398</v>
      </c>
      <c r="AA117" s="61">
        <f>+FEE_1_Out!Y115</f>
        <v>167.06494531894185</v>
      </c>
      <c r="AB117" s="61">
        <f>+FEE_2_Out!H115</f>
        <v>13796.951253676285</v>
      </c>
      <c r="AC117" s="61">
        <f>+FEE_2_Out!S115</f>
        <v>13028.568174286886</v>
      </c>
      <c r="AD117" s="61">
        <f>+FEE_2_Out!V115</f>
        <v>660.80965369140836</v>
      </c>
      <c r="AE117" s="61">
        <f>+FEE_2_Out!Y115</f>
        <v>107.57342569799033</v>
      </c>
      <c r="AF117" s="61">
        <f>+FEE_3_Out!H115</f>
        <v>15213.587224549472</v>
      </c>
      <c r="AG117" s="61">
        <f>+FEE_3_Out!S115</f>
        <v>14492.711761540513</v>
      </c>
      <c r="AH117" s="61">
        <f>+FEE_3_Out!V115</f>
        <v>658.06049784044467</v>
      </c>
      <c r="AI117" s="61">
        <f>+FEE_3_Out!Y115</f>
        <v>62.814965168514739</v>
      </c>
      <c r="AJ117" s="61">
        <f>+FEE_4_Out!H115</f>
        <v>15940.547541001766</v>
      </c>
      <c r="AK117" s="61">
        <f>+FEE_4_Out!S115</f>
        <v>14926.943483591254</v>
      </c>
      <c r="AL117" s="61">
        <f>+FEE_4_Out!V115</f>
        <v>954.43526465101979</v>
      </c>
      <c r="AM117" s="61">
        <f>+FEE_4_Out!Y115</f>
        <v>59.168792759491566</v>
      </c>
    </row>
    <row r="118" spans="2:39" s="20" customFormat="1" x14ac:dyDescent="0.25">
      <c r="B118" s="134">
        <f>ITE_LUC_Rates!B98</f>
        <v>863</v>
      </c>
      <c r="C118" s="135" t="str">
        <f>ITE_LUC_Rates!C98</f>
        <v>Electronics Superstore</v>
      </c>
      <c r="D118" s="232" t="str">
        <f>ITE_LUC_Rates!D98</f>
        <v>1000 GSF</v>
      </c>
      <c r="E118" s="233">
        <f>ITE_LUC_Rates!H98</f>
        <v>41.05</v>
      </c>
      <c r="F118" s="136" t="s">
        <v>71</v>
      </c>
      <c r="G118" s="137">
        <f>ITE_LUC_Rates!Q98</f>
        <v>0</v>
      </c>
      <c r="H118" s="104">
        <f>FEE_1_In!$H116</f>
        <v>17764.643136691255</v>
      </c>
      <c r="I118" s="104">
        <f>+FEE_1_In!S116</f>
        <v>13048.411903795766</v>
      </c>
      <c r="J118" s="104">
        <f>+FEE_1_In!V116</f>
        <v>4437.4388175188624</v>
      </c>
      <c r="K118" s="104">
        <f>+FEE_1_In!Y116</f>
        <v>278.79241537662688</v>
      </c>
      <c r="L118" s="104">
        <f>+FEE_2_In!H116</f>
        <v>21129.367348538355</v>
      </c>
      <c r="M118" s="104">
        <f>+FEE_2_In!S116</f>
        <v>17522.310503186971</v>
      </c>
      <c r="N118" s="104">
        <f>+FEE_2_In!V116</f>
        <v>3457.6555677876222</v>
      </c>
      <c r="O118" s="61">
        <f>+FEE_2_In!Y116</f>
        <v>149.40127756376077</v>
      </c>
      <c r="P118" s="61">
        <f>+FEE_3_In!H116</f>
        <v>21017.848919840017</v>
      </c>
      <c r="Q118" s="61">
        <f>+FEE_3_In!S116</f>
        <v>18903.571905266122</v>
      </c>
      <c r="R118" s="61">
        <f>+FEE_3_In!V116</f>
        <v>2023.4336714769736</v>
      </c>
      <c r="S118" s="61">
        <f>+FEE_3_In!Y116</f>
        <v>90.843343096920876</v>
      </c>
      <c r="T118" s="61">
        <f>+FEE_4_In!H116</f>
        <v>19729.486983504186</v>
      </c>
      <c r="U118" s="61">
        <f>+FEE_4_In!S116</f>
        <v>16418.580560535094</v>
      </c>
      <c r="V118" s="61">
        <f>+FEE_4_In!V116</f>
        <v>3223.8166582818976</v>
      </c>
      <c r="W118" s="61">
        <f>+FEE_4_In!Y116</f>
        <v>87.08976468719311</v>
      </c>
      <c r="X118" s="61">
        <f>FEE_1_In!$H116</f>
        <v>17764.643136691255</v>
      </c>
      <c r="Y118" s="61">
        <f>+FEE_1_Out!S116</f>
        <v>15398.434171842257</v>
      </c>
      <c r="Z118" s="61">
        <f>+FEE_1_Out!V116</f>
        <v>1206.1400681376192</v>
      </c>
      <c r="AA118" s="61">
        <f>+FEE_1_Out!Y116</f>
        <v>223.09746276325839</v>
      </c>
      <c r="AB118" s="61">
        <f>+FEE_2_Out!H116</f>
        <v>18424.360734008183</v>
      </c>
      <c r="AC118" s="61">
        <f>+FEE_2_Out!S116</f>
        <v>17398.266869046089</v>
      </c>
      <c r="AD118" s="61">
        <f>+FEE_2_Out!V116</f>
        <v>882.44099817932045</v>
      </c>
      <c r="AE118" s="61">
        <f>+FEE_2_Out!Y116</f>
        <v>143.65286678277502</v>
      </c>
      <c r="AF118" s="61">
        <f>+FEE_3_Out!H116</f>
        <v>20316.127376960176</v>
      </c>
      <c r="AG118" s="61">
        <f>+FEE_3_Out!S116</f>
        <v>19353.474880001235</v>
      </c>
      <c r="AH118" s="61">
        <f>+FEE_3_Out!V116</f>
        <v>878.76979298471883</v>
      </c>
      <c r="AI118" s="61">
        <f>+FEE_3_Out!Y116</f>
        <v>83.88270397422022</v>
      </c>
      <c r="AJ118" s="61">
        <f>+FEE_4_Out!H116</f>
        <v>21286.90554840997</v>
      </c>
      <c r="AK118" s="61">
        <f>+FEE_4_Out!S116</f>
        <v>19933.345152941478</v>
      </c>
      <c r="AL118" s="61">
        <f>+FEE_4_Out!V116</f>
        <v>1274.5467668810786</v>
      </c>
      <c r="AM118" s="61">
        <f>+FEE_4_Out!Y116</f>
        <v>79.013628587414729</v>
      </c>
    </row>
    <row r="119" spans="2:39" s="20" customFormat="1" x14ac:dyDescent="0.25">
      <c r="B119" s="134">
        <f>ITE_LUC_Rates!B99</f>
        <v>868</v>
      </c>
      <c r="C119" s="135" t="str">
        <f>ITE_LUC_Rates!C99</f>
        <v>Book Superstore</v>
      </c>
      <c r="D119" s="232" t="str">
        <f>ITE_LUC_Rates!D99</f>
        <v>1000 GSF</v>
      </c>
      <c r="E119" s="233">
        <f>ITE_LUC_Rates!H99</f>
        <v>143.6</v>
      </c>
      <c r="F119" s="136" t="s">
        <v>71</v>
      </c>
      <c r="G119" s="137">
        <f>ITE_LUC_Rates!Q99</f>
        <v>0</v>
      </c>
      <c r="H119" s="104">
        <f>FEE_1_In!$H117</f>
        <v>62143.794261360883</v>
      </c>
      <c r="I119" s="104">
        <f>+FEE_1_In!S117</f>
        <v>45645.601690257543</v>
      </c>
      <c r="J119" s="104">
        <f>+FEE_1_In!V117</f>
        <v>15522.928482234072</v>
      </c>
      <c r="K119" s="104">
        <f>+FEE_1_In!Y117</f>
        <v>975.26408886927186</v>
      </c>
      <c r="L119" s="104">
        <f>+FEE_2_In!H117</f>
        <v>73914.181516445984</v>
      </c>
      <c r="M119" s="104">
        <f>+FEE_2_In!S117</f>
        <v>61296.072795557826</v>
      </c>
      <c r="N119" s="104">
        <f>+FEE_2_In!V117</f>
        <v>12095.47721155426</v>
      </c>
      <c r="O119" s="61">
        <f>+FEE_2_In!Y117</f>
        <v>522.6315093338867</v>
      </c>
      <c r="P119" s="61">
        <f>+FEE_3_In!H117</f>
        <v>73524.070764653501</v>
      </c>
      <c r="Q119" s="61">
        <f>+FEE_3_In!S117</f>
        <v>66127.964082733612</v>
      </c>
      <c r="R119" s="61">
        <f>+FEE_3_In!V117</f>
        <v>7078.3209555199355</v>
      </c>
      <c r="S119" s="61">
        <f>+FEE_3_In!Y117</f>
        <v>317.78572639994724</v>
      </c>
      <c r="T119" s="61">
        <f>+FEE_4_In!H117</f>
        <v>69017.157876521334</v>
      </c>
      <c r="U119" s="61">
        <f>+FEE_4_In!S117</f>
        <v>57435.034555245787</v>
      </c>
      <c r="V119" s="61">
        <f>+FEE_4_In!V117</f>
        <v>11277.468261371021</v>
      </c>
      <c r="W119" s="61">
        <f>+FEE_4_In!Y117</f>
        <v>304.65505990452937</v>
      </c>
      <c r="X119" s="61">
        <f>FEE_1_In!$H117</f>
        <v>62143.794261360883</v>
      </c>
      <c r="Y119" s="61">
        <f>+FEE_1_Out!S117</f>
        <v>53866.386043277664</v>
      </c>
      <c r="Z119" s="61">
        <f>+FEE_1_Out!V117</f>
        <v>4219.2865720965192</v>
      </c>
      <c r="AA119" s="61">
        <f>+FEE_1_Out!Y117</f>
        <v>780.43351163955913</v>
      </c>
      <c r="AB119" s="61">
        <f>+FEE_2_Out!H117</f>
        <v>64451.600521402564</v>
      </c>
      <c r="AC119" s="61">
        <f>+FEE_2_Out!S117</f>
        <v>60862.14670877024</v>
      </c>
      <c r="AD119" s="61">
        <f>+FEE_2_Out!V117</f>
        <v>3086.9312384543341</v>
      </c>
      <c r="AE119" s="61">
        <f>+FEE_2_Out!Y117</f>
        <v>502.52257417798995</v>
      </c>
      <c r="AF119" s="61">
        <f>+FEE_3_Out!H117</f>
        <v>71069.327438038512</v>
      </c>
      <c r="AG119" s="61">
        <f>+FEE_3_Out!S117</f>
        <v>67701.802503487866</v>
      </c>
      <c r="AH119" s="61">
        <f>+FEE_3_Out!V117</f>
        <v>3074.0887277126826</v>
      </c>
      <c r="AI119" s="61">
        <f>+FEE_3_Out!Y117</f>
        <v>293.43620683795427</v>
      </c>
      <c r="AJ119" s="61">
        <f>+FEE_4_Out!H117</f>
        <v>74465.277387373237</v>
      </c>
      <c r="AK119" s="61">
        <f>+FEE_4_Out!S117</f>
        <v>69730.28901248223</v>
      </c>
      <c r="AL119" s="61">
        <f>+FEE_4_Out!V117</f>
        <v>4458.5850359104243</v>
      </c>
      <c r="AM119" s="61">
        <f>+FEE_4_Out!Y117</f>
        <v>276.40333898057861</v>
      </c>
    </row>
    <row r="120" spans="2:39" s="20" customFormat="1" x14ac:dyDescent="0.25">
      <c r="B120" s="134">
        <f>ITE_LUC_Rates!B100</f>
        <v>869</v>
      </c>
      <c r="C120" s="135" t="str">
        <f>ITE_LUC_Rates!C100</f>
        <v>Discount Home Furnishing Superstore</v>
      </c>
      <c r="D120" s="232" t="str">
        <f>ITE_LUC_Rates!D100</f>
        <v>1000 GSF</v>
      </c>
      <c r="E120" s="233">
        <f>ITE_LUC_Rates!H100</f>
        <v>20</v>
      </c>
      <c r="F120" s="136" t="s">
        <v>71</v>
      </c>
      <c r="G120" s="137">
        <f>ITE_LUC_Rates!Q100</f>
        <v>0</v>
      </c>
      <c r="H120" s="104">
        <f>FEE_1_In!$H118</f>
        <v>8655.1245489360572</v>
      </c>
      <c r="I120" s="104">
        <f>+FEE_1_In!S118</f>
        <v>6357.3261407043929</v>
      </c>
      <c r="J120" s="104">
        <f>+FEE_1_In!V118</f>
        <v>2161.967755185804</v>
      </c>
      <c r="K120" s="104">
        <f>+FEE_1_In!Y118</f>
        <v>135.83065304585961</v>
      </c>
      <c r="L120" s="104">
        <f>+FEE_2_In!H118</f>
        <v>10294.45425020139</v>
      </c>
      <c r="M120" s="104">
        <f>+FEE_2_In!S118</f>
        <v>8537.0574924175253</v>
      </c>
      <c r="N120" s="104">
        <f>+FEE_2_In!V118</f>
        <v>1684.6068539769169</v>
      </c>
      <c r="O120" s="61">
        <f>+FEE_2_In!Y118</f>
        <v>72.789903806948018</v>
      </c>
      <c r="P120" s="61">
        <f>+FEE_3_In!H118</f>
        <v>10240.121276414138</v>
      </c>
      <c r="Q120" s="61">
        <f>+FEE_3_In!S118</f>
        <v>9210.022852748416</v>
      </c>
      <c r="R120" s="61">
        <f>+FEE_3_In!V118</f>
        <v>985.83857319219157</v>
      </c>
      <c r="S120" s="61">
        <f>+FEE_3_In!Y118</f>
        <v>44.259850473530264</v>
      </c>
      <c r="T120" s="61">
        <f>+FEE_4_In!H118</f>
        <v>9612.4175315489338</v>
      </c>
      <c r="U120" s="61">
        <f>+FEE_4_In!S118</f>
        <v>7999.3084338782437</v>
      </c>
      <c r="V120" s="61">
        <f>+FEE_4_In!V118</f>
        <v>1570.6780308316188</v>
      </c>
      <c r="W120" s="61">
        <f>+FEE_4_In!Y118</f>
        <v>42.431066839070937</v>
      </c>
      <c r="X120" s="61">
        <f>FEE_1_In!$H118</f>
        <v>8655.1245489360572</v>
      </c>
      <c r="Y120" s="61">
        <f>+FEE_1_Out!S118</f>
        <v>7502.2821787294806</v>
      </c>
      <c r="Z120" s="61">
        <f>+FEE_1_Out!V118</f>
        <v>587.64436937277435</v>
      </c>
      <c r="AA120" s="61">
        <f>+FEE_1_Out!Y118</f>
        <v>108.69547515871299</v>
      </c>
      <c r="AB120" s="61">
        <f>+FEE_2_Out!H118</f>
        <v>8976.5460336215256</v>
      </c>
      <c r="AC120" s="61">
        <f>+FEE_2_Out!S118</f>
        <v>8476.6221042855486</v>
      </c>
      <c r="AD120" s="61">
        <f>+FEE_2_Out!V118</f>
        <v>429.93471287664823</v>
      </c>
      <c r="AE120" s="61">
        <f>+FEE_2_Out!Y118</f>
        <v>69.989216459330081</v>
      </c>
      <c r="AF120" s="61">
        <f>+FEE_3_Out!H118</f>
        <v>9898.2350192254198</v>
      </c>
      <c r="AG120" s="61">
        <f>+FEE_3_Out!S118</f>
        <v>9429.2204043854981</v>
      </c>
      <c r="AH120" s="61">
        <f>+FEE_3_Out!V118</f>
        <v>428.14606235552685</v>
      </c>
      <c r="AI120" s="61">
        <f>+FEE_3_Out!Y118</f>
        <v>40.868552484394748</v>
      </c>
      <c r="AJ120" s="61">
        <f>+FEE_4_Out!H118</f>
        <v>10371.208549773433</v>
      </c>
      <c r="AK120" s="61">
        <f>+FEE_4_Out!S118</f>
        <v>9711.7394167802577</v>
      </c>
      <c r="AL120" s="61">
        <f>+FEE_4_Out!V118</f>
        <v>620.97284622707866</v>
      </c>
      <c r="AM120" s="61">
        <f>+FEE_4_Out!Y118</f>
        <v>38.496286766097306</v>
      </c>
    </row>
    <row r="121" spans="2:39" s="20" customFormat="1" x14ac:dyDescent="0.25">
      <c r="B121" s="55">
        <f>ITE_LUC_Rates!B101</f>
        <v>875</v>
      </c>
      <c r="C121" s="56" t="str">
        <f>ITE_LUC_Rates!C101</f>
        <v>Department Store (free standing)</v>
      </c>
      <c r="D121" s="57" t="str">
        <f>ITE_LUC_Rates!D101</f>
        <v>1000 GSF</v>
      </c>
      <c r="E121" s="129">
        <f>ITE_LUC_Rates!H101</f>
        <v>22.88</v>
      </c>
      <c r="F121" s="58" t="s">
        <v>71</v>
      </c>
      <c r="G121" s="104">
        <f>ITE_LUC_Rates!Q101</f>
        <v>9283</v>
      </c>
      <c r="H121" s="104">
        <f>FEE_1_In!$H119</f>
        <v>9901.4624839828484</v>
      </c>
      <c r="I121" s="104">
        <f>+FEE_1_In!S119</f>
        <v>7272.7811049658249</v>
      </c>
      <c r="J121" s="104">
        <f>+FEE_1_In!V119</f>
        <v>2473.2911119325595</v>
      </c>
      <c r="K121" s="104">
        <f>+FEE_1_In!Y119</f>
        <v>155.3902670844634</v>
      </c>
      <c r="L121" s="104">
        <f>+FEE_2_In!H119</f>
        <v>11776.855662230388</v>
      </c>
      <c r="M121" s="104">
        <f>+FEE_2_In!S119</f>
        <v>9766.3937713256473</v>
      </c>
      <c r="N121" s="104">
        <f>+FEE_2_In!V119</f>
        <v>1927.1902409495926</v>
      </c>
      <c r="O121" s="61">
        <f>+FEE_2_In!Y119</f>
        <v>83.271649955148519</v>
      </c>
      <c r="P121" s="61">
        <f>+FEE_3_In!H119</f>
        <v>11714.698740217775</v>
      </c>
      <c r="Q121" s="61">
        <f>+FEE_3_In!S119</f>
        <v>10536.266143544188</v>
      </c>
      <c r="R121" s="61">
        <f>+FEE_3_In!V119</f>
        <v>1127.7993277318672</v>
      </c>
      <c r="S121" s="61">
        <f>+FEE_3_In!Y119</f>
        <v>50.633268941718626</v>
      </c>
      <c r="T121" s="61">
        <f>+FEE_4_In!H119</f>
        <v>10996.605656091981</v>
      </c>
      <c r="U121" s="61">
        <f>+FEE_4_In!S119</f>
        <v>9151.2088483567113</v>
      </c>
      <c r="V121" s="61">
        <f>+FEE_4_In!V119</f>
        <v>1796.8556672713714</v>
      </c>
      <c r="W121" s="61">
        <f>+FEE_4_In!Y119</f>
        <v>48.541140463897158</v>
      </c>
      <c r="X121" s="61">
        <f>FEE_1_In!$H119</f>
        <v>9901.4624839828484</v>
      </c>
      <c r="Y121" s="61">
        <f>+FEE_1_Out!S119</f>
        <v>8582.6108124665261</v>
      </c>
      <c r="Z121" s="61">
        <f>+FEE_1_Out!V119</f>
        <v>672.26515856245385</v>
      </c>
      <c r="AA121" s="61">
        <f>+FEE_1_Out!Y119</f>
        <v>124.34762358156766</v>
      </c>
      <c r="AB121" s="61">
        <f>+FEE_2_Out!H119</f>
        <v>10269.168662463026</v>
      </c>
      <c r="AC121" s="61">
        <f>+FEE_2_Out!S119</f>
        <v>9697.255687302666</v>
      </c>
      <c r="AD121" s="61">
        <f>+FEE_2_Out!V119</f>
        <v>491.84531153088551</v>
      </c>
      <c r="AE121" s="61">
        <f>+FEE_2_Out!Y119</f>
        <v>80.067663629473614</v>
      </c>
      <c r="AF121" s="61">
        <f>+FEE_3_Out!H119</f>
        <v>11323.580861993882</v>
      </c>
      <c r="AG121" s="61">
        <f>+FEE_3_Out!S119</f>
        <v>10787.028142617011</v>
      </c>
      <c r="AH121" s="61">
        <f>+FEE_3_Out!V119</f>
        <v>489.79909533472272</v>
      </c>
      <c r="AI121" s="61">
        <f>+FEE_3_Out!Y119</f>
        <v>46.753624042147592</v>
      </c>
      <c r="AJ121" s="61">
        <f>+FEE_4_Out!H119</f>
        <v>11864.662580940803</v>
      </c>
      <c r="AK121" s="61">
        <f>+FEE_4_Out!S119</f>
        <v>11110.229892796611</v>
      </c>
      <c r="AL121" s="61">
        <f>+FEE_4_Out!V119</f>
        <v>710.39293608377795</v>
      </c>
      <c r="AM121" s="61">
        <f>+FEE_4_Out!Y119</f>
        <v>44.039752060415324</v>
      </c>
    </row>
    <row r="122" spans="2:39" s="20" customFormat="1" x14ac:dyDescent="0.25">
      <c r="B122" s="134">
        <f>ITE_LUC_Rates!B102</f>
        <v>876</v>
      </c>
      <c r="C122" s="135" t="str">
        <f>ITE_LUC_Rates!C102</f>
        <v>Apparel Store</v>
      </c>
      <c r="D122" s="232" t="str">
        <f>ITE_LUC_Rates!D102</f>
        <v>1000 GSF</v>
      </c>
      <c r="E122" s="233">
        <f>ITE_LUC_Rates!H102</f>
        <v>66.400000000000006</v>
      </c>
      <c r="F122" s="136" t="s">
        <v>71</v>
      </c>
      <c r="G122" s="137">
        <f>ITE_LUC_Rates!Q102</f>
        <v>0</v>
      </c>
      <c r="H122" s="104">
        <f>FEE_1_In!$H120</f>
        <v>28735.013502467711</v>
      </c>
      <c r="I122" s="104">
        <f>+FEE_1_In!S120</f>
        <v>21106.322787138586</v>
      </c>
      <c r="J122" s="104">
        <f>+FEE_1_In!V120</f>
        <v>7177.7329472168703</v>
      </c>
      <c r="K122" s="104">
        <f>+FEE_1_In!Y120</f>
        <v>450.95776811225392</v>
      </c>
      <c r="L122" s="104">
        <f>+FEE_2_In!H120</f>
        <v>34177.588110668621</v>
      </c>
      <c r="M122" s="104">
        <f>+FEE_2_In!S120</f>
        <v>28343.030874826185</v>
      </c>
      <c r="N122" s="104">
        <f>+FEE_2_In!V120</f>
        <v>5592.8947552033642</v>
      </c>
      <c r="O122" s="61">
        <f>+FEE_2_In!Y120</f>
        <v>241.66248063906741</v>
      </c>
      <c r="P122" s="61">
        <f>+FEE_3_In!H120</f>
        <v>33997.202637694943</v>
      </c>
      <c r="Q122" s="61">
        <f>+FEE_3_In!S120</f>
        <v>30577.275871124741</v>
      </c>
      <c r="R122" s="61">
        <f>+FEE_3_In!V120</f>
        <v>3272.9840629980768</v>
      </c>
      <c r="S122" s="61">
        <f>+FEE_3_In!Y120</f>
        <v>146.94270357212048</v>
      </c>
      <c r="T122" s="61">
        <f>+FEE_4_In!H120</f>
        <v>31913.226204742459</v>
      </c>
      <c r="U122" s="61">
        <f>+FEE_4_In!S120</f>
        <v>26557.704000475769</v>
      </c>
      <c r="V122" s="61">
        <f>+FEE_4_In!V120</f>
        <v>5214.6510623609747</v>
      </c>
      <c r="W122" s="61">
        <f>+FEE_4_In!Y120</f>
        <v>140.87114190571555</v>
      </c>
      <c r="X122" s="61">
        <f>FEE_1_In!$H120</f>
        <v>28735.013502467711</v>
      </c>
      <c r="Y122" s="61">
        <f>+FEE_1_Out!S120</f>
        <v>24907.576833381874</v>
      </c>
      <c r="Z122" s="61">
        <f>+FEE_1_Out!V120</f>
        <v>1950.9793063176107</v>
      </c>
      <c r="AA122" s="61">
        <f>+FEE_1_Out!Y120</f>
        <v>360.86897752692715</v>
      </c>
      <c r="AB122" s="61">
        <f>+FEE_2_Out!H120</f>
        <v>29802.132831623472</v>
      </c>
      <c r="AC122" s="61">
        <f>+FEE_2_Out!S120</f>
        <v>28142.385386228023</v>
      </c>
      <c r="AD122" s="61">
        <f>+FEE_2_Out!V120</f>
        <v>1427.3832467504724</v>
      </c>
      <c r="AE122" s="61">
        <f>+FEE_2_Out!Y120</f>
        <v>232.36419864497589</v>
      </c>
      <c r="AF122" s="61">
        <f>+FEE_3_Out!H120</f>
        <v>32862.140263828398</v>
      </c>
      <c r="AG122" s="61">
        <f>+FEE_3_Out!S120</f>
        <v>31305.011742559862</v>
      </c>
      <c r="AH122" s="61">
        <f>+FEE_3_Out!V120</f>
        <v>1421.444927020349</v>
      </c>
      <c r="AI122" s="61">
        <f>+FEE_3_Out!Y120</f>
        <v>135.68359424819059</v>
      </c>
      <c r="AJ122" s="61">
        <f>+FEE_4_Out!H120</f>
        <v>34432.412385247793</v>
      </c>
      <c r="AK122" s="61">
        <f>+FEE_4_Out!S120</f>
        <v>32242.974863710453</v>
      </c>
      <c r="AL122" s="61">
        <f>+FEE_4_Out!V120</f>
        <v>2061.6298494739012</v>
      </c>
      <c r="AM122" s="61">
        <f>+FEE_4_Out!Y120</f>
        <v>127.80767206344308</v>
      </c>
    </row>
    <row r="123" spans="2:39" s="20" customFormat="1" x14ac:dyDescent="0.25">
      <c r="B123" s="134">
        <f>ITE_LUC_Rates!B103</f>
        <v>879</v>
      </c>
      <c r="C123" s="135" t="str">
        <f>ITE_LUC_Rates!C103</f>
        <v>Arts &amp; Crafts Store</v>
      </c>
      <c r="D123" s="232" t="str">
        <f>ITE_LUC_Rates!D103</f>
        <v>1000 GSF</v>
      </c>
      <c r="E123" s="233">
        <f>ITE_LUC_Rates!H103</f>
        <v>56.55</v>
      </c>
      <c r="F123" s="136" t="s">
        <v>71</v>
      </c>
      <c r="G123" s="137">
        <f>ITE_LUC_Rates!Q103</f>
        <v>0</v>
      </c>
      <c r="H123" s="104">
        <f>FEE_1_In!$H121</f>
        <v>24472.364662116695</v>
      </c>
      <c r="I123" s="104">
        <f>+FEE_1_In!S121</f>
        <v>17975.339662841667</v>
      </c>
      <c r="J123" s="104">
        <f>+FEE_1_In!V121</f>
        <v>6112.9638277878603</v>
      </c>
      <c r="K123" s="104">
        <f>+FEE_1_In!Y121</f>
        <v>384.061171487168</v>
      </c>
      <c r="L123" s="104">
        <f>+FEE_2_In!H121</f>
        <v>29107.569392444428</v>
      </c>
      <c r="M123" s="104">
        <f>+FEE_2_In!S121</f>
        <v>24138.53005981055</v>
      </c>
      <c r="N123" s="104">
        <f>+FEE_2_In!V121</f>
        <v>4763.225879619732</v>
      </c>
      <c r="O123" s="61">
        <f>+FEE_2_In!Y121</f>
        <v>205.81345301414547</v>
      </c>
      <c r="P123" s="61">
        <f>+FEE_3_In!H121</f>
        <v>28953.942909060966</v>
      </c>
      <c r="Q123" s="61">
        <f>+FEE_3_In!S121</f>
        <v>26041.339616146139</v>
      </c>
      <c r="R123" s="61">
        <f>+FEE_3_In!V121</f>
        <v>2787.4585657009211</v>
      </c>
      <c r="S123" s="61">
        <f>+FEE_3_In!Y121</f>
        <v>125.14472721390682</v>
      </c>
      <c r="T123" s="61">
        <f>+FEE_4_In!H121</f>
        <v>27179.110570454606</v>
      </c>
      <c r="U123" s="61">
        <f>+FEE_4_In!S121</f>
        <v>22618.044596790733</v>
      </c>
      <c r="V123" s="61">
        <f>+FEE_4_In!V121</f>
        <v>4441.0921321764017</v>
      </c>
      <c r="W123" s="61">
        <f>+FEE_4_In!Y121</f>
        <v>119.97384148747308</v>
      </c>
      <c r="X123" s="61">
        <f>FEE_1_In!$H121</f>
        <v>24472.364662116695</v>
      </c>
      <c r="Y123" s="61">
        <f>+FEE_1_Out!S121</f>
        <v>21212.702860357607</v>
      </c>
      <c r="Z123" s="61">
        <f>+FEE_1_Out!V121</f>
        <v>1661.5644544015192</v>
      </c>
      <c r="AA123" s="61">
        <f>+FEE_1_Out!Y121</f>
        <v>307.33645601126091</v>
      </c>
      <c r="AB123" s="61">
        <f>+FEE_2_Out!H121</f>
        <v>25381.183910064861</v>
      </c>
      <c r="AC123" s="61">
        <f>+FEE_2_Out!S121</f>
        <v>23967.648999867382</v>
      </c>
      <c r="AD123" s="61">
        <f>+FEE_2_Out!V121</f>
        <v>1215.6404006587227</v>
      </c>
      <c r="AE123" s="61">
        <f>+FEE_2_Out!Y121</f>
        <v>197.89450953875578</v>
      </c>
      <c r="AF123" s="61">
        <f>+FEE_3_Out!H121</f>
        <v>27987.259516859878</v>
      </c>
      <c r="AG123" s="61">
        <f>+FEE_3_Out!S121</f>
        <v>26661.1206934</v>
      </c>
      <c r="AH123" s="61">
        <f>+FEE_3_Out!V121</f>
        <v>1210.5829913102518</v>
      </c>
      <c r="AI123" s="61">
        <f>+FEE_3_Out!Y121</f>
        <v>115.55583214962614</v>
      </c>
      <c r="AJ123" s="61">
        <f>+FEE_4_Out!H121</f>
        <v>29324.592174484373</v>
      </c>
      <c r="AK123" s="61">
        <f>+FEE_4_Out!S121</f>
        <v>27459.943200946171</v>
      </c>
      <c r="AL123" s="61">
        <f>+FEE_4_Out!V121</f>
        <v>1755.8007227070646</v>
      </c>
      <c r="AM123" s="61">
        <f>+FEE_4_Out!Y121</f>
        <v>108.84825083114013</v>
      </c>
    </row>
    <row r="124" spans="2:39" s="20" customFormat="1" x14ac:dyDescent="0.25">
      <c r="B124" s="55">
        <f>ITE_LUC_Rates!B104</f>
        <v>880</v>
      </c>
      <c r="C124" s="56" t="str">
        <f>ITE_LUC_Rates!C104</f>
        <v>Pharmacy/Drugstore w/o Drive-Thru</v>
      </c>
      <c r="D124" s="57" t="str">
        <f>ITE_LUC_Rates!D104</f>
        <v>1000 GSF</v>
      </c>
      <c r="E124" s="129">
        <f>ITE_LUC_Rates!H104</f>
        <v>90.08</v>
      </c>
      <c r="F124" s="58" t="s">
        <v>71</v>
      </c>
      <c r="G124" s="104">
        <f>ITE_LUC_Rates!Q104</f>
        <v>11136.5</v>
      </c>
      <c r="H124" s="104">
        <f>FEE_1_In!$H122</f>
        <v>9109.7655338460318</v>
      </c>
      <c r="I124" s="104">
        <f>+FEE_1_In!S122</f>
        <v>6691.2671489084942</v>
      </c>
      <c r="J124" s="104">
        <f>+FEE_1_In!V122</f>
        <v>2275.5327471167529</v>
      </c>
      <c r="K124" s="104">
        <f>+FEE_1_In!Y122</f>
        <v>142.9656378207842</v>
      </c>
      <c r="L124" s="104">
        <f>+FEE_2_In!H122</f>
        <v>10835.206817418642</v>
      </c>
      <c r="M124" s="104">
        <f>+FEE_2_In!S122</f>
        <v>8985.4965881972494</v>
      </c>
      <c r="N124" s="104">
        <f>+FEE_2_In!V122</f>
        <v>1773.0967786392152</v>
      </c>
      <c r="O124" s="61">
        <f>+FEE_2_In!Y122</f>
        <v>76.613450582177407</v>
      </c>
      <c r="P124" s="61">
        <f>+FEE_3_In!H122</f>
        <v>10778.019812291221</v>
      </c>
      <c r="Q124" s="61">
        <f>+FEE_3_In!S122</f>
        <v>9693.8118308436678</v>
      </c>
      <c r="R124" s="61">
        <f>+FEE_3_In!V122</f>
        <v>1037.6232260119409</v>
      </c>
      <c r="S124" s="61">
        <f>+FEE_3_In!Y122</f>
        <v>46.584755435611669</v>
      </c>
      <c r="T124" s="61">
        <f>+FEE_4_In!H122</f>
        <v>10117.343711316795</v>
      </c>
      <c r="U124" s="61">
        <f>+FEE_4_In!S122</f>
        <v>8419.5003611479824</v>
      </c>
      <c r="V124" s="61">
        <f>+FEE_4_In!V122</f>
        <v>1653.1834416869167</v>
      </c>
      <c r="W124" s="61">
        <f>+FEE_4_In!Y122</f>
        <v>44.659908481894853</v>
      </c>
      <c r="X124" s="61">
        <f>FEE_1_In!$H122</f>
        <v>9109.7655338460318</v>
      </c>
      <c r="Y124" s="61">
        <f>+FEE_1_Out!S122</f>
        <v>7896.3660465612138</v>
      </c>
      <c r="Z124" s="61">
        <f>+FEE_1_Out!V122</f>
        <v>618.51246530344235</v>
      </c>
      <c r="AA124" s="61">
        <f>+FEE_1_Out!Y122</f>
        <v>114.40508887969517</v>
      </c>
      <c r="AB124" s="61">
        <f>+FEE_2_Out!H122</f>
        <v>9448.0708172038867</v>
      </c>
      <c r="AC124" s="61">
        <f>+FEE_2_Out!S122</f>
        <v>8921.886617859278</v>
      </c>
      <c r="AD124" s="61">
        <f>+FEE_2_Out!V122</f>
        <v>452.51855210438697</v>
      </c>
      <c r="AE124" s="61">
        <f>+FEE_2_Out!Y122</f>
        <v>73.665647240220324</v>
      </c>
      <c r="AF124" s="61">
        <f>+FEE_3_Out!H122</f>
        <v>10418.174771977361</v>
      </c>
      <c r="AG124" s="61">
        <f>+FEE_3_Out!S122</f>
        <v>9924.5235080375478</v>
      </c>
      <c r="AH124" s="61">
        <f>+FEE_3_Out!V122</f>
        <v>450.63594639752739</v>
      </c>
      <c r="AI124" s="61">
        <f>+FEE_3_Out!Y122</f>
        <v>43.015317542285715</v>
      </c>
      <c r="AJ124" s="61">
        <f>+FEE_4_Out!H122</f>
        <v>10915.992907654843</v>
      </c>
      <c r="AK124" s="61">
        <f>+FEE_4_Out!S122</f>
        <v>10221.882829352728</v>
      </c>
      <c r="AL124" s="61">
        <f>+FEE_4_Out!V122</f>
        <v>653.59163811329529</v>
      </c>
      <c r="AM124" s="61">
        <f>+FEE_4_Out!Y122</f>
        <v>40.518440188819199</v>
      </c>
    </row>
    <row r="125" spans="2:39" s="20" customFormat="1" x14ac:dyDescent="0.25">
      <c r="B125" s="55">
        <f>ITE_LUC_Rates!B105</f>
        <v>881</v>
      </c>
      <c r="C125" s="56" t="str">
        <f>ITE_LUC_Rates!C105</f>
        <v>Pharmacy/Drugstore w/ Drive-Thru</v>
      </c>
      <c r="D125" s="57" t="str">
        <f>ITE_LUC_Rates!D105</f>
        <v>1000 GSF</v>
      </c>
      <c r="E125" s="129">
        <f>ITE_LUC_Rates!H105</f>
        <v>109.16</v>
      </c>
      <c r="F125" s="58" t="s">
        <v>71</v>
      </c>
      <c r="G125" s="104">
        <f>ITE_LUC_Rates!Q105</f>
        <v>11984.3</v>
      </c>
      <c r="H125" s="104">
        <f>FEE_1_In!$H123</f>
        <v>11039.320666903117</v>
      </c>
      <c r="I125" s="104">
        <f>+FEE_1_In!S123</f>
        <v>8108.5559721897343</v>
      </c>
      <c r="J125" s="104">
        <f>+FEE_1_In!V123</f>
        <v>2757.5172588284272</v>
      </c>
      <c r="K125" s="104">
        <f>+FEE_1_In!Y123</f>
        <v>173.24743588495562</v>
      </c>
      <c r="L125" s="104">
        <f>+FEE_2_In!H123</f>
        <v>13130.230641534406</v>
      </c>
      <c r="M125" s="104">
        <f>+FEE_2_In!S123</f>
        <v>10888.730101771893</v>
      </c>
      <c r="N125" s="104">
        <f>+FEE_2_In!V123</f>
        <v>2148.6594622142175</v>
      </c>
      <c r="O125" s="61">
        <f>+FEE_2_In!Y123</f>
        <v>92.841077548295786</v>
      </c>
      <c r="P125" s="61">
        <f>+FEE_3_In!H123</f>
        <v>13060.930758322707</v>
      </c>
      <c r="Q125" s="61">
        <f>+FEE_3_In!S123</f>
        <v>11747.074816328761</v>
      </c>
      <c r="R125" s="61">
        <f>+FEE_3_In!V123</f>
        <v>1257.4039892480405</v>
      </c>
      <c r="S125" s="61">
        <f>+FEE_3_In!Y123</f>
        <v>56.451952745907747</v>
      </c>
      <c r="T125" s="61">
        <f>+FEE_4_In!H123</f>
        <v>12260.315714113471</v>
      </c>
      <c r="U125" s="61">
        <f>+FEE_4_In!S123</f>
        <v>10202.849238709079</v>
      </c>
      <c r="V125" s="61">
        <f>+FEE_4_In!V123</f>
        <v>2003.3470747618098</v>
      </c>
      <c r="W125" s="61">
        <f>+FEE_4_In!Y123</f>
        <v>54.119400642580402</v>
      </c>
      <c r="X125" s="61">
        <f>FEE_1_In!$H123</f>
        <v>11039.320666903117</v>
      </c>
      <c r="Y125" s="61">
        <f>+FEE_1_Out!S123</f>
        <v>9568.9089436347949</v>
      </c>
      <c r="Z125" s="61">
        <f>+FEE_1_Out!V123</f>
        <v>749.52065622251087</v>
      </c>
      <c r="AA125" s="61">
        <f>+FEE_1_Out!Y123</f>
        <v>138.63742786531446</v>
      </c>
      <c r="AB125" s="61">
        <f>+FEE_2_Out!H123</f>
        <v>11449.282975199556</v>
      </c>
      <c r="AC125" s="61">
        <f>+FEE_2_Out!S123</f>
        <v>10811.646794022188</v>
      </c>
      <c r="AD125" s="61">
        <f>+FEE_2_Out!V123</f>
        <v>548.36728627569801</v>
      </c>
      <c r="AE125" s="61">
        <f>+FEE_2_Out!Y123</f>
        <v>89.26889490167018</v>
      </c>
      <c r="AF125" s="61">
        <f>+FEE_3_Out!H123</f>
        <v>12624.866320038283</v>
      </c>
      <c r="AG125" s="61">
        <f>+FEE_3_Out!S123</f>
        <v>12026.653931365216</v>
      </c>
      <c r="AH125" s="61">
        <f>+FEE_3_Out!V123</f>
        <v>546.08592261050285</v>
      </c>
      <c r="AI125" s="61">
        <f>+FEE_3_Out!Y123</f>
        <v>52.126466062565598</v>
      </c>
      <c r="AJ125" s="61">
        <f>+FEE_4_Out!H123</f>
        <v>13228.128172730934</v>
      </c>
      <c r="AK125" s="61">
        <f>+FEE_4_Out!S123</f>
        <v>12386.997442852395</v>
      </c>
      <c r="AL125" s="61">
        <f>+FEE_4_Out!V123</f>
        <v>792.03000906358034</v>
      </c>
      <c r="AM125" s="61">
        <f>+FEE_4_Out!Y123</f>
        <v>49.100720814958969</v>
      </c>
    </row>
    <row r="126" spans="2:39" s="20" customFormat="1" x14ac:dyDescent="0.25">
      <c r="B126" s="134">
        <f>ITE_LUC_Rates!B106</f>
        <v>882</v>
      </c>
      <c r="C126" s="135" t="str">
        <f>ITE_LUC_Rates!C106</f>
        <v>Marijuana Dispensary</v>
      </c>
      <c r="D126" s="232" t="str">
        <f>ITE_LUC_Rates!D106</f>
        <v>1000 GSF</v>
      </c>
      <c r="E126" s="233">
        <f>ITE_LUC_Rates!H106</f>
        <v>252.7</v>
      </c>
      <c r="F126" s="136" t="s">
        <v>71</v>
      </c>
      <c r="G126" s="137">
        <f>ITE_LUC_Rates!Q106</f>
        <v>0</v>
      </c>
      <c r="H126" s="104">
        <f>FEE_1_In!$H124</f>
        <v>109357.49867580707</v>
      </c>
      <c r="I126" s="104">
        <f>+FEE_1_In!S124</f>
        <v>80324.815787799991</v>
      </c>
      <c r="J126" s="104">
        <f>+FEE_1_In!V124</f>
        <v>27316.462586772635</v>
      </c>
      <c r="K126" s="104">
        <f>+FEE_1_In!Y124</f>
        <v>1716.2203012344362</v>
      </c>
      <c r="L126" s="104">
        <f>+FEE_2_In!H124</f>
        <v>130070.42945129455</v>
      </c>
      <c r="M126" s="104">
        <f>+FEE_2_In!S124</f>
        <v>107865.72141669542</v>
      </c>
      <c r="N126" s="104">
        <f>+FEE_2_In!V124</f>
        <v>21285.007599998342</v>
      </c>
      <c r="O126" s="61">
        <f>+FEE_2_In!Y124</f>
        <v>919.70043460078807</v>
      </c>
      <c r="P126" s="61">
        <f>+FEE_3_In!H124</f>
        <v>129383.9323274926</v>
      </c>
      <c r="Q126" s="61">
        <f>+FEE_3_In!S124</f>
        <v>116368.63874447621</v>
      </c>
      <c r="R126" s="61">
        <f>+FEE_3_In!V124</f>
        <v>12456.07037228334</v>
      </c>
      <c r="S126" s="61">
        <f>+FEE_3_In!Y124</f>
        <v>559.22321073305488</v>
      </c>
      <c r="T126" s="61">
        <f>+FEE_4_In!H124</f>
        <v>121452.89551112076</v>
      </c>
      <c r="U126" s="61">
        <f>+FEE_4_In!S124</f>
        <v>101071.2620620516</v>
      </c>
      <c r="V126" s="61">
        <f>+FEE_4_In!V124</f>
        <v>19845.5169195575</v>
      </c>
      <c r="W126" s="61">
        <f>+FEE_4_In!Y124</f>
        <v>536.11652951166138</v>
      </c>
      <c r="X126" s="61">
        <f>FEE_1_In!$H124</f>
        <v>109357.49867580707</v>
      </c>
      <c r="Y126" s="61">
        <f>+FEE_1_Out!S124</f>
        <v>94791.335328246976</v>
      </c>
      <c r="Z126" s="61">
        <f>+FEE_1_Out!V124</f>
        <v>7424.8866070250024</v>
      </c>
      <c r="AA126" s="61">
        <f>+FEE_1_Out!Y124</f>
        <v>1373.3673286303383</v>
      </c>
      <c r="AB126" s="61">
        <f>+FEE_2_Out!H124</f>
        <v>113418.659134808</v>
      </c>
      <c r="AC126" s="61">
        <f>+FEE_2_Out!S124</f>
        <v>107102.12028764791</v>
      </c>
      <c r="AD126" s="61">
        <f>+FEE_2_Out!V124</f>
        <v>5432.2250971964504</v>
      </c>
      <c r="AE126" s="61">
        <f>+FEE_2_Out!Y124</f>
        <v>884.31374996363559</v>
      </c>
      <c r="AF126" s="61">
        <f>+FEE_3_Out!H124</f>
        <v>125064.19946791319</v>
      </c>
      <c r="AG126" s="61">
        <f>+FEE_3_Out!S124</f>
        <v>119138.19980941077</v>
      </c>
      <c r="AH126" s="61">
        <f>+FEE_3_Out!V124</f>
        <v>5409.62549786208</v>
      </c>
      <c r="AI126" s="61">
        <f>+FEE_3_Out!Y124</f>
        <v>516.37416064032766</v>
      </c>
      <c r="AJ126" s="61">
        <f>+FEE_4_Out!H124</f>
        <v>131040.22002638729</v>
      </c>
      <c r="AK126" s="61">
        <f>+FEE_4_Out!S124</f>
        <v>122707.82753101853</v>
      </c>
      <c r="AL126" s="61">
        <f>+FEE_4_Out!V124</f>
        <v>7845.9919120791383</v>
      </c>
      <c r="AM126" s="61">
        <f>+FEE_4_Out!Y124</f>
        <v>486.40058328963954</v>
      </c>
    </row>
    <row r="127" spans="2:39" s="20" customFormat="1" x14ac:dyDescent="0.25">
      <c r="B127" s="55">
        <f>ITE_LUC_Rates!B107</f>
        <v>890</v>
      </c>
      <c r="C127" s="56" t="str">
        <f>ITE_LUC_Rates!C107</f>
        <v>Furniture Store (free standing)</v>
      </c>
      <c r="D127" s="57" t="str">
        <f>ITE_LUC_Rates!D107</f>
        <v>1000 GSF</v>
      </c>
      <c r="E127" s="129">
        <f>ITE_LUC_Rates!H107</f>
        <v>6.3</v>
      </c>
      <c r="F127" s="58" t="s">
        <v>71</v>
      </c>
      <c r="G127" s="104">
        <f>ITE_LUC_Rates!Q107</f>
        <v>1656.8</v>
      </c>
      <c r="H127" s="104">
        <f>FEE_1_In!$H125</f>
        <v>2726.3642329148579</v>
      </c>
      <c r="I127" s="104">
        <f>+FEE_1_In!S125</f>
        <v>2002.5577343218838</v>
      </c>
      <c r="J127" s="104">
        <f>+FEE_1_In!V125</f>
        <v>681.01984288352833</v>
      </c>
      <c r="K127" s="104">
        <f>+FEE_1_In!Y125</f>
        <v>42.786655709445782</v>
      </c>
      <c r="L127" s="104">
        <f>+FEE_2_In!H125</f>
        <v>3242.7530888134388</v>
      </c>
      <c r="M127" s="104">
        <f>+FEE_2_In!S125</f>
        <v>2689.1731101115211</v>
      </c>
      <c r="N127" s="104">
        <f>+FEE_2_In!V125</f>
        <v>530.65115900272883</v>
      </c>
      <c r="O127" s="61">
        <f>+FEE_2_In!Y125</f>
        <v>22.928819699188626</v>
      </c>
      <c r="P127" s="61">
        <f>+FEE_3_In!H125</f>
        <v>3225.6382020704536</v>
      </c>
      <c r="Q127" s="61">
        <f>+FEE_3_In!S125</f>
        <v>2901.1571986157514</v>
      </c>
      <c r="R127" s="61">
        <f>+FEE_3_In!V125</f>
        <v>310.5391505555404</v>
      </c>
      <c r="S127" s="61">
        <f>+FEE_3_In!Y125</f>
        <v>13.941852899162035</v>
      </c>
      <c r="T127" s="61">
        <f>+FEE_4_In!H125</f>
        <v>3027.9115224379138</v>
      </c>
      <c r="U127" s="61">
        <f>+FEE_4_In!S125</f>
        <v>2519.7821566716466</v>
      </c>
      <c r="V127" s="61">
        <f>+FEE_4_In!V125</f>
        <v>494.76357971195989</v>
      </c>
      <c r="W127" s="61">
        <f>+FEE_4_In!Y125</f>
        <v>13.36578605430735</v>
      </c>
      <c r="X127" s="61">
        <f>FEE_1_In!$H125</f>
        <v>2726.3642329148579</v>
      </c>
      <c r="Y127" s="61">
        <f>+FEE_1_Out!S125</f>
        <v>2363.2188862997868</v>
      </c>
      <c r="Z127" s="61">
        <f>+FEE_1_Out!V125</f>
        <v>185.10797635242395</v>
      </c>
      <c r="AA127" s="61">
        <f>+FEE_1_Out!Y125</f>
        <v>34.239074674994598</v>
      </c>
      <c r="AB127" s="61">
        <f>+FEE_2_Out!H125</f>
        <v>2827.6120005907819</v>
      </c>
      <c r="AC127" s="61">
        <f>+FEE_2_Out!S125</f>
        <v>2670.1359628499486</v>
      </c>
      <c r="AD127" s="61">
        <f>+FEE_2_Out!V125</f>
        <v>135.4294345561442</v>
      </c>
      <c r="AE127" s="61">
        <f>+FEE_2_Out!Y125</f>
        <v>22.04660318468898</v>
      </c>
      <c r="AF127" s="61">
        <f>+FEE_3_Out!H125</f>
        <v>3117.9440310560076</v>
      </c>
      <c r="AG127" s="61">
        <f>+FEE_3_Out!S125</f>
        <v>2970.2044273814327</v>
      </c>
      <c r="AH127" s="61">
        <f>+FEE_3_Out!V125</f>
        <v>134.86600964199096</v>
      </c>
      <c r="AI127" s="61">
        <f>+FEE_3_Out!Y125</f>
        <v>12.873594032584348</v>
      </c>
      <c r="AJ127" s="61">
        <f>+FEE_4_Out!H125</f>
        <v>3266.9306931786318</v>
      </c>
      <c r="AK127" s="61">
        <f>+FEE_4_Out!S125</f>
        <v>3059.197916285781</v>
      </c>
      <c r="AL127" s="61">
        <f>+FEE_4_Out!V125</f>
        <v>195.60644656152979</v>
      </c>
      <c r="AM127" s="61">
        <f>+FEE_4_Out!Y125</f>
        <v>12.126330331320652</v>
      </c>
    </row>
    <row r="128" spans="2:39" s="20" customFormat="1" x14ac:dyDescent="0.25">
      <c r="B128" s="134">
        <f>ITE_LUC_Rates!B108</f>
        <v>899</v>
      </c>
      <c r="C128" s="135" t="str">
        <f>ITE_LUC_Rates!C108</f>
        <v>Liquor Store</v>
      </c>
      <c r="D128" s="232" t="str">
        <f>ITE_LUC_Rates!D108</f>
        <v>1000 GSF</v>
      </c>
      <c r="E128" s="233">
        <f>ITE_LUC_Rates!H108</f>
        <v>101.49</v>
      </c>
      <c r="F128" s="136" t="s">
        <v>71</v>
      </c>
      <c r="G128" s="137">
        <f>ITE_LUC_Rates!Q108</f>
        <v>0</v>
      </c>
      <c r="H128" s="104">
        <f>FEE_1_In!$H126</f>
        <v>36020.080730463909</v>
      </c>
      <c r="I128" s="104">
        <f>+FEE_1_In!S126</f>
        <v>26457.320114036938</v>
      </c>
      <c r="J128" s="104">
        <f>+FEE_1_In!V126</f>
        <v>8997.4734203016542</v>
      </c>
      <c r="K128" s="104">
        <f>+FEE_1_In!Y126</f>
        <v>565.28719612532109</v>
      </c>
      <c r="L128" s="104">
        <f>+FEE_2_In!H126</f>
        <v>42842.488409239988</v>
      </c>
      <c r="M128" s="104">
        <f>+FEE_2_In!S126</f>
        <v>35528.720394357777</v>
      </c>
      <c r="N128" s="104">
        <f>+FEE_2_In!V126</f>
        <v>7010.8378609988367</v>
      </c>
      <c r="O128" s="61">
        <f>+FEE_2_In!Y126</f>
        <v>302.93015388337432</v>
      </c>
      <c r="P128" s="61">
        <f>+FEE_3_In!H126</f>
        <v>42616.370565287805</v>
      </c>
      <c r="Q128" s="61">
        <f>+FEE_3_In!S126</f>
        <v>38329.404136211517</v>
      </c>
      <c r="R128" s="61">
        <f>+FEE_3_In!V126</f>
        <v>4102.7699593246425</v>
      </c>
      <c r="S128" s="61">
        <f>+FEE_3_In!Y126</f>
        <v>184.19646975164514</v>
      </c>
      <c r="T128" s="61">
        <f>+FEE_4_In!H126</f>
        <v>40004.052344212803</v>
      </c>
      <c r="U128" s="61">
        <f>+FEE_4_In!S126</f>
        <v>33290.767099543897</v>
      </c>
      <c r="V128" s="61">
        <f>+FEE_4_In!V126</f>
        <v>6536.6996341000859</v>
      </c>
      <c r="W128" s="61">
        <f>+FEE_4_In!Y126</f>
        <v>176.58561056881877</v>
      </c>
      <c r="X128" s="61">
        <f>FEE_1_In!$H126</f>
        <v>36020.080730463909</v>
      </c>
      <c r="Y128" s="61">
        <f>+FEE_1_Out!S126</f>
        <v>31222.290125654556</v>
      </c>
      <c r="Z128" s="61">
        <f>+FEE_1_Out!V126</f>
        <v>2445.6028917818253</v>
      </c>
      <c r="AA128" s="61">
        <f>+FEE_1_Out!Y126</f>
        <v>452.3585730183699</v>
      </c>
      <c r="AB128" s="61">
        <f>+FEE_2_Out!H126</f>
        <v>37357.742339076984</v>
      </c>
      <c r="AC128" s="61">
        <f>+FEE_2_Out!S126</f>
        <v>35277.206098152958</v>
      </c>
      <c r="AD128" s="61">
        <f>+FEE_2_Out!V126</f>
        <v>1789.2617233970789</v>
      </c>
      <c r="AE128" s="61">
        <f>+FEE_2_Out!Y126</f>
        <v>291.27451752694685</v>
      </c>
      <c r="AF128" s="61">
        <f>+FEE_3_Out!H126</f>
        <v>41193.540597336905</v>
      </c>
      <c r="AG128" s="61">
        <f>+FEE_3_Out!S126</f>
        <v>39241.639825166261</v>
      </c>
      <c r="AH128" s="61">
        <f>+FEE_3_Out!V126</f>
        <v>1781.8178864187537</v>
      </c>
      <c r="AI128" s="61">
        <f>+FEE_3_Out!Y126</f>
        <v>170.08288575189357</v>
      </c>
      <c r="AJ128" s="61">
        <f>+FEE_4_Out!H126</f>
        <v>43161.917211374908</v>
      </c>
      <c r="AK128" s="61">
        <f>+FEE_4_Out!S126</f>
        <v>40417.400795076399</v>
      </c>
      <c r="AL128" s="61">
        <f>+FEE_4_Out!V126</f>
        <v>2584.3062021880301</v>
      </c>
      <c r="AM128" s="61">
        <f>+FEE_4_Out!Y126</f>
        <v>160.21021411047971</v>
      </c>
    </row>
    <row r="129" spans="1:39" s="20" customFormat="1" x14ac:dyDescent="0.25">
      <c r="B129" s="105" t="e">
        <f>ITE_LUC_Rates!#REF!</f>
        <v>#REF!</v>
      </c>
      <c r="C129" s="106"/>
      <c r="D129" s="107"/>
      <c r="E129" s="130"/>
      <c r="F129" s="114"/>
      <c r="G129" s="110"/>
      <c r="H129" s="110"/>
      <c r="I129" s="110"/>
      <c r="J129" s="110"/>
      <c r="K129" s="110"/>
      <c r="L129" s="110"/>
      <c r="M129" s="110"/>
      <c r="N129" s="110"/>
      <c r="O129" s="113"/>
      <c r="P129" s="113"/>
      <c r="Q129" s="113"/>
      <c r="R129" s="113"/>
      <c r="S129" s="113"/>
      <c r="T129" s="113"/>
      <c r="U129" s="113"/>
      <c r="V129" s="113"/>
      <c r="W129" s="113"/>
      <c r="X129" s="113"/>
      <c r="Y129" s="113"/>
      <c r="Z129" s="113"/>
      <c r="AA129" s="113"/>
      <c r="AB129" s="113"/>
      <c r="AC129" s="113"/>
      <c r="AD129" s="113"/>
      <c r="AE129" s="113"/>
      <c r="AF129" s="113"/>
      <c r="AG129" s="113"/>
      <c r="AH129" s="113"/>
      <c r="AI129" s="113"/>
      <c r="AJ129" s="113"/>
      <c r="AK129" s="113"/>
      <c r="AL129" s="113"/>
      <c r="AM129" s="113"/>
    </row>
    <row r="130" spans="1:39" s="20" customFormat="1" x14ac:dyDescent="0.25">
      <c r="B130" s="55">
        <f>ITE_LUC_Rates!B109</f>
        <v>911</v>
      </c>
      <c r="C130" s="56" t="str">
        <f>ITE_LUC_Rates!C109</f>
        <v>Bank (Walk-in)</v>
      </c>
      <c r="D130" s="57" t="str">
        <f>ITE_LUC_Rates!D109</f>
        <v>1000 GSF</v>
      </c>
      <c r="E130" s="129">
        <f>ITE_LUC_Rates!H109</f>
        <v>12.13</v>
      </c>
      <c r="F130" s="58" t="s">
        <v>71</v>
      </c>
      <c r="G130" s="104">
        <f>ITE_LUC_Rates!Q109</f>
        <v>16014.3</v>
      </c>
      <c r="H130" s="104">
        <f>FEE_1_In!$H128</f>
        <v>1226.7035515714074</v>
      </c>
      <c r="I130" s="104">
        <f>+FEE_1_In!S128</f>
        <v>901.03319844871271</v>
      </c>
      <c r="J130" s="104">
        <f>+FEE_1_In!V128</f>
        <v>306.41887458399447</v>
      </c>
      <c r="K130" s="104">
        <f>+FEE_1_In!Y128</f>
        <v>19.251478538700187</v>
      </c>
      <c r="L130" s="104">
        <f>+FEE_2_In!H128</f>
        <v>1459.0481649121687</v>
      </c>
      <c r="M130" s="104">
        <f>+FEE_2_In!S128</f>
        <v>1209.9697337348207</v>
      </c>
      <c r="N130" s="104">
        <f>+FEE_2_In!V128</f>
        <v>238.7618108891395</v>
      </c>
      <c r="O130" s="61">
        <f>+FEE_2_In!Y128</f>
        <v>10.316620288208393</v>
      </c>
      <c r="P130" s="61">
        <f>+FEE_3_In!H128</f>
        <v>1451.3474725032474</v>
      </c>
      <c r="Q130" s="61">
        <f>+FEE_3_In!S128</f>
        <v>1305.350105552106</v>
      </c>
      <c r="R130" s="61">
        <f>+FEE_3_In!V128</f>
        <v>139.7243531474783</v>
      </c>
      <c r="S130" s="61">
        <f>+FEE_3_In!Y128</f>
        <v>6.2730138036630745</v>
      </c>
      <c r="T130" s="61">
        <f>+FEE_4_In!H128</f>
        <v>1362.3820961175925</v>
      </c>
      <c r="U130" s="61">
        <f>+FEE_4_In!S128</f>
        <v>1133.7537675480132</v>
      </c>
      <c r="V130" s="61">
        <f>+FEE_4_In!V128</f>
        <v>222.61451096427962</v>
      </c>
      <c r="W130" s="61">
        <f>+FEE_4_In!Y128</f>
        <v>6.0138176052995638</v>
      </c>
      <c r="X130" s="61">
        <f>FEE_1_In!$H128</f>
        <v>1226.7035515714074</v>
      </c>
      <c r="Y130" s="61">
        <f>+FEE_1_Out!S128</f>
        <v>1063.3095042716204</v>
      </c>
      <c r="Z130" s="61">
        <f>+FEE_1_Out!V128</f>
        <v>83.287702088485332</v>
      </c>
      <c r="AA130" s="61">
        <f>+FEE_1_Out!Y128</f>
        <v>15.405569805847055</v>
      </c>
      <c r="AB130" s="61">
        <f>+FEE_2_Out!H128</f>
        <v>1272.2590920590933</v>
      </c>
      <c r="AC130" s="61">
        <f>+FEE_2_Out!S128</f>
        <v>1201.4041371517878</v>
      </c>
      <c r="AD130" s="61">
        <f>+FEE_2_Out!V128</f>
        <v>60.935280162369168</v>
      </c>
      <c r="AE130" s="61">
        <f>+FEE_2_Out!Y128</f>
        <v>9.9196747449364207</v>
      </c>
      <c r="AF130" s="61">
        <f>+FEE_3_Out!H128</f>
        <v>1402.8914296634703</v>
      </c>
      <c r="AG130" s="61">
        <f>+FEE_3_Out!S128</f>
        <v>1336.4172974300118</v>
      </c>
      <c r="AH130" s="61">
        <f>+FEE_3_Out!V128</f>
        <v>60.681772089276279</v>
      </c>
      <c r="AI130" s="61">
        <f>+FEE_3_Out!Y128</f>
        <v>5.7923601441821244</v>
      </c>
      <c r="AJ130" s="61">
        <f>+FEE_4_Out!H128</f>
        <v>1469.9266648518344</v>
      </c>
      <c r="AK130" s="61">
        <f>+FEE_4_Out!S128</f>
        <v>1376.4591332154596</v>
      </c>
      <c r="AL130" s="61">
        <f>+FEE_4_Out!V128</f>
        <v>88.011396206863608</v>
      </c>
      <c r="AM130" s="61">
        <f>+FEE_4_Out!Y128</f>
        <v>5.4561354295112894</v>
      </c>
    </row>
    <row r="131" spans="1:39" s="20" customFormat="1" x14ac:dyDescent="0.25">
      <c r="B131" s="55">
        <f>ITE_LUC_Rates!B110</f>
        <v>912</v>
      </c>
      <c r="C131" s="56" t="str">
        <f>ITE_LUC_Rates!C110</f>
        <v>Bank (Drive-in)</v>
      </c>
      <c r="D131" s="57" t="str">
        <f>ITE_LUC_Rates!D110</f>
        <v>1000 GSF</v>
      </c>
      <c r="E131" s="129">
        <f>ITE_LUC_Rates!H110</f>
        <v>100.03</v>
      </c>
      <c r="F131" s="58" t="s">
        <v>71</v>
      </c>
      <c r="G131" s="104">
        <f>ITE_LUC_Rates!Q110</f>
        <v>25226.6</v>
      </c>
      <c r="H131" s="104">
        <f>FEE_1_In!$H129</f>
        <v>10116.006287196034</v>
      </c>
      <c r="I131" s="104">
        <f>+FEE_1_In!S129</f>
        <v>7430.3669283449908</v>
      </c>
      <c r="J131" s="104">
        <f>+FEE_1_In!V129</f>
        <v>2526.8821125009863</v>
      </c>
      <c r="K131" s="104">
        <f>+FEE_1_In!Y129</f>
        <v>158.75724635005602</v>
      </c>
      <c r="L131" s="104">
        <f>+FEE_2_In!H129</f>
        <v>12032.03527915616</v>
      </c>
      <c r="M131" s="104">
        <f>+FEE_2_In!S129</f>
        <v>9978.0109204859127</v>
      </c>
      <c r="N131" s="104">
        <f>+FEE_2_In!V129</f>
        <v>1968.9483877362425</v>
      </c>
      <c r="O131" s="61">
        <f>+FEE_2_In!Y129</f>
        <v>85.075970934005412</v>
      </c>
      <c r="P131" s="61">
        <f>+FEE_3_In!H129</f>
        <v>11968.531547774102</v>
      </c>
      <c r="Q131" s="61">
        <f>+FEE_3_In!S129</f>
        <v>10764.564802834062</v>
      </c>
      <c r="R131" s="61">
        <f>+FEE_3_In!V129</f>
        <v>1152.2363598798231</v>
      </c>
      <c r="S131" s="61">
        <f>+FEE_3_In!Y129</f>
        <v>51.730385060215767</v>
      </c>
      <c r="T131" s="61">
        <f>+FEE_4_In!H129</f>
        <v>11234.878901454475</v>
      </c>
      <c r="U131" s="61">
        <f>+FEE_4_In!S129</f>
        <v>9349.4962380731886</v>
      </c>
      <c r="V131" s="61">
        <f>+FEE_4_In!V129</f>
        <v>1835.7897388093063</v>
      </c>
      <c r="W131" s="61">
        <f>+FEE_4_In!Y129</f>
        <v>49.592924571979829</v>
      </c>
      <c r="X131" s="61">
        <f>FEE_1_In!$H129</f>
        <v>10116.006287196034</v>
      </c>
      <c r="Y131" s="61">
        <f>+FEE_1_Out!S129</f>
        <v>8768.5778822992725</v>
      </c>
      <c r="Z131" s="61">
        <f>+FEE_1_Out!V129</f>
        <v>686.83172629111198</v>
      </c>
      <c r="AA131" s="61">
        <f>+FEE_1_Out!Y129</f>
        <v>127.04197425217484</v>
      </c>
      <c r="AB131" s="61">
        <f>+FEE_2_Out!H129</f>
        <v>10491.67988282532</v>
      </c>
      <c r="AC131" s="61">
        <f>+FEE_2_Out!S129</f>
        <v>9907.3747600406714</v>
      </c>
      <c r="AD131" s="61">
        <f>+FEE_2_Out!V129</f>
        <v>502.50256180064201</v>
      </c>
      <c r="AE131" s="61">
        <f>+FEE_2_Out!Y129</f>
        <v>81.80256098400578</v>
      </c>
      <c r="AF131" s="61">
        <f>+FEE_3_Out!H129</f>
        <v>11568.938970258609</v>
      </c>
      <c r="AG131" s="61">
        <f>+FEE_3_Out!S129</f>
        <v>11020.760285401821</v>
      </c>
      <c r="AH131" s="61">
        <f>+FEE_3_Out!V129</f>
        <v>500.4120084163485</v>
      </c>
      <c r="AI131" s="61">
        <f>+FEE_3_Out!Y129</f>
        <v>47.766676440440058</v>
      </c>
      <c r="AJ131" s="61">
        <f>+FEE_4_Out!H129</f>
        <v>12121.744788551445</v>
      </c>
      <c r="AK131" s="61">
        <f>+FEE_4_Out!S129</f>
        <v>11350.965135658898</v>
      </c>
      <c r="AL131" s="61">
        <f>+FEE_4_Out!V129</f>
        <v>725.78565231430878</v>
      </c>
      <c r="AM131" s="61">
        <f>+FEE_4_Out!Y129</f>
        <v>44.994000578236964</v>
      </c>
    </row>
    <row r="132" spans="1:39" s="20" customFormat="1" x14ac:dyDescent="0.25">
      <c r="B132" s="55">
        <f>ITE_LUC_Rates!B111</f>
        <v>931</v>
      </c>
      <c r="C132" s="56" t="str">
        <f>ITE_LUC_Rates!C111</f>
        <v>Quality Restaurant</v>
      </c>
      <c r="D132" s="57" t="str">
        <f>ITE_LUC_Rates!D111</f>
        <v>1000 GSF</v>
      </c>
      <c r="E132" s="129">
        <f>ITE_LUC_Rates!H111</f>
        <v>83.84</v>
      </c>
      <c r="F132" s="58" t="s">
        <v>71</v>
      </c>
      <c r="G132" s="104">
        <f>ITE_LUC_Rates!Q111</f>
        <v>68047</v>
      </c>
      <c r="H132" s="104">
        <f>FEE_1_In!$H130</f>
        <v>29755.87317412646</v>
      </c>
      <c r="I132" s="104">
        <f>+FEE_1_In!S130</f>
        <v>21856.160393741815</v>
      </c>
      <c r="J132" s="104">
        <f>+FEE_1_In!V130</f>
        <v>7432.7339792894927</v>
      </c>
      <c r="K132" s="104">
        <f>+FEE_1_In!Y130</f>
        <v>466.97880109515143</v>
      </c>
      <c r="L132" s="104">
        <f>+FEE_2_In!H130</f>
        <v>35391.80439679457</v>
      </c>
      <c r="M132" s="104">
        <f>+FEE_2_In!S130</f>
        <v>29349.964704532031</v>
      </c>
      <c r="N132" s="104">
        <f>+FEE_2_In!V130</f>
        <v>5791.5917456512216</v>
      </c>
      <c r="O132" s="61">
        <f>+FEE_2_In!Y130</f>
        <v>250.24794661131244</v>
      </c>
      <c r="P132" s="61">
        <f>+FEE_3_In!H130</f>
        <v>35205.010426581233</v>
      </c>
      <c r="Q132" s="61">
        <f>+FEE_3_In!S130</f>
        <v>31663.585011133837</v>
      </c>
      <c r="R132" s="61">
        <f>+FEE_3_In!V130</f>
        <v>3389.2623252515327</v>
      </c>
      <c r="S132" s="61">
        <f>+FEE_3_In!Y130</f>
        <v>152.16309019586095</v>
      </c>
      <c r="T132" s="61">
        <f>+FEE_4_In!H130</f>
        <v>33046.997226710038</v>
      </c>
      <c r="U132" s="61">
        <f>+FEE_4_In!S130</f>
        <v>27501.211091001682</v>
      </c>
      <c r="V132" s="61">
        <f>+FEE_4_In!V130</f>
        <v>5399.9103096162307</v>
      </c>
      <c r="W132" s="61">
        <f>+FEE_4_In!Y130</f>
        <v>145.87582609212498</v>
      </c>
      <c r="X132" s="61">
        <f>FEE_1_In!$H130</f>
        <v>29755.87317412646</v>
      </c>
      <c r="Y132" s="61">
        <f>+FEE_1_Out!S130</f>
        <v>25792.460381662018</v>
      </c>
      <c r="Z132" s="61">
        <f>+FEE_1_Out!V130</f>
        <v>2020.2911266823157</v>
      </c>
      <c r="AA132" s="61">
        <f>+FEE_1_Out!Y130</f>
        <v>373.68945474293167</v>
      </c>
      <c r="AB132" s="61">
        <f>+FEE_2_Out!H130</f>
        <v>30860.903711776664</v>
      </c>
      <c r="AC132" s="61">
        <f>+FEE_2_Out!S130</f>
        <v>29142.190947572599</v>
      </c>
      <c r="AD132" s="61">
        <f>+FEE_2_Out!V130</f>
        <v>1478.0934366894382</v>
      </c>
      <c r="AE132" s="61">
        <f>+FEE_2_Out!Y130</f>
        <v>240.61932751462436</v>
      </c>
      <c r="AF132" s="61">
        <f>+FEE_3_Out!H130</f>
        <v>34029.623053312898</v>
      </c>
      <c r="AG132" s="61">
        <f>+FEE_3_Out!S130</f>
        <v>32417.174923065711</v>
      </c>
      <c r="AH132" s="61">
        <f>+FEE_3_Out!V130</f>
        <v>1471.9441481658125</v>
      </c>
      <c r="AI132" s="61">
        <f>+FEE_3_Out!Y130</f>
        <v>140.50398208137506</v>
      </c>
      <c r="AJ132" s="61">
        <f>+FEE_4_Out!H130</f>
        <v>35655.681732206824</v>
      </c>
      <c r="AK132" s="61">
        <f>+FEE_4_Out!S130</f>
        <v>33388.460761249422</v>
      </c>
      <c r="AL132" s="61">
        <f>+FEE_4_Out!V130</f>
        <v>2134.8727164394959</v>
      </c>
      <c r="AM132" s="61">
        <f>+FEE_4_Out!Y130</f>
        <v>132.34825451790934</v>
      </c>
    </row>
    <row r="133" spans="1:39" s="20" customFormat="1" x14ac:dyDescent="0.25">
      <c r="B133" s="55">
        <f>ITE_LUC_Rates!B112</f>
        <v>931</v>
      </c>
      <c r="C133" s="56" t="str">
        <f>ITE_LUC_Rates!C112</f>
        <v>Quality Restaurant / Seats</v>
      </c>
      <c r="D133" s="57" t="str">
        <f>ITE_LUC_Rates!D112</f>
        <v>Seat</v>
      </c>
      <c r="E133" s="129">
        <f>ITE_LUC_Rates!H112</f>
        <v>2.6</v>
      </c>
      <c r="F133" s="58" t="s">
        <v>71</v>
      </c>
      <c r="G133" s="104">
        <f>ITE_LUC_Rates!Q112</f>
        <v>2163.0520000000001</v>
      </c>
      <c r="H133" s="104">
        <f>FEE_1_In!$H131</f>
        <v>922.77278450296762</v>
      </c>
      <c r="I133" s="104">
        <f>+FEE_1_In!S131</f>
        <v>677.7912335845507</v>
      </c>
      <c r="J133" s="104">
        <f>+FEE_1_In!V131</f>
        <v>230.49986099895852</v>
      </c>
      <c r="K133" s="104">
        <f>+FEE_1_In!Y131</f>
        <v>14.481689919458418</v>
      </c>
      <c r="L133" s="104">
        <f>+FEE_2_In!H131</f>
        <v>1097.5511859692972</v>
      </c>
      <c r="M133" s="104">
        <f>+FEE_2_In!S131</f>
        <v>910.18497413863645</v>
      </c>
      <c r="N133" s="104">
        <f>+FEE_2_In!V131</f>
        <v>179.60566005120677</v>
      </c>
      <c r="O133" s="61">
        <f>+FEE_2_In!Y131</f>
        <v>7.7605517794538699</v>
      </c>
      <c r="P133" s="61">
        <f>+FEE_3_In!H131</f>
        <v>1091.7584340304295</v>
      </c>
      <c r="Q133" s="61">
        <f>+FEE_3_In!S131</f>
        <v>981.93369547886425</v>
      </c>
      <c r="R133" s="61">
        <f>+FEE_3_In!V131</f>
        <v>105.10594043003321</v>
      </c>
      <c r="S133" s="61">
        <f>+FEE_3_In!Y131</f>
        <v>4.7187981215319477</v>
      </c>
      <c r="T133" s="61">
        <f>+FEE_4_In!H131</f>
        <v>1024.8353147596149</v>
      </c>
      <c r="U133" s="61">
        <f>+FEE_4_In!S131</f>
        <v>852.85244318468961</v>
      </c>
      <c r="V133" s="61">
        <f>+FEE_4_In!V131</f>
        <v>167.45905063218274</v>
      </c>
      <c r="W133" s="61">
        <f>+FEE_4_In!Y131</f>
        <v>4.5238209427424261</v>
      </c>
      <c r="X133" s="61">
        <f>FEE_1_In!$H131</f>
        <v>922.77278450296762</v>
      </c>
      <c r="Y133" s="61">
        <f>+FEE_1_Out!S131</f>
        <v>799.86160534734313</v>
      </c>
      <c r="Z133" s="61">
        <f>+FEE_1_Out!V131</f>
        <v>62.652158031655794</v>
      </c>
      <c r="AA133" s="61">
        <f>+FEE_1_Out!Y131</f>
        <v>11.58865198391725</v>
      </c>
      <c r="AB133" s="61">
        <f>+FEE_2_Out!H131</f>
        <v>957.04138419154731</v>
      </c>
      <c r="AC133" s="61">
        <f>+FEE_2_Out!S131</f>
        <v>903.74160858407402</v>
      </c>
      <c r="AD133" s="61">
        <f>+FEE_2_Out!V131</f>
        <v>45.837821271380484</v>
      </c>
      <c r="AE133" s="61">
        <f>+FEE_2_Out!Y131</f>
        <v>7.4619543360928358</v>
      </c>
      <c r="AF133" s="61">
        <f>+FEE_3_Out!H131</f>
        <v>1055.3079668250659</v>
      </c>
      <c r="AG133" s="61">
        <f>+FEE_3_Out!S131</f>
        <v>1005.3036116408737</v>
      </c>
      <c r="AH133" s="61">
        <f>+FEE_3_Out!V131</f>
        <v>45.647122915447433</v>
      </c>
      <c r="AI133" s="61">
        <f>+FEE_3_Out!Y131</f>
        <v>4.3572322687449336</v>
      </c>
      <c r="AJ133" s="61">
        <f>+FEE_4_Out!H131</f>
        <v>1105.7344048632847</v>
      </c>
      <c r="AK133" s="61">
        <f>+FEE_4_Out!S131</f>
        <v>1035.424594218136</v>
      </c>
      <c r="AL133" s="61">
        <f>+FEE_4_Out!V131</f>
        <v>66.205499317064522</v>
      </c>
      <c r="AM133" s="61">
        <f>+FEE_4_Out!Y131</f>
        <v>4.1043113280840196</v>
      </c>
    </row>
    <row r="134" spans="1:39" s="20" customFormat="1" x14ac:dyDescent="0.25">
      <c r="B134" s="55">
        <f>ITE_LUC_Rates!B113</f>
        <v>932</v>
      </c>
      <c r="C134" s="56" t="str">
        <f>ITE_LUC_Rates!C113</f>
        <v>High Turnover Rest</v>
      </c>
      <c r="D134" s="57" t="str">
        <f>ITE_LUC_Rates!D113</f>
        <v>1000 GSF</v>
      </c>
      <c r="E134" s="129">
        <f>ITE_LUC_Rates!H113</f>
        <v>112.18</v>
      </c>
      <c r="F134" s="58" t="s">
        <v>71</v>
      </c>
      <c r="G134" s="104">
        <f>ITE_LUC_Rates!Q113</f>
        <v>51864.5</v>
      </c>
      <c r="H134" s="104">
        <f>FEE_1_In!$H132</f>
        <v>11344.732433246534</v>
      </c>
      <c r="I134" s="104">
        <f>+FEE_1_In!S132</f>
        <v>8332.8857544910625</v>
      </c>
      <c r="J134" s="104">
        <f>+FEE_1_In!V132</f>
        <v>2833.8062119400242</v>
      </c>
      <c r="K134" s="104">
        <f>+FEE_1_In!Y132</f>
        <v>178.04046681544818</v>
      </c>
      <c r="L134" s="104">
        <f>+FEE_2_In!H132</f>
        <v>13493.489129418553</v>
      </c>
      <c r="M134" s="104">
        <f>+FEE_2_In!S132</f>
        <v>11189.975657903724</v>
      </c>
      <c r="N134" s="104">
        <f>+FEE_2_In!V132</f>
        <v>2208.1038702014557</v>
      </c>
      <c r="O134" s="61">
        <f>+FEE_2_In!Y132</f>
        <v>95.40960131337323</v>
      </c>
      <c r="P134" s="61">
        <f>+FEE_3_In!H132</f>
        <v>13422.272008690377</v>
      </c>
      <c r="Q134" s="61">
        <f>+FEE_3_In!S132</f>
        <v>12072.067175666549</v>
      </c>
      <c r="R134" s="61">
        <f>+FEE_3_In!V132</f>
        <v>1292.1910911858295</v>
      </c>
      <c r="S134" s="61">
        <f>+FEE_3_In!Y132</f>
        <v>58.013741837998644</v>
      </c>
      <c r="T134" s="61">
        <f>+FEE_4_In!H132</f>
        <v>12599.507299461791</v>
      </c>
      <c r="U134" s="61">
        <f>+FEE_4_In!S132</f>
        <v>10485.119344067283</v>
      </c>
      <c r="V134" s="61">
        <f>+FEE_4_In!V132</f>
        <v>2058.7712976069979</v>
      </c>
      <c r="W134" s="61">
        <f>+FEE_4_In!Y132</f>
        <v>55.616657787510704</v>
      </c>
      <c r="X134" s="61">
        <f>FEE_1_In!$H132</f>
        <v>11344.732433246534</v>
      </c>
      <c r="Y134" s="61">
        <f>+FEE_1_Out!S132</f>
        <v>9833.640576190468</v>
      </c>
      <c r="Z134" s="61">
        <f>+FEE_1_Out!V132</f>
        <v>770.25675352731105</v>
      </c>
      <c r="AA134" s="61">
        <f>+FEE_1_Out!Y132</f>
        <v>142.47294483263994</v>
      </c>
      <c r="AB134" s="61">
        <f>+FEE_2_Out!H132</f>
        <v>11766.036681548976</v>
      </c>
      <c r="AC134" s="61">
        <f>+FEE_2_Out!S132</f>
        <v>11110.759777880259</v>
      </c>
      <c r="AD134" s="61">
        <f>+FEE_2_Out!V132</f>
        <v>563.5383123342599</v>
      </c>
      <c r="AE134" s="61">
        <f>+FEE_2_Out!Y132</f>
        <v>91.73859133445734</v>
      </c>
      <c r="AF134" s="61">
        <f>+FEE_3_Out!H132</f>
        <v>12974.143493787969</v>
      </c>
      <c r="AG134" s="61">
        <f>+FEE_3_Out!S132</f>
        <v>12359.381073841609</v>
      </c>
      <c r="AH134" s="61">
        <f>+FEE_3_Out!V132</f>
        <v>561.19383289159214</v>
      </c>
      <c r="AI134" s="61">
        <f>+FEE_3_Out!Y132</f>
        <v>53.568587054769225</v>
      </c>
      <c r="AJ134" s="61">
        <f>+FEE_4_Out!H132</f>
        <v>13594.095075274425</v>
      </c>
      <c r="AK134" s="61">
        <f>+FEE_4_Out!S132</f>
        <v>12729.693781047834</v>
      </c>
      <c r="AL134" s="61">
        <f>+FEE_4_Out!V132</f>
        <v>813.94216211755611</v>
      </c>
      <c r="AM134" s="61">
        <f>+FEE_4_Out!Y132</f>
        <v>50.459132109033504</v>
      </c>
    </row>
    <row r="135" spans="1:39" s="20" customFormat="1" x14ac:dyDescent="0.25">
      <c r="B135" s="55">
        <f>ITE_LUC_Rates!B114</f>
        <v>932</v>
      </c>
      <c r="C135" s="56" t="str">
        <f>ITE_LUC_Rates!C114</f>
        <v>High Turnover Rest</v>
      </c>
      <c r="D135" s="57" t="str">
        <f>ITE_LUC_Rates!D114</f>
        <v>Seat</v>
      </c>
      <c r="E135" s="129">
        <f>ITE_LUC_Rates!H114</f>
        <v>4.37</v>
      </c>
      <c r="F135" s="58" t="s">
        <v>71</v>
      </c>
      <c r="G135" s="104">
        <f>ITE_LUC_Rates!Q114</f>
        <v>1581.08</v>
      </c>
      <c r="H135" s="104">
        <f>FEE_1_In!$H133</f>
        <v>441.93689368236187</v>
      </c>
      <c r="I135" s="104">
        <f>+FEE_1_In!S133</f>
        <v>324.60965187311416</v>
      </c>
      <c r="J135" s="104">
        <f>+FEE_1_In!V133</f>
        <v>110.39163082704496</v>
      </c>
      <c r="K135" s="104">
        <f>+FEE_1_In!Y133</f>
        <v>6.9356109822027863</v>
      </c>
      <c r="L135" s="104">
        <f>+FEE_2_In!H133</f>
        <v>525.64224902441674</v>
      </c>
      <c r="M135" s="104">
        <f>+FEE_2_In!S133</f>
        <v>435.90830473381419</v>
      </c>
      <c r="N135" s="104">
        <f>+FEE_2_In!V133</f>
        <v>86.017239372262097</v>
      </c>
      <c r="O135" s="61">
        <f>+FEE_2_In!Y133</f>
        <v>3.7167049183405338</v>
      </c>
      <c r="P135" s="61">
        <f>+FEE_3_In!H133</f>
        <v>522.867968247254</v>
      </c>
      <c r="Q135" s="61">
        <f>+FEE_3_In!S133</f>
        <v>470.27040076361936</v>
      </c>
      <c r="R135" s="61">
        <f>+FEE_3_In!V133</f>
        <v>50.337627638456723</v>
      </c>
      <c r="S135" s="61">
        <f>+FEE_3_In!Y133</f>
        <v>2.2599398451778754</v>
      </c>
      <c r="T135" s="61">
        <f>+FEE_4_In!H133</f>
        <v>490.81696290468909</v>
      </c>
      <c r="U135" s="61">
        <f>+FEE_4_In!S133</f>
        <v>408.45045046865772</v>
      </c>
      <c r="V135" s="61">
        <f>+FEE_4_In!V133</f>
        <v>80.199951600486528</v>
      </c>
      <c r="W135" s="61">
        <f>+FEE_4_In!Y133</f>
        <v>2.1665608355448547</v>
      </c>
      <c r="X135" s="61">
        <f>FEE_1_In!$H133</f>
        <v>441.93689368236187</v>
      </c>
      <c r="Y135" s="61">
        <f>+FEE_1_Out!S133</f>
        <v>383.07193187691513</v>
      </c>
      <c r="Z135" s="61">
        <f>+FEE_1_Out!V133</f>
        <v>30.005544775488943</v>
      </c>
      <c r="AA135" s="61">
        <f>+FEE_1_Out!Y133</f>
        <v>5.5500692540438266</v>
      </c>
      <c r="AB135" s="61">
        <f>+FEE_2_Out!H133</f>
        <v>458.34890620760416</v>
      </c>
      <c r="AC135" s="61">
        <f>+FEE_2_Out!S133</f>
        <v>432.8224302846919</v>
      </c>
      <c r="AD135" s="61">
        <f>+FEE_2_Out!V133</f>
        <v>21.9527761178527</v>
      </c>
      <c r="AE135" s="61">
        <f>+FEE_2_Out!Y133</f>
        <v>3.5736998050595341</v>
      </c>
      <c r="AF135" s="61">
        <f>+FEE_3_Out!H133</f>
        <v>505.41100969739199</v>
      </c>
      <c r="AG135" s="61">
        <f>+FEE_3_Out!S133</f>
        <v>481.46278563636861</v>
      </c>
      <c r="AH135" s="61">
        <f>+FEE_3_Out!V133</f>
        <v>21.861446333894257</v>
      </c>
      <c r="AI135" s="61">
        <f>+FEE_3_Out!Y133</f>
        <v>2.0867777271290917</v>
      </c>
      <c r="AJ135" s="61">
        <f>+FEE_4_Out!H133</f>
        <v>529.56137884604414</v>
      </c>
      <c r="AK135" s="61">
        <f>+FEE_4_Out!S133</f>
        <v>495.88840990532213</v>
      </c>
      <c r="AL135" s="61">
        <f>+FEE_4_Out!V133</f>
        <v>31.707320809892323</v>
      </c>
      <c r="AM135" s="61">
        <f>+FEE_4_Out!Y133</f>
        <v>1.9656481308297062</v>
      </c>
    </row>
    <row r="136" spans="1:39" s="20" customFormat="1" x14ac:dyDescent="0.25">
      <c r="B136" s="55">
        <f>ITE_LUC_Rates!B115</f>
        <v>933</v>
      </c>
      <c r="C136" s="56" t="str">
        <f>ITE_LUC_Rates!C115</f>
        <v>Fast Food Rest. w/o Drive-Thru</v>
      </c>
      <c r="D136" s="57" t="str">
        <f>ITE_LUC_Rates!D115</f>
        <v>1000 GSF</v>
      </c>
      <c r="E136" s="129">
        <f>ITE_LUC_Rates!H115</f>
        <v>346.23</v>
      </c>
      <c r="F136" s="58" t="s">
        <v>71</v>
      </c>
      <c r="G136" s="104">
        <f>ITE_LUC_Rates!Q115</f>
        <v>73276.3</v>
      </c>
      <c r="H136" s="104">
        <f>FEE_1_In!$H134</f>
        <v>33158.471062477794</v>
      </c>
      <c r="I136" s="104">
        <f>+FEE_1_In!S134</f>
        <v>24355.422464393425</v>
      </c>
      <c r="J136" s="104">
        <f>+FEE_1_In!V134</f>
        <v>8282.6705546543344</v>
      </c>
      <c r="K136" s="104">
        <f>+FEE_1_In!Y134</f>
        <v>520.3780434300337</v>
      </c>
      <c r="L136" s="104">
        <f>+FEE_2_In!H134</f>
        <v>39438.873632530805</v>
      </c>
      <c r="M136" s="104">
        <f>+FEE_2_In!S134</f>
        <v>32706.146771259722</v>
      </c>
      <c r="N136" s="104">
        <f>+FEE_2_In!V134</f>
        <v>6453.8629459828971</v>
      </c>
      <c r="O136" s="61">
        <f>+FEE_2_In!Y134</f>
        <v>278.86391528818882</v>
      </c>
      <c r="P136" s="61">
        <f>+FEE_3_In!H134</f>
        <v>39230.719685250588</v>
      </c>
      <c r="Q136" s="61">
        <f>+FEE_3_In!S134</f>
        <v>35284.330632210032</v>
      </c>
      <c r="R136" s="61">
        <f>+FEE_3_In!V134</f>
        <v>3776.826042958101</v>
      </c>
      <c r="S136" s="61">
        <f>+FEE_3_In!Y134</f>
        <v>169.56301008245489</v>
      </c>
      <c r="T136" s="61">
        <f>+FEE_4_In!H134</f>
        <v>36825.936675804427</v>
      </c>
      <c r="U136" s="61">
        <f>+FEE_4_In!S134</f>
        <v>30645.987325184349</v>
      </c>
      <c r="V136" s="61">
        <f>+FEE_4_In!V134</f>
        <v>6017.3925562055601</v>
      </c>
      <c r="W136" s="61">
        <f>+FEE_4_In!Y134</f>
        <v>162.55679441451207</v>
      </c>
      <c r="X136" s="61">
        <f>FEE_1_In!$H134</f>
        <v>33158.471062477794</v>
      </c>
      <c r="Y136" s="61">
        <f>+FEE_1_Out!S134</f>
        <v>28741.840180280713</v>
      </c>
      <c r="Z136" s="61">
        <f>+FEE_1_Out!V134</f>
        <v>2251.312353358383</v>
      </c>
      <c r="AA136" s="61">
        <f>+FEE_1_Out!Y134</f>
        <v>416.42101708582658</v>
      </c>
      <c r="AB136" s="61">
        <f>+FEE_2_Out!H134</f>
        <v>34389.862354254401</v>
      </c>
      <c r="AC136" s="61">
        <f>+FEE_2_Out!S134</f>
        <v>32474.613988895529</v>
      </c>
      <c r="AD136" s="61">
        <f>+FEE_2_Out!V134</f>
        <v>1647.1141062236334</v>
      </c>
      <c r="AE136" s="61">
        <f>+FEE_2_Out!Y134</f>
        <v>268.13425913523923</v>
      </c>
      <c r="AF136" s="61">
        <f>+FEE_3_Out!H134</f>
        <v>37920.926221094778</v>
      </c>
      <c r="AG136" s="61">
        <f>+FEE_3_Out!S134</f>
        <v>36124.093899835992</v>
      </c>
      <c r="AH136" s="61">
        <f>+FEE_3_Out!V134</f>
        <v>1640.2616437073334</v>
      </c>
      <c r="AI136" s="61">
        <f>+FEE_3_Out!Y134</f>
        <v>156.57067755145599</v>
      </c>
      <c r="AJ136" s="61">
        <f>+FEE_4_Out!H134</f>
        <v>39732.925463546133</v>
      </c>
      <c r="AK136" s="61">
        <f>+FEE_4_Out!S134</f>
        <v>37206.446723775764</v>
      </c>
      <c r="AL136" s="61">
        <f>+FEE_4_Out!V134</f>
        <v>2378.9964010091771</v>
      </c>
      <c r="AM136" s="61">
        <f>+FEE_4_Out!Y134</f>
        <v>147.48233876119062</v>
      </c>
    </row>
    <row r="137" spans="1:39" s="20" customFormat="1" x14ac:dyDescent="0.25">
      <c r="B137" s="55">
        <f>ITE_LUC_Rates!B116</f>
        <v>934</v>
      </c>
      <c r="C137" s="56" t="str">
        <f>ITE_LUC_Rates!C116</f>
        <v>Fast Food Rest. w/ Drive-Thru</v>
      </c>
      <c r="D137" s="57" t="str">
        <f>ITE_LUC_Rates!D116</f>
        <v>1000 GSF</v>
      </c>
      <c r="E137" s="129">
        <f>ITE_LUC_Rates!H116</f>
        <v>470.95</v>
      </c>
      <c r="F137" s="58" t="s">
        <v>71</v>
      </c>
      <c r="G137" s="104">
        <f>ITE_LUC_Rates!Q116</f>
        <v>50772.9</v>
      </c>
      <c r="H137" s="104">
        <f>FEE_1_In!$H135</f>
        <v>45102.914094312786</v>
      </c>
      <c r="I137" s="104">
        <f>+FEE_1_In!S135</f>
        <v>33128.805157282972</v>
      </c>
      <c r="J137" s="104">
        <f>+FEE_1_In!V135</f>
        <v>11266.278767624004</v>
      </c>
      <c r="K137" s="104">
        <f>+FEE_1_In!Y135</f>
        <v>707.83016940581206</v>
      </c>
      <c r="L137" s="104">
        <f>+FEE_2_In!H135</f>
        <v>53645.66195084303</v>
      </c>
      <c r="M137" s="104">
        <f>+FEE_2_In!S135</f>
        <v>44487.652202075973</v>
      </c>
      <c r="N137" s="104">
        <f>+FEE_2_In!V135</f>
        <v>8778.6926448044505</v>
      </c>
      <c r="O137" s="61">
        <f>+FEE_2_In!Y135</f>
        <v>379.31710396260445</v>
      </c>
      <c r="P137" s="61">
        <f>+FEE_3_In!H135</f>
        <v>53362.526169796845</v>
      </c>
      <c r="Q137" s="61">
        <f>+FEE_3_In!S135</f>
        <v>47994.557118791883</v>
      </c>
      <c r="R137" s="61">
        <f>+FEE_3_In!V135</f>
        <v>5137.325549291274</v>
      </c>
      <c r="S137" s="61">
        <f>+FEE_3_In!Y135</f>
        <v>230.64350171369361</v>
      </c>
      <c r="T137" s="61">
        <f>+FEE_4_In!H135</f>
        <v>50091.485074863784</v>
      </c>
      <c r="U137" s="61">
        <f>+FEE_4_In!S135</f>
        <v>41685.375995134928</v>
      </c>
      <c r="V137" s="61">
        <f>+FEE_4_In!V135</f>
        <v>8184.9955935216731</v>
      </c>
      <c r="W137" s="61">
        <f>+FEE_4_In!Y135</f>
        <v>221.11348620718732</v>
      </c>
      <c r="X137" s="61">
        <f>FEE_1_In!$H135</f>
        <v>45102.914094312786</v>
      </c>
      <c r="Y137" s="61">
        <f>+FEE_1_Out!S135</f>
        <v>39095.311304344519</v>
      </c>
      <c r="Z137" s="61">
        <f>+FEE_1_Out!V135</f>
        <v>3062.2867828152689</v>
      </c>
      <c r="AA137" s="61">
        <f>+FEE_1_Out!Y135</f>
        <v>566.42543395017776</v>
      </c>
      <c r="AB137" s="61">
        <f>+FEE_2_Out!H135</f>
        <v>46777.880818346508</v>
      </c>
      <c r="AC137" s="61">
        <f>+FEE_2_Out!S135</f>
        <v>44172.715992462676</v>
      </c>
      <c r="AD137" s="61">
        <f>+FEE_2_Out!V135</f>
        <v>2240.4424467146696</v>
      </c>
      <c r="AE137" s="61">
        <f>+FEE_2_Out!Y135</f>
        <v>364.7223791691676</v>
      </c>
      <c r="AF137" s="61">
        <f>+FEE_3_Out!H135</f>
        <v>51580.915009746663</v>
      </c>
      <c r="AG137" s="61">
        <f>+FEE_3_Out!S135</f>
        <v>49136.822407439446</v>
      </c>
      <c r="AH137" s="61">
        <f>+FEE_3_Out!V135</f>
        <v>2231.121569777225</v>
      </c>
      <c r="AI137" s="61">
        <f>+FEE_3_Out!Y135</f>
        <v>212.97103252998932</v>
      </c>
      <c r="AJ137" s="61">
        <f>+FEE_4_Out!H135</f>
        <v>54045.638006692221</v>
      </c>
      <c r="AK137" s="61">
        <f>+FEE_4_Out!S135</f>
        <v>50609.063583635718</v>
      </c>
      <c r="AL137" s="61">
        <f>+FEE_4_Out!V135</f>
        <v>3235.9655577369736</v>
      </c>
      <c r="AM137" s="61">
        <f>+FEE_4_Out!Y135</f>
        <v>200.60886531953528</v>
      </c>
    </row>
    <row r="138" spans="1:39" s="20" customFormat="1" x14ac:dyDescent="0.25">
      <c r="B138" s="55">
        <f>ITE_LUC_Rates!B117</f>
        <v>937</v>
      </c>
      <c r="C138" s="56" t="str">
        <f>ITE_LUC_Rates!C117</f>
        <v>Coffee/Donut Shop</v>
      </c>
      <c r="D138" s="57" t="str">
        <f>ITE_LUC_Rates!D117</f>
        <v>1000 GSF</v>
      </c>
      <c r="E138" s="129">
        <f>ITE_LUC_Rates!H117</f>
        <v>820.38</v>
      </c>
      <c r="F138" s="58" t="s">
        <v>71</v>
      </c>
      <c r="G138" s="104">
        <f>ITE_LUC_Rates!Q117</f>
        <v>58641.2</v>
      </c>
      <c r="H138" s="104">
        <f>FEE_1_In!$H136</f>
        <v>78567.849378261657</v>
      </c>
      <c r="I138" s="104">
        <f>+FEE_1_In!S136</f>
        <v>57709.330448947454</v>
      </c>
      <c r="J138" s="104">
        <f>+FEE_1_In!V136</f>
        <v>19625.501168666273</v>
      </c>
      <c r="K138" s="104">
        <f>+FEE_1_In!Y136</f>
        <v>1233.0177606479247</v>
      </c>
      <c r="L138" s="104">
        <f>+FEE_2_In!H136</f>
        <v>93449.045867358756</v>
      </c>
      <c r="M138" s="104">
        <f>+FEE_2_In!S136</f>
        <v>77496.082627750482</v>
      </c>
      <c r="N138" s="104">
        <f>+FEE_2_In!V136</f>
        <v>15292.204845407532</v>
      </c>
      <c r="O138" s="61">
        <f>+FEE_2_In!Y136</f>
        <v>660.75839420074624</v>
      </c>
      <c r="P138" s="61">
        <f>+FEE_3_In!H136</f>
        <v>92955.832294676598</v>
      </c>
      <c r="Q138" s="61">
        <f>+FEE_3_In!S136</f>
        <v>83605.000040587081</v>
      </c>
      <c r="R138" s="61">
        <f>+FEE_3_In!V136</f>
        <v>8949.0585712444536</v>
      </c>
      <c r="S138" s="61">
        <f>+FEE_3_In!Y136</f>
        <v>401.77368284505775</v>
      </c>
      <c r="T138" s="61">
        <f>+FEE_4_In!H136</f>
        <v>87257.782197084118</v>
      </c>
      <c r="U138" s="61">
        <f>+FEE_4_In!S136</f>
        <v>72614.606134173053</v>
      </c>
      <c r="V138" s="61">
        <f>+FEE_4_In!V136</f>
        <v>14258.003365566005</v>
      </c>
      <c r="W138" s="61">
        <f>+FEE_4_In!Y136</f>
        <v>385.17269734505214</v>
      </c>
      <c r="X138" s="61">
        <f>FEE_1_In!$H136</f>
        <v>78567.849378261657</v>
      </c>
      <c r="Y138" s="61">
        <f>+FEE_1_Out!S136</f>
        <v>68102.795387744263</v>
      </c>
      <c r="Z138" s="61">
        <f>+FEE_1_Out!V136</f>
        <v>5334.4066904894153</v>
      </c>
      <c r="AA138" s="61">
        <f>+FEE_1_Out!Y136</f>
        <v>986.69518527242121</v>
      </c>
      <c r="AB138" s="61">
        <f>+FEE_2_Out!H136</f>
        <v>81485.588418632775</v>
      </c>
      <c r="AC138" s="61">
        <f>+FEE_2_Out!S136</f>
        <v>76947.473714612002</v>
      </c>
      <c r="AD138" s="61">
        <f>+FEE_2_Out!V136</f>
        <v>3902.7798586596896</v>
      </c>
      <c r="AE138" s="61">
        <f>+FEE_2_Out!Y136</f>
        <v>635.33484536108256</v>
      </c>
      <c r="AF138" s="61">
        <f>+FEE_3_Out!H136</f>
        <v>89852.322020800464</v>
      </c>
      <c r="AG138" s="61">
        <f>+FEE_3_Out!S136</f>
        <v>85594.790034218458</v>
      </c>
      <c r="AH138" s="61">
        <f>+FEE_3_Out!V136</f>
        <v>3886.5431859302266</v>
      </c>
      <c r="AI138" s="61">
        <f>+FEE_3_Out!Y136</f>
        <v>370.98880065177332</v>
      </c>
      <c r="AJ138" s="61">
        <f>+FEE_4_Out!H136</f>
        <v>94145.791502134365</v>
      </c>
      <c r="AK138" s="61">
        <f>+FEE_4_Out!S136</f>
        <v>88159.387584123746</v>
      </c>
      <c r="AL138" s="61">
        <f>+FEE_4_Out!V136</f>
        <v>5636.949621523002</v>
      </c>
      <c r="AM138" s="61">
        <f>+FEE_4_Out!Y136</f>
        <v>349.45429648761092</v>
      </c>
    </row>
    <row r="139" spans="1:39" s="20" customFormat="1" x14ac:dyDescent="0.25">
      <c r="A139" s="102"/>
      <c r="B139" s="55">
        <f>ITE_LUC_Rates!B118</f>
        <v>944</v>
      </c>
      <c r="C139" s="56" t="str">
        <f>ITE_LUC_Rates!C118</f>
        <v>Service Stations w/ Gasoline</v>
      </c>
      <c r="D139" s="57" t="str">
        <f>ITE_LUC_Rates!D118</f>
        <v>Pump</v>
      </c>
      <c r="E139" s="129">
        <f>ITE_LUC_Rates!H118</f>
        <v>172.01</v>
      </c>
      <c r="F139" s="58" t="s">
        <v>71</v>
      </c>
      <c r="G139" s="104">
        <f>ITE_LUC_Rates!Q118</f>
        <v>12075.078</v>
      </c>
      <c r="H139" s="243">
        <f>FEE_1_In!$H137</f>
        <v>16473.409604762164</v>
      </c>
      <c r="I139" s="243">
        <f>+FEE_1_In!S137</f>
        <v>12099.980412154673</v>
      </c>
      <c r="J139" s="243">
        <f>+FEE_1_In!V137</f>
        <v>4114.9009678713346</v>
      </c>
      <c r="K139" s="243">
        <f>+FEE_1_In!Y137</f>
        <v>258.52822473615822</v>
      </c>
      <c r="L139" s="243">
        <f>+FEE_2_In!H137</f>
        <v>19593.566858826856</v>
      </c>
      <c r="M139" s="243">
        <f>+FEE_2_In!S137</f>
        <v>16248.691061214753</v>
      </c>
      <c r="N139" s="243">
        <f>+FEE_2_In!V137</f>
        <v>3206.3338397554171</v>
      </c>
      <c r="O139" s="245">
        <f>+FEE_2_In!Y137</f>
        <v>138.54195785668878</v>
      </c>
      <c r="P139" s="61">
        <f>+FEE_3_In!H137</f>
        <v>19490.15421269085</v>
      </c>
      <c r="Q139" s="61">
        <f>+FEE_3_In!S137</f>
        <v>17529.554666107637</v>
      </c>
      <c r="R139" s="61">
        <f>+FEE_3_In!V137</f>
        <v>1876.3592052948122</v>
      </c>
      <c r="S139" s="61">
        <f>+FEE_3_In!Y137</f>
        <v>84.240341288400941</v>
      </c>
      <c r="T139" s="61">
        <f>+FEE_4_In!H137</f>
        <v>18295.437621249224</v>
      </c>
      <c r="U139" s="61">
        <f>+FEE_4_In!S137</f>
        <v>15225.186378433295</v>
      </c>
      <c r="V139" s="61">
        <f>+FEE_4_In!V137</f>
        <v>2989.4916488834542</v>
      </c>
      <c r="W139" s="61">
        <f>+FEE_4_In!Y137</f>
        <v>80.759593932473265</v>
      </c>
      <c r="X139" s="61">
        <f>FEE_1_In!$H137</f>
        <v>16473.409604762164</v>
      </c>
      <c r="Y139" s="61">
        <f>+FEE_1_Out!S137</f>
        <v>14279.189929844568</v>
      </c>
      <c r="Z139" s="61">
        <f>+FEE_1_Out!V137</f>
        <v>1118.4710680795292</v>
      </c>
      <c r="AA139" s="61">
        <f>+FEE_1_Out!Y137</f>
        <v>206.88149250190054</v>
      </c>
      <c r="AB139" s="61">
        <f>+FEE_2_Out!H137</f>
        <v>17085.175240606823</v>
      </c>
      <c r="AC139" s="61">
        <f>+FEE_2_Out!S137</f>
        <v>16133.663611558561</v>
      </c>
      <c r="AD139" s="61">
        <f>+FEE_2_Out!V137</f>
        <v>818.30025535490029</v>
      </c>
      <c r="AE139" s="61">
        <f>+FEE_2_Out!Y137</f>
        <v>133.21137369336134</v>
      </c>
      <c r="AF139" s="61">
        <f>+FEE_3_Out!H137</f>
        <v>18839.437712764673</v>
      </c>
      <c r="AG139" s="61">
        <f>+FEE_3_Out!S137</f>
        <v>17946.756178582989</v>
      </c>
      <c r="AH139" s="61">
        <f>+FEE_3_Out!V137</f>
        <v>814.89589386852208</v>
      </c>
      <c r="AI139" s="61">
        <f>+FEE_3_Out!Y137</f>
        <v>77.785640313161608</v>
      </c>
      <c r="AJ139" s="61">
        <f>+FEE_4_Out!H137</f>
        <v>19739.654302008978</v>
      </c>
      <c r="AK139" s="61">
        <f>+FEE_4_Out!S137</f>
        <v>18484.47823977318</v>
      </c>
      <c r="AL139" s="61">
        <f>+FEE_4_Out!V137</f>
        <v>1181.9055857019571</v>
      </c>
      <c r="AM139" s="61">
        <f>+FEE_4_Out!Y137</f>
        <v>73.270476533842796</v>
      </c>
    </row>
    <row r="140" spans="1:39" s="20" customFormat="1" x14ac:dyDescent="0.25">
      <c r="A140" s="102"/>
      <c r="B140" s="101"/>
      <c r="C140" s="56"/>
      <c r="D140" s="119"/>
      <c r="E140" s="118"/>
      <c r="F140" s="10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row>
    <row r="141" spans="1:39" s="20" customFormat="1" x14ac:dyDescent="0.25">
      <c r="B141" s="68"/>
      <c r="C141" s="56"/>
      <c r="D141" s="119"/>
      <c r="E141" s="119"/>
      <c r="F141" s="100"/>
      <c r="G141" s="60">
        <f>+G134/1000</f>
        <v>51.8645</v>
      </c>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row>
    <row r="142" spans="1:39" s="20" customFormat="1" x14ac:dyDescent="0.25">
      <c r="B142" s="68"/>
      <c r="C142" s="56"/>
      <c r="D142" s="119"/>
      <c r="E142" s="119"/>
      <c r="F142" s="100"/>
      <c r="G142" s="60">
        <v>300</v>
      </c>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row>
    <row r="143" spans="1:39" x14ac:dyDescent="0.25">
      <c r="C143" s="33"/>
      <c r="D143" s="119"/>
      <c r="E143" s="119"/>
      <c r="F143" s="100"/>
      <c r="G143" s="60">
        <f>+G141*G142</f>
        <v>15559.35</v>
      </c>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60"/>
      <c r="AL143" s="60"/>
      <c r="AM143" s="60"/>
    </row>
    <row r="144" spans="1:39" x14ac:dyDescent="0.25">
      <c r="C144" s="33"/>
      <c r="D144" s="119"/>
      <c r="E144" s="119"/>
      <c r="F144" s="10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row>
    <row r="145" spans="3:39" x14ac:dyDescent="0.25">
      <c r="C145" s="33"/>
      <c r="D145" s="119"/>
      <c r="E145" s="119"/>
      <c r="F145" s="10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row>
    <row r="146" spans="3:39" x14ac:dyDescent="0.25">
      <c r="C146" s="33"/>
      <c r="D146" s="119"/>
      <c r="E146" s="119"/>
      <c r="F146" s="10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60"/>
      <c r="AL146" s="60"/>
      <c r="AM146" s="60"/>
    </row>
    <row r="147" spans="3:39" x14ac:dyDescent="0.25">
      <c r="C147" s="33"/>
      <c r="F147" s="121"/>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60"/>
      <c r="AL147" s="60"/>
      <c r="AM147" s="60"/>
    </row>
    <row r="148" spans="3:39" x14ac:dyDescent="0.25">
      <c r="C148" s="33"/>
      <c r="F148" s="121"/>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row>
    <row r="149" spans="3:39" x14ac:dyDescent="0.25">
      <c r="C149" s="33"/>
      <c r="F149" s="121"/>
      <c r="G149" s="122"/>
      <c r="H149" s="122"/>
      <c r="I149" s="122"/>
      <c r="J149" s="122"/>
      <c r="K149" s="122"/>
      <c r="L149" s="122"/>
      <c r="M149" s="122"/>
      <c r="N149" s="122"/>
      <c r="O149" s="122"/>
      <c r="P149" s="122"/>
      <c r="Q149" s="122"/>
      <c r="R149" s="122"/>
      <c r="S149" s="122"/>
      <c r="T149" s="122"/>
      <c r="U149" s="122"/>
      <c r="V149" s="122"/>
      <c r="W149" s="122"/>
      <c r="X149" s="122"/>
      <c r="Y149" s="122"/>
      <c r="Z149" s="122"/>
      <c r="AA149" s="122"/>
      <c r="AB149" s="122"/>
      <c r="AC149" s="122"/>
      <c r="AD149" s="122"/>
      <c r="AE149" s="122"/>
      <c r="AF149" s="122"/>
      <c r="AG149" s="122"/>
      <c r="AH149" s="122"/>
      <c r="AI149" s="122"/>
      <c r="AJ149" s="122"/>
      <c r="AK149" s="122"/>
      <c r="AL149" s="122"/>
      <c r="AM149" s="122"/>
    </row>
    <row r="150" spans="3:39" x14ac:dyDescent="0.25">
      <c r="C150" s="33"/>
      <c r="F150" s="121"/>
      <c r="G150" s="122"/>
      <c r="H150" s="122"/>
      <c r="I150" s="122"/>
      <c r="J150" s="122"/>
      <c r="K150" s="122"/>
      <c r="L150" s="122"/>
      <c r="M150" s="122"/>
      <c r="N150" s="122"/>
      <c r="O150" s="122"/>
      <c r="P150" s="122"/>
      <c r="Q150" s="122"/>
      <c r="R150" s="122"/>
      <c r="S150" s="122"/>
      <c r="T150" s="122"/>
      <c r="U150" s="122"/>
      <c r="V150" s="122"/>
      <c r="W150" s="122"/>
      <c r="X150" s="122"/>
      <c r="Y150" s="122"/>
      <c r="Z150" s="122"/>
      <c r="AA150" s="122"/>
      <c r="AB150" s="122"/>
      <c r="AC150" s="122"/>
      <c r="AD150" s="122"/>
      <c r="AE150" s="122"/>
      <c r="AF150" s="122"/>
      <c r="AG150" s="122"/>
      <c r="AH150" s="122"/>
      <c r="AI150" s="122"/>
      <c r="AJ150" s="122"/>
      <c r="AK150" s="122"/>
      <c r="AL150" s="122"/>
      <c r="AM150" s="122"/>
    </row>
    <row r="151" spans="3:39" x14ac:dyDescent="0.25">
      <c r="C151" s="33"/>
      <c r="F151" s="121"/>
      <c r="G151" s="122"/>
      <c r="H151" s="122"/>
      <c r="I151" s="122"/>
      <c r="J151" s="122"/>
      <c r="K151" s="122"/>
      <c r="L151" s="122"/>
      <c r="M151" s="122"/>
      <c r="N151" s="122"/>
      <c r="O151" s="122"/>
      <c r="P151" s="122"/>
      <c r="Q151" s="122"/>
      <c r="R151" s="122"/>
      <c r="S151" s="122"/>
      <c r="T151" s="122"/>
      <c r="U151" s="122"/>
      <c r="V151" s="122"/>
      <c r="W151" s="122"/>
      <c r="X151" s="122"/>
      <c r="Y151" s="122"/>
      <c r="Z151" s="122"/>
      <c r="AA151" s="122"/>
      <c r="AB151" s="122"/>
      <c r="AC151" s="122"/>
      <c r="AD151" s="122"/>
      <c r="AE151" s="122"/>
      <c r="AF151" s="122"/>
      <c r="AG151" s="122"/>
      <c r="AH151" s="122"/>
      <c r="AI151" s="122"/>
      <c r="AJ151" s="122"/>
      <c r="AK151" s="122"/>
      <c r="AL151" s="122"/>
      <c r="AM151" s="122"/>
    </row>
    <row r="152" spans="3:39" x14ac:dyDescent="0.25">
      <c r="C152" s="33"/>
    </row>
    <row r="153" spans="3:39" x14ac:dyDescent="0.25">
      <c r="C153" s="33"/>
    </row>
    <row r="154" spans="3:39" x14ac:dyDescent="0.25">
      <c r="C154" s="33"/>
    </row>
    <row r="155" spans="3:39" x14ac:dyDescent="0.25">
      <c r="C155" s="33"/>
    </row>
    <row r="156" spans="3:39" x14ac:dyDescent="0.25">
      <c r="C156" s="33"/>
    </row>
    <row r="157" spans="3:39" x14ac:dyDescent="0.25">
      <c r="C157" s="33"/>
    </row>
    <row r="158" spans="3:39" x14ac:dyDescent="0.25">
      <c r="C158" s="33"/>
    </row>
    <row r="159" spans="3:39" x14ac:dyDescent="0.25">
      <c r="C159" s="33"/>
    </row>
    <row r="160" spans="3:39" x14ac:dyDescent="0.25">
      <c r="C160" s="33"/>
    </row>
    <row r="161" spans="1:66" x14ac:dyDescent="0.25">
      <c r="C161" s="33"/>
    </row>
    <row r="162" spans="1:66" s="34" customFormat="1" x14ac:dyDescent="0.25">
      <c r="A162" s="11"/>
      <c r="B162" s="10"/>
      <c r="C162" s="33"/>
      <c r="F162" s="69"/>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1"/>
      <c r="AO162" s="11"/>
      <c r="AP162" s="11"/>
      <c r="AQ162" s="11"/>
      <c r="AR162" s="11"/>
      <c r="AS162" s="11"/>
      <c r="AT162" s="11"/>
      <c r="AU162" s="11"/>
      <c r="AV162" s="11"/>
      <c r="AW162" s="11"/>
      <c r="AX162" s="11"/>
      <c r="AY162" s="11"/>
      <c r="AZ162" s="11"/>
      <c r="BA162" s="11"/>
      <c r="BB162" s="11"/>
      <c r="BC162" s="11"/>
      <c r="BD162" s="11"/>
      <c r="BE162" s="11"/>
      <c r="BF162" s="11"/>
      <c r="BG162" s="11"/>
      <c r="BH162" s="11"/>
      <c r="BI162" s="11"/>
      <c r="BJ162" s="11"/>
      <c r="BK162" s="11"/>
      <c r="BL162" s="11"/>
      <c r="BM162" s="11"/>
      <c r="BN162" s="11"/>
    </row>
    <row r="163" spans="1:66" s="34" customFormat="1" x14ac:dyDescent="0.25">
      <c r="A163" s="11"/>
      <c r="B163" s="10"/>
      <c r="C163" s="33"/>
      <c r="F163" s="69"/>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1"/>
      <c r="AO163" s="11"/>
      <c r="AP163" s="11"/>
      <c r="AQ163" s="11"/>
      <c r="AR163" s="11"/>
      <c r="AS163" s="11"/>
      <c r="AT163" s="11"/>
      <c r="AU163" s="11"/>
      <c r="AV163" s="11"/>
      <c r="AW163" s="11"/>
      <c r="AX163" s="11"/>
      <c r="AY163" s="11"/>
      <c r="AZ163" s="11"/>
      <c r="BA163" s="11"/>
      <c r="BB163" s="11"/>
      <c r="BC163" s="11"/>
      <c r="BD163" s="11"/>
      <c r="BE163" s="11"/>
      <c r="BF163" s="11"/>
      <c r="BG163" s="11"/>
      <c r="BH163" s="11"/>
      <c r="BI163" s="11"/>
      <c r="BJ163" s="11"/>
      <c r="BK163" s="11"/>
      <c r="BL163" s="11"/>
      <c r="BM163" s="11"/>
      <c r="BN163" s="11"/>
    </row>
  </sheetData>
  <mergeCells count="8">
    <mergeCell ref="AB10:AE11"/>
    <mergeCell ref="AF10:AI11"/>
    <mergeCell ref="AJ10:AM11"/>
    <mergeCell ref="H10:K11"/>
    <mergeCell ref="L10:O11"/>
    <mergeCell ref="P10:S11"/>
    <mergeCell ref="T10:W11"/>
    <mergeCell ref="X10:AA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FD956-E68A-483A-85B0-5547D584C9C8}">
  <dimension ref="A1:AA141"/>
  <sheetViews>
    <sheetView tabSelected="1" workbookViewId="0">
      <pane ySplit="1" topLeftCell="A2" activePane="bottomLeft" state="frozen"/>
      <selection pane="bottomLeft" activeCell="E1" sqref="E1:E1048576"/>
    </sheetView>
  </sheetViews>
  <sheetFormatPr defaultColWidth="4.42578125" defaultRowHeight="15.75" x14ac:dyDescent="0.25"/>
  <cols>
    <col min="1" max="1" width="14" style="11" customWidth="1"/>
    <col min="2" max="2" width="28" style="11" customWidth="1"/>
    <col min="3" max="3" width="11.5703125" style="34" bestFit="1" customWidth="1"/>
    <col min="4" max="4" width="6.5703125" style="34" bestFit="1" customWidth="1"/>
    <col min="5" max="5" width="5.140625" style="69" bestFit="1" customWidth="1"/>
    <col min="6" max="6" width="7.5703125" style="13" bestFit="1" customWidth="1"/>
    <col min="7" max="14" width="8.5703125" style="13" bestFit="1" customWidth="1"/>
    <col min="15" max="16" width="10.5703125" style="752" bestFit="1" customWidth="1"/>
    <col min="17" max="17" width="11.5703125" style="752" bestFit="1" customWidth="1"/>
    <col min="18" max="18" width="10.5703125" style="752" bestFit="1" customWidth="1"/>
    <col min="19" max="19" width="11.5703125" style="752" bestFit="1" customWidth="1"/>
    <col min="20" max="20" width="13.28515625" style="752" bestFit="1" customWidth="1"/>
    <col min="21" max="21" width="10.5703125" style="752" bestFit="1" customWidth="1"/>
    <col min="22" max="22" width="11.5703125" style="752" bestFit="1" customWidth="1"/>
    <col min="23" max="16384" width="4.42578125" style="11"/>
  </cols>
  <sheetData>
    <row r="1" spans="1:23" s="9" customFormat="1" ht="64.5" customHeight="1" x14ac:dyDescent="0.25">
      <c r="A1" s="9" t="s">
        <v>955</v>
      </c>
      <c r="B1" s="132" t="s">
        <v>77</v>
      </c>
      <c r="C1" s="7" t="s">
        <v>78</v>
      </c>
      <c r="D1" s="7" t="s">
        <v>80</v>
      </c>
      <c r="E1" s="7" t="s">
        <v>81</v>
      </c>
      <c r="F1" s="8" t="s">
        <v>82</v>
      </c>
      <c r="G1" s="743" t="s">
        <v>824</v>
      </c>
      <c r="H1" s="743" t="s">
        <v>825</v>
      </c>
      <c r="I1" s="743" t="s">
        <v>826</v>
      </c>
      <c r="J1" s="743" t="s">
        <v>827</v>
      </c>
      <c r="K1" s="743" t="s">
        <v>828</v>
      </c>
      <c r="L1" s="743" t="s">
        <v>829</v>
      </c>
      <c r="M1" s="743" t="s">
        <v>830</v>
      </c>
      <c r="N1" s="753" t="s">
        <v>831</v>
      </c>
      <c r="O1" s="754" t="s">
        <v>947</v>
      </c>
      <c r="P1" s="754" t="s">
        <v>948</v>
      </c>
      <c r="Q1" s="754" t="s">
        <v>949</v>
      </c>
      <c r="R1" s="754" t="s">
        <v>950</v>
      </c>
      <c r="S1" s="754" t="s">
        <v>951</v>
      </c>
      <c r="T1" s="754" t="s">
        <v>952</v>
      </c>
      <c r="U1" s="754" t="s">
        <v>953</v>
      </c>
      <c r="V1" s="754" t="s">
        <v>954</v>
      </c>
    </row>
    <row r="2" spans="1:23" s="20" customFormat="1" x14ac:dyDescent="0.25">
      <c r="A2" s="20" t="s">
        <v>832</v>
      </c>
      <c r="B2" s="56" t="str">
        <f>+CurrentFee_RIF!C5</f>
        <v>Truck Terminal</v>
      </c>
      <c r="C2" s="20" t="s">
        <v>110</v>
      </c>
      <c r="D2" s="142"/>
      <c r="E2" s="58" t="s">
        <v>71</v>
      </c>
      <c r="F2" s="104">
        <f>ITE_LUC_Rates!Q2</f>
        <v>10080.200000000001</v>
      </c>
      <c r="G2" s="61">
        <f>+FEE_1_In!H12</f>
        <v>9088.9980417987063</v>
      </c>
      <c r="H2" s="61">
        <f>+FEE_1_Out!H12</f>
        <v>8609.6114612269594</v>
      </c>
      <c r="I2" s="61">
        <f>FEE_2_In!$H12</f>
        <v>10810.505844536758</v>
      </c>
      <c r="J2" s="61">
        <f>FEE_2_Out!$H12</f>
        <v>9426.5320921038983</v>
      </c>
      <c r="K2" s="61">
        <f>FEE_3_In!$H12</f>
        <v>10753.449208371063</v>
      </c>
      <c r="L2" s="61">
        <f>FEE_3_Out!$H12</f>
        <v>10394.424505198176</v>
      </c>
      <c r="M2" s="61">
        <f>FEE_4_In!$H12</f>
        <v>10094.279247771145</v>
      </c>
      <c r="N2" s="61">
        <f>FEE_4_Out!$H12</f>
        <v>10891.107767081674</v>
      </c>
      <c r="O2" s="752">
        <f>IF($W2="sf",G2/1000,G2)</f>
        <v>9.0889980417987069</v>
      </c>
      <c r="P2" s="752">
        <f t="shared" ref="P2:V2" si="0">IF($W2="sf",H2/1000,H2)</f>
        <v>8.6096114612269599</v>
      </c>
      <c r="Q2" s="752">
        <f t="shared" si="0"/>
        <v>10.810505844536758</v>
      </c>
      <c r="R2" s="752">
        <f t="shared" si="0"/>
        <v>9.4265320921038978</v>
      </c>
      <c r="S2" s="752">
        <f t="shared" si="0"/>
        <v>10.753449208371062</v>
      </c>
      <c r="T2" s="752">
        <f t="shared" si="0"/>
        <v>10.394424505198176</v>
      </c>
      <c r="U2" s="752">
        <f t="shared" si="0"/>
        <v>10.094279247771144</v>
      </c>
      <c r="V2" s="752">
        <f t="shared" si="0"/>
        <v>10.891107767081674</v>
      </c>
      <c r="W2" s="20" t="s">
        <v>946</v>
      </c>
    </row>
    <row r="3" spans="1:23" s="20" customFormat="1" x14ac:dyDescent="0.25">
      <c r="A3" s="20" t="s">
        <v>833</v>
      </c>
      <c r="B3" s="56" t="str">
        <f>ITE_LUC_Rates!C3</f>
        <v>General Light Industrial</v>
      </c>
      <c r="C3" s="57" t="str">
        <f>ITE_LUC_Rates!D3</f>
        <v>1000 GSF</v>
      </c>
      <c r="D3" s="129">
        <f>ITE_LUC_Rates!H3</f>
        <v>4.96</v>
      </c>
      <c r="E3" s="58" t="s">
        <v>71</v>
      </c>
      <c r="F3" s="104">
        <f>ITE_LUC_Rates!Q3</f>
        <v>0</v>
      </c>
      <c r="G3" s="61">
        <f>+FEE_1_In!H14</f>
        <v>4576.7949530275728</v>
      </c>
      <c r="H3" s="61">
        <f>FEE_1_Out!$H14</f>
        <v>4335.3982586482971</v>
      </c>
      <c r="I3" s="61">
        <f>FEE_2_In!$H14</f>
        <v>5443.6658871982054</v>
      </c>
      <c r="J3" s="61">
        <f>FEE_2_Out!$H14</f>
        <v>4746.761337749781</v>
      </c>
      <c r="K3" s="61">
        <f>FEE_3_In!$H14</f>
        <v>5414.9348297990318</v>
      </c>
      <c r="L3" s="61">
        <f>FEE_3_Out!$H14</f>
        <v>5234.1467559170515</v>
      </c>
      <c r="M3" s="61">
        <f>FEE_4_In!$H14</f>
        <v>5083.0076212126769</v>
      </c>
      <c r="N3" s="61">
        <f>FEE_4_Out!$H14</f>
        <v>5484.2532512411262</v>
      </c>
      <c r="O3" s="752">
        <f>IF($W3="sf",G3/1000,G3)</f>
        <v>4.5767949530275729</v>
      </c>
      <c r="P3" s="752">
        <f t="shared" ref="P3:P4" si="1">IF($W3="sf",H3/1000,H3)</f>
        <v>4.3353982586482971</v>
      </c>
      <c r="Q3" s="752">
        <f t="shared" ref="Q3:Q4" si="2">IF($W3="sf",I3/1000,I3)</f>
        <v>5.4436658871982058</v>
      </c>
      <c r="R3" s="752">
        <f t="shared" ref="R3:R4" si="3">IF($W3="sf",J3/1000,J3)</f>
        <v>4.7467613377497813</v>
      </c>
      <c r="S3" s="752">
        <f t="shared" ref="S3:S4" si="4">IF($W3="sf",K3/1000,K3)</f>
        <v>5.4149348297990318</v>
      </c>
      <c r="T3" s="752">
        <f t="shared" ref="T3:T4" si="5">IF($W3="sf",L3/1000,L3)</f>
        <v>5.2341467559170516</v>
      </c>
      <c r="U3" s="752">
        <f t="shared" ref="U3:U4" si="6">IF($W3="sf",M3/1000,M3)</f>
        <v>5.0830076212126771</v>
      </c>
      <c r="V3" s="752">
        <f t="shared" ref="V3:V4" si="7">IF($W3="sf",N3/1000,N3)</f>
        <v>5.4842532512411264</v>
      </c>
      <c r="W3" s="20" t="s">
        <v>946</v>
      </c>
    </row>
    <row r="4" spans="1:23" s="20" customFormat="1" x14ac:dyDescent="0.25">
      <c r="A4" s="20" t="s">
        <v>834</v>
      </c>
      <c r="B4" s="56" t="str">
        <f>ITE_LUC_Rates!C4</f>
        <v>Industrial Park</v>
      </c>
      <c r="C4" s="57" t="str">
        <f>ITE_LUC_Rates!D4</f>
        <v>1000 GSF</v>
      </c>
      <c r="D4" s="129">
        <f>ITE_LUC_Rates!H4</f>
        <v>3.37</v>
      </c>
      <c r="E4" s="58" t="s">
        <v>71</v>
      </c>
      <c r="F4" s="104">
        <f>ITE_LUC_Rates!Q4</f>
        <v>7020.7</v>
      </c>
      <c r="G4" s="61">
        <f>+FEE_1_In!H15</f>
        <v>3109.6368934884913</v>
      </c>
      <c r="H4" s="61">
        <f>FEE_1_Out!$H15</f>
        <v>2945.6234136380558</v>
      </c>
      <c r="I4" s="61">
        <f>FEE_2_In!$H15</f>
        <v>3698.6197661003939</v>
      </c>
      <c r="J4" s="61">
        <f>FEE_2_Out!$H15</f>
        <v>3225.1180863340246</v>
      </c>
      <c r="K4" s="61">
        <f>FEE_3_In!$H15</f>
        <v>3679.0988662142618</v>
      </c>
      <c r="L4" s="61">
        <f>FEE_3_Out!$H15</f>
        <v>3556.2650337581572</v>
      </c>
      <c r="M4" s="61">
        <f>FEE_4_In!$H15</f>
        <v>3453.5757426384525</v>
      </c>
      <c r="N4" s="61">
        <f>FEE_4_Out!$H15</f>
        <v>3726.1962614279432</v>
      </c>
      <c r="O4" s="752">
        <f t="shared" ref="O4:O12" si="8">IF($W4="sf",G4/1000,G4)</f>
        <v>3.1096368934884913</v>
      </c>
      <c r="P4" s="752">
        <f t="shared" si="1"/>
        <v>2.9456234136380557</v>
      </c>
      <c r="Q4" s="752">
        <f t="shared" si="2"/>
        <v>3.6986197661003941</v>
      </c>
      <c r="R4" s="752">
        <f t="shared" si="3"/>
        <v>3.2251180863340245</v>
      </c>
      <c r="S4" s="752">
        <f t="shared" si="4"/>
        <v>3.6790988662142619</v>
      </c>
      <c r="T4" s="752">
        <f t="shared" si="5"/>
        <v>3.5562650337581574</v>
      </c>
      <c r="U4" s="752">
        <f t="shared" si="6"/>
        <v>3.4535757426384524</v>
      </c>
      <c r="V4" s="752">
        <f t="shared" si="7"/>
        <v>3.7261962614279431</v>
      </c>
      <c r="W4" s="20" t="s">
        <v>946</v>
      </c>
    </row>
    <row r="5" spans="1:23" s="20" customFormat="1" x14ac:dyDescent="0.25">
      <c r="A5" s="20" t="s">
        <v>835</v>
      </c>
      <c r="B5" s="56" t="str">
        <f>ITE_LUC_Rates!C5</f>
        <v>Manufacturing</v>
      </c>
      <c r="C5" s="57" t="str">
        <f>ITE_LUC_Rates!D5</f>
        <v>1000 GSF</v>
      </c>
      <c r="D5" s="129">
        <f>ITE_LUC_Rates!H5</f>
        <v>3.93</v>
      </c>
      <c r="E5" s="58" t="s">
        <v>71</v>
      </c>
      <c r="F5" s="104">
        <f>ITE_LUC_Rates!Q5</f>
        <v>3853.5</v>
      </c>
      <c r="G5" s="61">
        <f>+FEE_1_In!H16</f>
        <v>3626.371807539992</v>
      </c>
      <c r="H5" s="61">
        <f>FEE_1_Out!$H16</f>
        <v>3435.1038621951225</v>
      </c>
      <c r="I5" s="61">
        <f>FEE_2_In!$H16</f>
        <v>4313.2272049776102</v>
      </c>
      <c r="J5" s="61">
        <f>FEE_2_Out!$H16</f>
        <v>3761.0427534993219</v>
      </c>
      <c r="K5" s="61">
        <f>FEE_3_In!$H16</f>
        <v>4290.4624760302813</v>
      </c>
      <c r="L5" s="61">
        <f>FEE_3_Out!$H16</f>
        <v>4147.217086845566</v>
      </c>
      <c r="M5" s="61">
        <f>FEE_4_In!$H16</f>
        <v>4027.4636998721417</v>
      </c>
      <c r="N5" s="61">
        <f>FEE_4_Out!$H16</f>
        <v>4345.3861446325864</v>
      </c>
      <c r="O5" s="752">
        <f t="shared" si="8"/>
        <v>3.626371807539992</v>
      </c>
      <c r="P5" s="752">
        <f t="shared" ref="P5:P13" si="9">IF($W5="sf",H5/1000,H5)</f>
        <v>3.4351038621951226</v>
      </c>
      <c r="Q5" s="752">
        <f t="shared" ref="Q5:Q13" si="10">IF($W5="sf",I5/1000,I5)</f>
        <v>4.3132272049776104</v>
      </c>
      <c r="R5" s="752">
        <f t="shared" ref="R5:R13" si="11">IF($W5="sf",J5/1000,J5)</f>
        <v>3.7610427534993218</v>
      </c>
      <c r="S5" s="752">
        <f t="shared" ref="S5:S13" si="12">IF($W5="sf",K5/1000,K5)</f>
        <v>4.2904624760302816</v>
      </c>
      <c r="T5" s="752">
        <f t="shared" ref="T5:T13" si="13">IF($W5="sf",L5/1000,L5)</f>
        <v>4.1472170868455658</v>
      </c>
      <c r="U5" s="752">
        <f t="shared" ref="U5:U13" si="14">IF($W5="sf",M5/1000,M5)</f>
        <v>4.0274636998721416</v>
      </c>
      <c r="V5" s="752">
        <f t="shared" ref="V5:V13" si="15">IF($W5="sf",N5/1000,N5)</f>
        <v>4.3453861446325863</v>
      </c>
      <c r="W5" s="20" t="s">
        <v>946</v>
      </c>
    </row>
    <row r="6" spans="1:23" s="20" customFormat="1" x14ac:dyDescent="0.25">
      <c r="A6" s="20" t="s">
        <v>836</v>
      </c>
      <c r="B6" s="56" t="str">
        <f>ITE_LUC_Rates!C6</f>
        <v>Warehousing</v>
      </c>
      <c r="C6" s="57" t="str">
        <f>ITE_LUC_Rates!D6</f>
        <v>1000 GSF</v>
      </c>
      <c r="D6" s="129">
        <f>ITE_LUC_Rates!H6</f>
        <v>1.74</v>
      </c>
      <c r="E6" s="58" t="s">
        <v>71</v>
      </c>
      <c r="F6" s="104">
        <f>ITE_LUC_Rates!Q6</f>
        <v>5002.3</v>
      </c>
      <c r="G6" s="61">
        <f>+FEE_1_In!H17</f>
        <v>1605.5691972314467</v>
      </c>
      <c r="H6" s="61">
        <f>FEE_1_Out!$H17</f>
        <v>1520.8856794451681</v>
      </c>
      <c r="I6" s="61">
        <f>FEE_2_In!$H17</f>
        <v>1909.6731136542091</v>
      </c>
      <c r="J6" s="61">
        <f>FEE_2_Out!$H17</f>
        <v>1665.1945015493181</v>
      </c>
      <c r="K6" s="61">
        <f>FEE_3_In!$H17</f>
        <v>1899.5940733569182</v>
      </c>
      <c r="L6" s="61">
        <f>FEE_3_Out!$H17</f>
        <v>1836.1724506644491</v>
      </c>
      <c r="M6" s="61">
        <f>FEE_4_In!$H17</f>
        <v>1783.1518671189633</v>
      </c>
      <c r="N6" s="61">
        <f>FEE_4_Out!$H17</f>
        <v>1923.9114228144274</v>
      </c>
      <c r="O6" s="752">
        <f t="shared" si="8"/>
        <v>1.6055691972314468</v>
      </c>
      <c r="P6" s="752">
        <f t="shared" si="9"/>
        <v>1.5208856794451682</v>
      </c>
      <c r="Q6" s="752">
        <f t="shared" si="10"/>
        <v>1.9096731136542091</v>
      </c>
      <c r="R6" s="752">
        <f t="shared" si="11"/>
        <v>1.6651945015493181</v>
      </c>
      <c r="S6" s="752">
        <f t="shared" si="12"/>
        <v>1.8995940733569183</v>
      </c>
      <c r="T6" s="752">
        <f t="shared" si="13"/>
        <v>1.836172450664449</v>
      </c>
      <c r="U6" s="752">
        <f t="shared" si="14"/>
        <v>1.7831518671189632</v>
      </c>
      <c r="V6" s="752">
        <f t="shared" si="15"/>
        <v>1.9239114228144274</v>
      </c>
      <c r="W6" s="20" t="s">
        <v>946</v>
      </c>
    </row>
    <row r="7" spans="1:23" s="20" customFormat="1" x14ac:dyDescent="0.25">
      <c r="A7" s="20" t="s">
        <v>837</v>
      </c>
      <c r="B7" s="56" t="str">
        <f>ITE_LUC_Rates!C7</f>
        <v>Mini-Warehousing</v>
      </c>
      <c r="C7" s="57" t="str">
        <f>ITE_LUC_Rates!D7</f>
        <v>1000 GSF</v>
      </c>
      <c r="D7" s="129">
        <f>ITE_LUC_Rates!H7</f>
        <v>1.51</v>
      </c>
      <c r="E7" s="58" t="s">
        <v>71</v>
      </c>
      <c r="F7" s="104">
        <f>ITE_LUC_Rates!Q7</f>
        <v>2415.4</v>
      </c>
      <c r="G7" s="61">
        <f>+FEE_1_In!H18</f>
        <v>1393.3387861031524</v>
      </c>
      <c r="H7" s="61">
        <f>FEE_1_Out!$H18</f>
        <v>1319.8490666449452</v>
      </c>
      <c r="I7" s="61">
        <f>FEE_2_In!$H18</f>
        <v>1657.2450584010669</v>
      </c>
      <c r="J7" s="61">
        <f>FEE_2_Out!$H18</f>
        <v>1445.0825846778566</v>
      </c>
      <c r="K7" s="61">
        <f>FEE_3_In!$H18</f>
        <v>1648.4983050396245</v>
      </c>
      <c r="L7" s="61">
        <f>FEE_3_Out!$H18</f>
        <v>1593.4600002892635</v>
      </c>
      <c r="M7" s="61">
        <f>FEE_4_In!$H18</f>
        <v>1547.447884683698</v>
      </c>
      <c r="N7" s="61">
        <f>FEE_4_Out!$H18</f>
        <v>1669.6012922125205</v>
      </c>
      <c r="O7" s="752">
        <f t="shared" si="8"/>
        <v>1.3933387861031523</v>
      </c>
      <c r="P7" s="752">
        <f t="shared" si="9"/>
        <v>1.3198490666449452</v>
      </c>
      <c r="Q7" s="752">
        <f t="shared" si="10"/>
        <v>1.657245058401067</v>
      </c>
      <c r="R7" s="752">
        <f t="shared" si="11"/>
        <v>1.4450825846778566</v>
      </c>
      <c r="S7" s="752">
        <f t="shared" si="12"/>
        <v>1.6484983050396245</v>
      </c>
      <c r="T7" s="752">
        <f t="shared" si="13"/>
        <v>1.5934600002892634</v>
      </c>
      <c r="U7" s="752">
        <f t="shared" si="14"/>
        <v>1.5474478846836981</v>
      </c>
      <c r="V7" s="752">
        <f t="shared" si="15"/>
        <v>1.6696012922125205</v>
      </c>
      <c r="W7" s="20" t="s">
        <v>946</v>
      </c>
    </row>
    <row r="8" spans="1:23" s="744" customFormat="1" x14ac:dyDescent="0.25">
      <c r="A8" s="744" t="s">
        <v>838</v>
      </c>
      <c r="B8" s="745" t="str">
        <f>ITE_LUC_Rates!C8</f>
        <v>Data Center</v>
      </c>
      <c r="C8" s="746" t="str">
        <f>ITE_LUC_Rates!D8</f>
        <v>1000 GSF</v>
      </c>
      <c r="D8" s="747">
        <f>ITE_LUC_Rates!H8</f>
        <v>0.99</v>
      </c>
      <c r="E8" s="748" t="s">
        <v>71</v>
      </c>
      <c r="F8" s="749">
        <f>ITE_LUC_Rates!Q8</f>
        <v>0</v>
      </c>
      <c r="G8" s="750">
        <f>+FEE_1_In!H19</f>
        <v>913.51350876961624</v>
      </c>
      <c r="H8" s="750">
        <f>FEE_1_Out!$H19</f>
        <v>865.3315072705268</v>
      </c>
      <c r="I8" s="750">
        <f>FEE_2_In!$H19</f>
        <v>1086.5381508722226</v>
      </c>
      <c r="J8" s="750">
        <f>FEE_2_Out!$H19</f>
        <v>947.43825088150868</v>
      </c>
      <c r="K8" s="750">
        <f>FEE_3_In!$H19</f>
        <v>1080.8035244961777</v>
      </c>
      <c r="L8" s="750">
        <f>FEE_3_Out!$H19</f>
        <v>1044.7188081366694</v>
      </c>
      <c r="M8" s="750">
        <f>FEE_4_In!$H19</f>
        <v>1014.5519243952723</v>
      </c>
      <c r="N8" s="750">
        <f>FEE_4_Out!$H19</f>
        <v>1094.6392578082086</v>
      </c>
      <c r="O8" s="752">
        <f t="shared" si="8"/>
        <v>0.91351350876961623</v>
      </c>
      <c r="P8" s="752">
        <f t="shared" si="9"/>
        <v>0.86533150727052677</v>
      </c>
      <c r="Q8" s="752">
        <f t="shared" si="10"/>
        <v>1.0865381508722225</v>
      </c>
      <c r="R8" s="752">
        <f t="shared" si="11"/>
        <v>0.94743825088150868</v>
      </c>
      <c r="S8" s="752">
        <f t="shared" si="12"/>
        <v>1.0808035244961778</v>
      </c>
      <c r="T8" s="752">
        <f t="shared" si="13"/>
        <v>1.0447188081366694</v>
      </c>
      <c r="U8" s="752">
        <f t="shared" si="14"/>
        <v>1.0145519243952723</v>
      </c>
      <c r="V8" s="752">
        <f t="shared" si="15"/>
        <v>1.0946392578082087</v>
      </c>
      <c r="W8" s="20" t="s">
        <v>946</v>
      </c>
    </row>
    <row r="9" spans="1:23" s="744" customFormat="1" x14ac:dyDescent="0.25">
      <c r="A9" s="744" t="s">
        <v>839</v>
      </c>
      <c r="B9" s="745" t="str">
        <f>ITE_LUC_Rates!C9</f>
        <v>Utility</v>
      </c>
      <c r="C9" s="746" t="str">
        <f>ITE_LUC_Rates!D9</f>
        <v>1000 GSF</v>
      </c>
      <c r="D9" s="747">
        <f>ITE_LUC_Rates!H9</f>
        <v>13.24</v>
      </c>
      <c r="E9" s="748" t="s">
        <v>71</v>
      </c>
      <c r="F9" s="749">
        <f>ITE_LUC_Rates!Q9</f>
        <v>0</v>
      </c>
      <c r="G9" s="750">
        <f>+FEE_1_In!H20</f>
        <v>12217.089753646182</v>
      </c>
      <c r="H9" s="750">
        <f>FEE_1_Out!$H20</f>
        <v>11572.716319456342</v>
      </c>
      <c r="I9" s="750">
        <f>FEE_2_In!$H20</f>
        <v>14531.075876311341</v>
      </c>
      <c r="J9" s="750">
        <f>FEE_2_Out!$H20</f>
        <v>12670.790345122397</v>
      </c>
      <c r="K9" s="750">
        <f>FEE_3_In!$H20</f>
        <v>14454.382489221607</v>
      </c>
      <c r="L9" s="750">
        <f>FEE_3_Out!$H20</f>
        <v>13971.794969423741</v>
      </c>
      <c r="M9" s="750">
        <f>FEE_4_In!$H20</f>
        <v>13568.35098888223</v>
      </c>
      <c r="N9" s="750">
        <f>FEE_4_Out!$H20</f>
        <v>14639.41795290978</v>
      </c>
      <c r="O9" s="752">
        <f t="shared" si="8"/>
        <v>12.217089753646182</v>
      </c>
      <c r="P9" s="752">
        <f t="shared" si="9"/>
        <v>11.572716319456342</v>
      </c>
      <c r="Q9" s="752">
        <f t="shared" si="10"/>
        <v>14.531075876311341</v>
      </c>
      <c r="R9" s="752">
        <f t="shared" si="11"/>
        <v>12.670790345122397</v>
      </c>
      <c r="S9" s="752">
        <f t="shared" si="12"/>
        <v>14.454382489221608</v>
      </c>
      <c r="T9" s="752">
        <f t="shared" si="13"/>
        <v>13.971794969423742</v>
      </c>
      <c r="U9" s="752">
        <f t="shared" si="14"/>
        <v>13.56835098888223</v>
      </c>
      <c r="V9" s="752">
        <f t="shared" si="15"/>
        <v>14.639417952909779</v>
      </c>
      <c r="W9" s="20" t="s">
        <v>946</v>
      </c>
    </row>
    <row r="10" spans="1:23" s="20" customFormat="1" ht="15" customHeight="1" x14ac:dyDescent="0.25">
      <c r="A10" s="20" t="s">
        <v>840</v>
      </c>
      <c r="B10" s="56" t="str">
        <f>ITE_LUC_Rates!C10</f>
        <v>Single Family Detached</v>
      </c>
      <c r="C10" s="57" t="str">
        <f>ITE_LUC_Rates!D10</f>
        <v>Dwelling unit</v>
      </c>
      <c r="D10" s="129">
        <f>ITE_LUC_Rates!H10</f>
        <v>9.44</v>
      </c>
      <c r="E10" s="58" t="s">
        <v>68</v>
      </c>
      <c r="F10" s="104">
        <f>ITE_LUC_Rates!Q10</f>
        <v>9543.67</v>
      </c>
      <c r="G10" s="61">
        <f>+FEE_1_In!H22</f>
        <v>9538.0028840764662</v>
      </c>
      <c r="H10" s="61">
        <f>FEE_1_Out!$H22</f>
        <v>7194.4237160360653</v>
      </c>
      <c r="I10" s="61">
        <f>FEE_2_In!$H22</f>
        <v>10403.237169188493</v>
      </c>
      <c r="J10" s="61">
        <f>FEE_2_Out!$H22</f>
        <v>9053.2244196898391</v>
      </c>
      <c r="K10" s="61">
        <f>FEE_3_In!$H22</f>
        <v>10238.879044885038</v>
      </c>
      <c r="L10" s="61">
        <f>FEE_3_Out!$H22</f>
        <v>9958.2768754851477</v>
      </c>
      <c r="M10" s="61">
        <f>FEE_4_In!$H22</f>
        <v>9550.048853028884</v>
      </c>
      <c r="N10" s="61">
        <f>FEE_4_Out!$H22</f>
        <v>10433.389475438586</v>
      </c>
      <c r="O10" s="752">
        <f t="shared" si="8"/>
        <v>9538.0028840764662</v>
      </c>
      <c r="P10" s="752">
        <f t="shared" si="9"/>
        <v>7194.4237160360653</v>
      </c>
      <c r="Q10" s="752">
        <f t="shared" si="10"/>
        <v>10403.237169188493</v>
      </c>
      <c r="R10" s="752">
        <f t="shared" si="11"/>
        <v>9053.2244196898391</v>
      </c>
      <c r="S10" s="752">
        <f t="shared" si="12"/>
        <v>10238.879044885038</v>
      </c>
      <c r="T10" s="752">
        <f t="shared" si="13"/>
        <v>9958.2768754851477</v>
      </c>
      <c r="U10" s="752">
        <f t="shared" si="14"/>
        <v>9550.048853028884</v>
      </c>
      <c r="V10" s="752">
        <f t="shared" si="15"/>
        <v>10433.389475438586</v>
      </c>
    </row>
    <row r="11" spans="1:23" s="20" customFormat="1" x14ac:dyDescent="0.25">
      <c r="A11" s="20" t="s">
        <v>841</v>
      </c>
      <c r="B11" s="56" t="str">
        <f>ITE_LUC_Rates!C11</f>
        <v>Multi-family Housing (Low-Rise)</v>
      </c>
      <c r="C11" s="57" t="str">
        <f>ITE_LUC_Rates!D11</f>
        <v>Dwelling unit</v>
      </c>
      <c r="D11" s="129">
        <f>ITE_LUC_Rates!H11</f>
        <v>7.32</v>
      </c>
      <c r="E11" s="58" t="s">
        <v>68</v>
      </c>
      <c r="F11" s="104">
        <f>ITE_LUC_Rates!Q11</f>
        <v>6701.09</v>
      </c>
      <c r="G11" s="61">
        <f>+FEE_1_In!H23</f>
        <v>7395.9937618050581</v>
      </c>
      <c r="H11" s="61">
        <f>FEE_1_Out!$H23</f>
        <v>5578.7268645533904</v>
      </c>
      <c r="I11" s="61">
        <f>FEE_2_In!$H23</f>
        <v>8066.91695746396</v>
      </c>
      <c r="J11" s="61">
        <f>FEE_2_Out!$H23</f>
        <v>7020.0850373018702</v>
      </c>
      <c r="K11" s="61">
        <f>FEE_3_In!$H23</f>
        <v>7939.4697678557714</v>
      </c>
      <c r="L11" s="61">
        <f>FEE_3_Out!$H23</f>
        <v>7721.8841873465353</v>
      </c>
      <c r="M11" s="61">
        <f>FEE_4_In!$H23</f>
        <v>7405.3344919673145</v>
      </c>
      <c r="N11" s="61">
        <f>FEE_4_Out!$H23</f>
        <v>8090.2977712087359</v>
      </c>
      <c r="O11" s="752">
        <f t="shared" si="8"/>
        <v>7395.9937618050581</v>
      </c>
      <c r="P11" s="752">
        <f t="shared" si="9"/>
        <v>5578.7268645533904</v>
      </c>
      <c r="Q11" s="752">
        <f t="shared" si="10"/>
        <v>8066.91695746396</v>
      </c>
      <c r="R11" s="752">
        <f t="shared" si="11"/>
        <v>7020.0850373018702</v>
      </c>
      <c r="S11" s="752">
        <f t="shared" si="12"/>
        <v>7939.4697678557714</v>
      </c>
      <c r="T11" s="752">
        <f t="shared" si="13"/>
        <v>7721.8841873465353</v>
      </c>
      <c r="U11" s="752">
        <f t="shared" si="14"/>
        <v>7405.3344919673145</v>
      </c>
      <c r="V11" s="752">
        <f t="shared" si="15"/>
        <v>8090.2977712087359</v>
      </c>
    </row>
    <row r="12" spans="1:23" s="744" customFormat="1" x14ac:dyDescent="0.25">
      <c r="A12" s="744" t="s">
        <v>842</v>
      </c>
      <c r="B12" s="745" t="str">
        <f>ITE_LUC_Rates!C12</f>
        <v>Multi-family Housing (Mid-Rise)</v>
      </c>
      <c r="C12" s="746" t="str">
        <f>ITE_LUC_Rates!D12</f>
        <v>Dwelling unit</v>
      </c>
      <c r="D12" s="747">
        <f>ITE_LUC_Rates!H12</f>
        <v>5.44</v>
      </c>
      <c r="E12" s="748" t="s">
        <v>68</v>
      </c>
      <c r="F12" s="749">
        <f>ITE_LUC_Rates!Q12</f>
        <v>0</v>
      </c>
      <c r="G12" s="750">
        <f>+FEE_1_In!H24</f>
        <v>5496.4762382813533</v>
      </c>
      <c r="H12" s="750">
        <f>FEE_1_Out!$H24</f>
        <v>4145.9390905970549</v>
      </c>
      <c r="I12" s="750">
        <f>FEE_2_In!$H24</f>
        <v>5995.0858263120135</v>
      </c>
      <c r="J12" s="750">
        <f>FEE_2_Out!$H24</f>
        <v>5217.1123774483822</v>
      </c>
      <c r="K12" s="750">
        <f>FEE_3_In!$H24</f>
        <v>5900.3709750184962</v>
      </c>
      <c r="L12" s="750">
        <f>FEE_3_Out!$H24</f>
        <v>5738.6680299405944</v>
      </c>
      <c r="M12" s="750">
        <f>FEE_4_In!$H24</f>
        <v>5503.4179831013917</v>
      </c>
      <c r="N12" s="750">
        <f>FEE_4_Out!$H24</f>
        <v>6012.4617316086778</v>
      </c>
      <c r="O12" s="752">
        <f t="shared" si="8"/>
        <v>5496.4762382813533</v>
      </c>
      <c r="P12" s="752">
        <f t="shared" si="9"/>
        <v>4145.9390905970549</v>
      </c>
      <c r="Q12" s="752">
        <f t="shared" si="10"/>
        <v>5995.0858263120135</v>
      </c>
      <c r="R12" s="752">
        <f t="shared" si="11"/>
        <v>5217.1123774483822</v>
      </c>
      <c r="S12" s="752">
        <f t="shared" si="12"/>
        <v>5900.3709750184962</v>
      </c>
      <c r="T12" s="752">
        <f t="shared" si="13"/>
        <v>5738.6680299405944</v>
      </c>
      <c r="U12" s="752">
        <f t="shared" si="14"/>
        <v>5503.4179831013917</v>
      </c>
      <c r="V12" s="752">
        <f t="shared" si="15"/>
        <v>6012.4617316086778</v>
      </c>
    </row>
    <row r="13" spans="1:23" s="20" customFormat="1" x14ac:dyDescent="0.25">
      <c r="A13" s="20" t="s">
        <v>843</v>
      </c>
      <c r="B13" s="56" t="str">
        <f>ITE_LUC_Rates!C13</f>
        <v>Multi-family Housing (High-Rise)</v>
      </c>
      <c r="C13" s="57" t="str">
        <f>ITE_LUC_Rates!D13</f>
        <v>Dwelling unit</v>
      </c>
      <c r="D13" s="129">
        <f>ITE_LUC_Rates!H13</f>
        <v>4.45</v>
      </c>
      <c r="E13" s="58" t="s">
        <v>68</v>
      </c>
      <c r="F13" s="104">
        <f>ITE_LUC_Rates!Q13</f>
        <v>4188.18</v>
      </c>
      <c r="G13" s="61">
        <f>+FEE_1_In!H25</f>
        <v>4496.1983934470627</v>
      </c>
      <c r="H13" s="61">
        <f>FEE_1_Out!$H25</f>
        <v>3391.4391458009</v>
      </c>
      <c r="I13" s="61">
        <f>FEE_2_In!$H25</f>
        <v>4904.0683689500847</v>
      </c>
      <c r="J13" s="61">
        <f>FEE_2_Out!$H25</f>
        <v>4267.6746469936224</v>
      </c>
      <c r="K13" s="61">
        <f>FEE_3_In!$H25</f>
        <v>4826.5902277265286</v>
      </c>
      <c r="L13" s="61">
        <f>FEE_3_Out!$H25</f>
        <v>4694.3148406683185</v>
      </c>
      <c r="M13" s="61">
        <f>FEE_4_In!$H25</f>
        <v>4501.8768427943369</v>
      </c>
      <c r="N13" s="61">
        <f>FEE_4_Out!$H25</f>
        <v>4918.2821150107748</v>
      </c>
      <c r="O13" s="752">
        <f t="shared" ref="O13:O76" si="16">IF($W13="sf",G13/1000,G13)</f>
        <v>4496.1983934470627</v>
      </c>
      <c r="P13" s="752">
        <f t="shared" si="9"/>
        <v>3391.4391458009</v>
      </c>
      <c r="Q13" s="752">
        <f t="shared" si="10"/>
        <v>4904.0683689500847</v>
      </c>
      <c r="R13" s="752">
        <f t="shared" si="11"/>
        <v>4267.6746469936224</v>
      </c>
      <c r="S13" s="752">
        <f t="shared" si="12"/>
        <v>4826.5902277265286</v>
      </c>
      <c r="T13" s="752">
        <f t="shared" si="13"/>
        <v>4694.3148406683185</v>
      </c>
      <c r="U13" s="752">
        <f t="shared" si="14"/>
        <v>4501.8768427943369</v>
      </c>
      <c r="V13" s="752">
        <f t="shared" si="15"/>
        <v>4918.2821150107748</v>
      </c>
    </row>
    <row r="14" spans="1:23" s="20" customFormat="1" x14ac:dyDescent="0.25">
      <c r="A14" s="20" t="s">
        <v>844</v>
      </c>
      <c r="B14" s="56" t="str">
        <f>ITE_LUC_Rates!C14</f>
        <v xml:space="preserve">Residential Condominium/Townhouse </v>
      </c>
      <c r="C14" s="57" t="str">
        <f>ITE_LUC_Rates!D14</f>
        <v>Dwelling unit</v>
      </c>
      <c r="D14" s="129">
        <f>ITE_LUC_Rates!H14</f>
        <v>5.86</v>
      </c>
      <c r="E14" s="58" t="s">
        <v>68</v>
      </c>
      <c r="F14" s="104">
        <f>ITE_LUC_Rates!Q14</f>
        <v>5843.27</v>
      </c>
      <c r="G14" s="61">
        <f>+FEE_1_In!H26</f>
        <v>5920.8365360898406</v>
      </c>
      <c r="H14" s="61">
        <f>FEE_1_Out!$H26</f>
        <v>4466.0299762681507</v>
      </c>
      <c r="I14" s="61">
        <f>FEE_2_In!$H26</f>
        <v>6457.9417173140455</v>
      </c>
      <c r="J14" s="61">
        <f>FEE_2_Out!$H26</f>
        <v>5619.9041418837369</v>
      </c>
      <c r="K14" s="61">
        <f>FEE_3_In!$H26</f>
        <v>6355.9143223544843</v>
      </c>
      <c r="L14" s="61">
        <f>FEE_3_Out!$H26</f>
        <v>6181.7269587227729</v>
      </c>
      <c r="M14" s="61">
        <f>FEE_4_In!$H26</f>
        <v>5928.3142244437795</v>
      </c>
      <c r="N14" s="61">
        <f>FEE_4_Out!$H26</f>
        <v>6476.6591447108176</v>
      </c>
      <c r="O14" s="752">
        <f t="shared" si="16"/>
        <v>5920.8365360898406</v>
      </c>
      <c r="P14" s="752">
        <f t="shared" ref="P14:P77" si="17">IF($W14="sf",H14/1000,H14)</f>
        <v>4466.0299762681507</v>
      </c>
      <c r="Q14" s="752">
        <f t="shared" ref="Q14:Q77" si="18">IF($W14="sf",I14/1000,I14)</f>
        <v>6457.9417173140455</v>
      </c>
      <c r="R14" s="752">
        <f t="shared" ref="R14:R77" si="19">IF($W14="sf",J14/1000,J14)</f>
        <v>5619.9041418837369</v>
      </c>
      <c r="S14" s="752">
        <f t="shared" ref="S14:S77" si="20">IF($W14="sf",K14/1000,K14)</f>
        <v>6355.9143223544843</v>
      </c>
      <c r="T14" s="752">
        <f t="shared" ref="T14:T77" si="21">IF($W14="sf",L14/1000,L14)</f>
        <v>6181.7269587227729</v>
      </c>
      <c r="U14" s="752">
        <f t="shared" ref="U14:U77" si="22">IF($W14="sf",M14/1000,M14)</f>
        <v>5928.3142244437795</v>
      </c>
      <c r="V14" s="752">
        <f t="shared" ref="V14:V77" si="23">IF($W14="sf",N14/1000,N14)</f>
        <v>6476.6591447108176</v>
      </c>
    </row>
    <row r="15" spans="1:23" s="20" customFormat="1" x14ac:dyDescent="0.25">
      <c r="A15" s="20" t="s">
        <v>845</v>
      </c>
      <c r="B15" s="135" t="str">
        <f>ITE_LUC_Rates!C15</f>
        <v>Mid Rise Apart w/ 1st Commercial</v>
      </c>
      <c r="C15" s="232" t="str">
        <f>ITE_LUC_Rates!D15</f>
        <v>Dwelling unit</v>
      </c>
      <c r="D15" s="233">
        <f>ITE_LUC_Rates!H15</f>
        <v>3.44</v>
      </c>
      <c r="E15" s="136" t="s">
        <v>68</v>
      </c>
      <c r="F15" s="137">
        <f>ITE_LUC_Rates!Q15</f>
        <v>0</v>
      </c>
      <c r="G15" s="61">
        <f>+FEE_1_In!H27</f>
        <v>3475.7129153837973</v>
      </c>
      <c r="H15" s="61">
        <f>FEE_1_Out!$H27</f>
        <v>2621.6967778775493</v>
      </c>
      <c r="I15" s="61">
        <f>FEE_2_In!$H27</f>
        <v>3791.0101548737725</v>
      </c>
      <c r="J15" s="61">
        <f>FEE_2_Out!$H27</f>
        <v>3299.0563563276546</v>
      </c>
      <c r="K15" s="61">
        <f>FEE_3_In!$H27</f>
        <v>3731.1169400852264</v>
      </c>
      <c r="L15" s="61">
        <f>FEE_3_Out!$H27</f>
        <v>3628.8636071683177</v>
      </c>
      <c r="M15" s="61">
        <f>FEE_4_In!$H27</f>
        <v>3480.1025481376446</v>
      </c>
      <c r="N15" s="61">
        <f>FEE_4_Out!$H27</f>
        <v>3801.9978596937221</v>
      </c>
      <c r="O15" s="752">
        <f t="shared" si="16"/>
        <v>3475.7129153837973</v>
      </c>
      <c r="P15" s="752">
        <f t="shared" si="17"/>
        <v>2621.6967778775493</v>
      </c>
      <c r="Q15" s="752">
        <f t="shared" si="18"/>
        <v>3791.0101548737725</v>
      </c>
      <c r="R15" s="752">
        <f t="shared" si="19"/>
        <v>3299.0563563276546</v>
      </c>
      <c r="S15" s="752">
        <f t="shared" si="20"/>
        <v>3731.1169400852264</v>
      </c>
      <c r="T15" s="752">
        <f t="shared" si="21"/>
        <v>3628.8636071683177</v>
      </c>
      <c r="U15" s="752">
        <f t="shared" si="22"/>
        <v>3480.1025481376446</v>
      </c>
      <c r="V15" s="752">
        <f t="shared" si="23"/>
        <v>3801.9978596937221</v>
      </c>
    </row>
    <row r="16" spans="1:23" s="20" customFormat="1" x14ac:dyDescent="0.25">
      <c r="A16" s="20" t="s">
        <v>846</v>
      </c>
      <c r="B16" s="56" t="str">
        <f>ITE_LUC_Rates!C16</f>
        <v>Mobile Home (Park)</v>
      </c>
      <c r="C16" s="57" t="str">
        <f>ITE_LUC_Rates!D16</f>
        <v>Dwelling unit</v>
      </c>
      <c r="D16" s="129">
        <f>ITE_LUC_Rates!H16</f>
        <v>5</v>
      </c>
      <c r="E16" s="58" t="s">
        <v>68</v>
      </c>
      <c r="F16" s="104">
        <f>ITE_LUC_Rates!Q16</f>
        <v>4975.3599999999997</v>
      </c>
      <c r="G16" s="61">
        <f>+FEE_1_In!H28</f>
        <v>5051.9083072438916</v>
      </c>
      <c r="H16" s="61">
        <f>FEE_1_Out!$H28</f>
        <v>3810.6057817987635</v>
      </c>
      <c r="I16" s="61">
        <f>FEE_2_In!$H28</f>
        <v>5510.1891785956004</v>
      </c>
      <c r="J16" s="61">
        <f>FEE_2_Out!$H28</f>
        <v>4795.140052801823</v>
      </c>
      <c r="K16" s="61">
        <f>FEE_3_In!$H28</f>
        <v>5423.1350873331785</v>
      </c>
      <c r="L16" s="61">
        <f>FEE_3_Out!$H28</f>
        <v>5274.5110569306944</v>
      </c>
      <c r="M16" s="61">
        <f>FEE_4_In!$H28</f>
        <v>5058.2885874093681</v>
      </c>
      <c r="N16" s="61">
        <f>FEE_4_Out!$H28</f>
        <v>5526.1596797873872</v>
      </c>
      <c r="O16" s="752">
        <f t="shared" si="16"/>
        <v>5051.9083072438916</v>
      </c>
      <c r="P16" s="752">
        <f t="shared" si="17"/>
        <v>3810.6057817987635</v>
      </c>
      <c r="Q16" s="752">
        <f t="shared" si="18"/>
        <v>5510.1891785956004</v>
      </c>
      <c r="R16" s="752">
        <f t="shared" si="19"/>
        <v>4795.140052801823</v>
      </c>
      <c r="S16" s="752">
        <f t="shared" si="20"/>
        <v>5423.1350873331785</v>
      </c>
      <c r="T16" s="752">
        <f t="shared" si="21"/>
        <v>5274.5110569306944</v>
      </c>
      <c r="U16" s="752">
        <f t="shared" si="22"/>
        <v>5058.2885874093681</v>
      </c>
      <c r="V16" s="752">
        <f t="shared" si="23"/>
        <v>5526.1596797873872</v>
      </c>
    </row>
    <row r="17" spans="1:23" s="20" customFormat="1" x14ac:dyDescent="0.25">
      <c r="A17" s="20" t="s">
        <v>847</v>
      </c>
      <c r="B17" s="56" t="str">
        <f>ITE_LUC_Rates!C17</f>
        <v>Senior Adult Housing-Detached</v>
      </c>
      <c r="C17" s="57" t="str">
        <f>ITE_LUC_Rates!D17</f>
        <v>Dwelling unit</v>
      </c>
      <c r="D17" s="129">
        <f>ITE_LUC_Rates!H17</f>
        <v>4.2699999999999996</v>
      </c>
      <c r="E17" s="58" t="s">
        <v>68</v>
      </c>
      <c r="F17" s="104">
        <f>ITE_LUC_Rates!Q17</f>
        <v>3670.12</v>
      </c>
      <c r="G17" s="61">
        <f>+FEE_1_In!H29</f>
        <v>4314.3296943862833</v>
      </c>
      <c r="H17" s="61">
        <f>FEE_1_Out!$H29</f>
        <v>3254.257337656144</v>
      </c>
      <c r="I17" s="61">
        <f>FEE_2_In!$H29</f>
        <v>4705.7015585206427</v>
      </c>
      <c r="J17" s="61">
        <f>FEE_2_Out!$H29</f>
        <v>4095.0496050927563</v>
      </c>
      <c r="K17" s="61">
        <f>FEE_3_In!$H29</f>
        <v>4631.3573645825327</v>
      </c>
      <c r="L17" s="61">
        <f>FEE_3_Out!$H29</f>
        <v>4504.4324426188114</v>
      </c>
      <c r="M17" s="61">
        <f>FEE_4_In!$H29</f>
        <v>4319.7784536475992</v>
      </c>
      <c r="N17" s="61">
        <f>FEE_4_Out!$H29</f>
        <v>4719.3403665384285</v>
      </c>
      <c r="O17" s="752">
        <f t="shared" si="16"/>
        <v>4314.3296943862833</v>
      </c>
      <c r="P17" s="752">
        <f t="shared" si="17"/>
        <v>3254.257337656144</v>
      </c>
      <c r="Q17" s="752">
        <f t="shared" si="18"/>
        <v>4705.7015585206427</v>
      </c>
      <c r="R17" s="752">
        <f t="shared" si="19"/>
        <v>4095.0496050927563</v>
      </c>
      <c r="S17" s="752">
        <f t="shared" si="20"/>
        <v>4631.3573645825327</v>
      </c>
      <c r="T17" s="752">
        <f t="shared" si="21"/>
        <v>4504.4324426188114</v>
      </c>
      <c r="U17" s="752">
        <f t="shared" si="22"/>
        <v>4319.7784536475992</v>
      </c>
      <c r="V17" s="752">
        <f t="shared" si="23"/>
        <v>4719.3403665384285</v>
      </c>
    </row>
    <row r="18" spans="1:23" s="20" customFormat="1" x14ac:dyDescent="0.25">
      <c r="A18" s="20" t="s">
        <v>848</v>
      </c>
      <c r="B18" s="56" t="str">
        <f>ITE_LUC_Rates!C18</f>
        <v>Senior Adult Housing-Attached</v>
      </c>
      <c r="C18" s="57" t="str">
        <f>ITE_LUC_Rates!D18</f>
        <v>Dwelling unit</v>
      </c>
      <c r="D18" s="129">
        <f>ITE_LUC_Rates!H18</f>
        <v>3.7</v>
      </c>
      <c r="E18" s="58" t="s">
        <v>68</v>
      </c>
      <c r="F18" s="104">
        <f>ITE_LUC_Rates!Q18</f>
        <v>3429.6</v>
      </c>
      <c r="G18" s="61">
        <f>+FEE_1_In!H30</f>
        <v>3738.4121473604791</v>
      </c>
      <c r="H18" s="61">
        <f>FEE_1_Out!$H30</f>
        <v>2819.8482785310848</v>
      </c>
      <c r="I18" s="61">
        <f>FEE_2_In!$H30</f>
        <v>4077.5399921607445</v>
      </c>
      <c r="J18" s="61">
        <f>FEE_2_Out!$H30</f>
        <v>3548.403639073349</v>
      </c>
      <c r="K18" s="61">
        <f>FEE_3_In!$H30</f>
        <v>4013.1199646265518</v>
      </c>
      <c r="L18" s="61">
        <f>FEE_3_Out!$H30</f>
        <v>3903.1381821287137</v>
      </c>
      <c r="M18" s="61">
        <f>FEE_4_In!$H30</f>
        <v>3743.1335546829323</v>
      </c>
      <c r="N18" s="61">
        <f>FEE_4_Out!$H30</f>
        <v>4089.358163042667</v>
      </c>
      <c r="O18" s="752">
        <f t="shared" si="16"/>
        <v>3738.4121473604791</v>
      </c>
      <c r="P18" s="752">
        <f t="shared" si="17"/>
        <v>2819.8482785310848</v>
      </c>
      <c r="Q18" s="752">
        <f t="shared" si="18"/>
        <v>4077.5399921607445</v>
      </c>
      <c r="R18" s="752">
        <f t="shared" si="19"/>
        <v>3548.403639073349</v>
      </c>
      <c r="S18" s="752">
        <f t="shared" si="20"/>
        <v>4013.1199646265518</v>
      </c>
      <c r="T18" s="752">
        <f t="shared" si="21"/>
        <v>3903.1381821287137</v>
      </c>
      <c r="U18" s="752">
        <f t="shared" si="22"/>
        <v>3743.1335546829323</v>
      </c>
      <c r="V18" s="752">
        <f t="shared" si="23"/>
        <v>4089.358163042667</v>
      </c>
    </row>
    <row r="19" spans="1:23" s="20" customFormat="1" x14ac:dyDescent="0.25">
      <c r="A19" s="20" t="s">
        <v>849</v>
      </c>
      <c r="B19" s="56" t="str">
        <f>ITE_LUC_Rates!C19</f>
        <v>Congregate Care Facility</v>
      </c>
      <c r="C19" s="57" t="str">
        <f>ITE_LUC_Rates!D19</f>
        <v>Dwelling unit</v>
      </c>
      <c r="D19" s="129">
        <f>ITE_LUC_Rates!H19</f>
        <v>2.02</v>
      </c>
      <c r="E19" s="58" t="s">
        <v>68</v>
      </c>
      <c r="F19" s="104">
        <f>ITE_LUC_Rates!Q19</f>
        <v>2050.3000000000002</v>
      </c>
      <c r="G19" s="61">
        <f>+FEE_1_In!H31</f>
        <v>2040.970956126532</v>
      </c>
      <c r="H19" s="61">
        <f>FEE_1_Out!$H31</f>
        <v>1539.4847358467007</v>
      </c>
      <c r="I19" s="61">
        <f>FEE_2_In!$H31</f>
        <v>2226.1164281526226</v>
      </c>
      <c r="J19" s="61">
        <f>FEE_2_Out!$H31</f>
        <v>1937.2365813319361</v>
      </c>
      <c r="K19" s="61">
        <f>FEE_3_In!$H31</f>
        <v>2190.9465752826036</v>
      </c>
      <c r="L19" s="61">
        <f>FEE_3_Out!$H31</f>
        <v>2130.9024670000003</v>
      </c>
      <c r="M19" s="61">
        <f>FEE_4_In!$H31</f>
        <v>2043.5485893133844</v>
      </c>
      <c r="N19" s="61">
        <f>FEE_4_Out!$H31</f>
        <v>2232.5685106341043</v>
      </c>
      <c r="O19" s="752">
        <f t="shared" si="16"/>
        <v>2040.970956126532</v>
      </c>
      <c r="P19" s="752">
        <f t="shared" si="17"/>
        <v>1539.4847358467007</v>
      </c>
      <c r="Q19" s="752">
        <f t="shared" si="18"/>
        <v>2226.1164281526226</v>
      </c>
      <c r="R19" s="752">
        <f t="shared" si="19"/>
        <v>1937.2365813319361</v>
      </c>
      <c r="S19" s="752">
        <f t="shared" si="20"/>
        <v>2190.9465752826036</v>
      </c>
      <c r="T19" s="752">
        <f t="shared" si="21"/>
        <v>2130.9024670000003</v>
      </c>
      <c r="U19" s="752">
        <f t="shared" si="22"/>
        <v>2043.5485893133844</v>
      </c>
      <c r="V19" s="752">
        <f t="shared" si="23"/>
        <v>2232.5685106341043</v>
      </c>
    </row>
    <row r="20" spans="1:23" s="20" customFormat="1" x14ac:dyDescent="0.25">
      <c r="A20" s="20" t="s">
        <v>850</v>
      </c>
      <c r="B20" s="56" t="str">
        <f>ITE_LUC_Rates!C20</f>
        <v>Assisted Living Facility</v>
      </c>
      <c r="C20" s="57" t="str">
        <f>ITE_LUC_Rates!D20</f>
        <v>Bed</v>
      </c>
      <c r="D20" s="129">
        <f>ITE_LUC_Rates!H20</f>
        <v>2.6</v>
      </c>
      <c r="E20" s="58" t="s">
        <v>68</v>
      </c>
      <c r="F20" s="104">
        <f>ITE_LUC_Rates!Q20</f>
        <v>2701.29</v>
      </c>
      <c r="G20" s="61">
        <f>+FEE_1_In!H32</f>
        <v>2626.9923197668236</v>
      </c>
      <c r="H20" s="61">
        <f>FEE_1_Out!$H32</f>
        <v>1981.5150065353573</v>
      </c>
      <c r="I20" s="61">
        <f>FEE_2_In!$H32</f>
        <v>2865.2983728697118</v>
      </c>
      <c r="J20" s="61">
        <f>FEE_2_Out!$H32</f>
        <v>2493.4728274569484</v>
      </c>
      <c r="K20" s="61">
        <f>FEE_3_In!$H32</f>
        <v>2820.0302454132525</v>
      </c>
      <c r="L20" s="61">
        <f>FEE_3_Out!$H32</f>
        <v>2742.7457496039606</v>
      </c>
      <c r="M20" s="61">
        <f>FEE_4_In!$H32</f>
        <v>2630.3100654528707</v>
      </c>
      <c r="N20" s="61">
        <f>FEE_4_Out!$H32</f>
        <v>2873.6030334894413</v>
      </c>
      <c r="O20" s="752">
        <f t="shared" si="16"/>
        <v>2626.9923197668236</v>
      </c>
      <c r="P20" s="752">
        <f t="shared" si="17"/>
        <v>1981.5150065353573</v>
      </c>
      <c r="Q20" s="752">
        <f t="shared" si="18"/>
        <v>2865.2983728697118</v>
      </c>
      <c r="R20" s="752">
        <f t="shared" si="19"/>
        <v>2493.4728274569484</v>
      </c>
      <c r="S20" s="752">
        <f t="shared" si="20"/>
        <v>2820.0302454132525</v>
      </c>
      <c r="T20" s="752">
        <f t="shared" si="21"/>
        <v>2742.7457496039606</v>
      </c>
      <c r="U20" s="752">
        <f t="shared" si="22"/>
        <v>2630.3100654528707</v>
      </c>
      <c r="V20" s="752">
        <f t="shared" si="23"/>
        <v>2873.6030334894413</v>
      </c>
    </row>
    <row r="21" spans="1:23" s="20" customFormat="1" x14ac:dyDescent="0.25">
      <c r="A21" s="20" t="s">
        <v>851</v>
      </c>
      <c r="B21" s="56" t="str">
        <f>ITE_LUC_Rates!C21</f>
        <v>Continuing Care Retirement Community</v>
      </c>
      <c r="C21" s="57" t="str">
        <f>ITE_LUC_Rates!D21</f>
        <v>Dwelling unit</v>
      </c>
      <c r="D21" s="129">
        <f>ITE_LUC_Rates!H21</f>
        <v>2.4</v>
      </c>
      <c r="E21" s="58" t="s">
        <v>68</v>
      </c>
      <c r="F21" s="104">
        <f>ITE_LUC_Rates!Q21</f>
        <v>2437.2199999999998</v>
      </c>
      <c r="G21" s="61">
        <f>+FEE_1_In!H33</f>
        <v>2424.9159874770676</v>
      </c>
      <c r="H21" s="61">
        <f>FEE_1_Out!$H33</f>
        <v>1829.0907752634064</v>
      </c>
      <c r="I21" s="61">
        <f>FEE_2_In!$H33</f>
        <v>2644.8908057258877</v>
      </c>
      <c r="J21" s="61">
        <f>FEE_2_Out!$H33</f>
        <v>2301.6672253448746</v>
      </c>
      <c r="K21" s="61">
        <f>FEE_3_In!$H33</f>
        <v>2603.1048419199251</v>
      </c>
      <c r="L21" s="61">
        <f>FEE_3_Out!$H33</f>
        <v>2531.7653073267325</v>
      </c>
      <c r="M21" s="61">
        <f>FEE_4_In!$H33</f>
        <v>2427.978521956496</v>
      </c>
      <c r="N21" s="61">
        <f>FEE_4_Out!$H33</f>
        <v>2652.5566462979455</v>
      </c>
      <c r="O21" s="752">
        <f t="shared" si="16"/>
        <v>2424.9159874770676</v>
      </c>
      <c r="P21" s="752">
        <f t="shared" si="17"/>
        <v>1829.0907752634064</v>
      </c>
      <c r="Q21" s="752">
        <f t="shared" si="18"/>
        <v>2644.8908057258877</v>
      </c>
      <c r="R21" s="752">
        <f t="shared" si="19"/>
        <v>2301.6672253448746</v>
      </c>
      <c r="S21" s="752">
        <f t="shared" si="20"/>
        <v>2603.1048419199251</v>
      </c>
      <c r="T21" s="752">
        <f t="shared" si="21"/>
        <v>2531.7653073267325</v>
      </c>
      <c r="U21" s="752">
        <f t="shared" si="22"/>
        <v>2427.978521956496</v>
      </c>
      <c r="V21" s="752">
        <f t="shared" si="23"/>
        <v>2652.5566462979455</v>
      </c>
    </row>
    <row r="22" spans="1:23" s="744" customFormat="1" x14ac:dyDescent="0.25">
      <c r="A22" s="744" t="s">
        <v>852</v>
      </c>
      <c r="B22" s="745" t="str">
        <f>ITE_LUC_Rates!C22</f>
        <v xml:space="preserve">Timeshare </v>
      </c>
      <c r="C22" s="746" t="str">
        <f>ITE_LUC_Rates!D22</f>
        <v>Dwelling unit</v>
      </c>
      <c r="D22" s="747">
        <f>ITE_LUC_Rates!H22</f>
        <v>8.6300000000000008</v>
      </c>
      <c r="E22" s="748" t="s">
        <v>68</v>
      </c>
      <c r="F22" s="749">
        <f>ITE_LUC_Rates!Q22</f>
        <v>0</v>
      </c>
      <c r="G22" s="750">
        <f>+FEE_1_In!H34</f>
        <v>8719.5937383029577</v>
      </c>
      <c r="H22" s="750">
        <f>FEE_1_Out!$H34</f>
        <v>6577.1055793846663</v>
      </c>
      <c r="I22" s="750">
        <f>FEE_2_In!$H34</f>
        <v>9510.5865222560078</v>
      </c>
      <c r="J22" s="750">
        <f>FEE_2_Out!$H34</f>
        <v>8276.4117311359478</v>
      </c>
      <c r="K22" s="750">
        <f>FEE_3_In!$H34</f>
        <v>9360.3311607370651</v>
      </c>
      <c r="L22" s="750">
        <f>FEE_3_Out!$H34</f>
        <v>9103.8060842623781</v>
      </c>
      <c r="M22" s="750">
        <f>FEE_4_In!$H34</f>
        <v>8730.6061018685705</v>
      </c>
      <c r="N22" s="750">
        <f>FEE_4_Out!$H34</f>
        <v>9538.1516073130297</v>
      </c>
      <c r="O22" s="752">
        <f t="shared" si="16"/>
        <v>8719.5937383029577</v>
      </c>
      <c r="P22" s="752">
        <f t="shared" si="17"/>
        <v>6577.1055793846663</v>
      </c>
      <c r="Q22" s="752">
        <f t="shared" si="18"/>
        <v>9510.5865222560078</v>
      </c>
      <c r="R22" s="752">
        <f t="shared" si="19"/>
        <v>8276.4117311359478</v>
      </c>
      <c r="S22" s="752">
        <f t="shared" si="20"/>
        <v>9360.3311607370651</v>
      </c>
      <c r="T22" s="752">
        <f t="shared" si="21"/>
        <v>9103.8060842623781</v>
      </c>
      <c r="U22" s="752">
        <f t="shared" si="22"/>
        <v>8730.6061018685705</v>
      </c>
      <c r="V22" s="752">
        <f t="shared" si="23"/>
        <v>9538.1516073130297</v>
      </c>
    </row>
    <row r="23" spans="1:23" s="744" customFormat="1" x14ac:dyDescent="0.25">
      <c r="A23" s="744" t="s">
        <v>853</v>
      </c>
      <c r="B23" s="745" t="str">
        <f>ITE_LUC_Rates!C23</f>
        <v>Residential PUD</v>
      </c>
      <c r="C23" s="746" t="str">
        <f>ITE_LUC_Rates!D23</f>
        <v>Dwelling unit</v>
      </c>
      <c r="D23" s="747">
        <f>ITE_LUC_Rates!H23</f>
        <v>7.83</v>
      </c>
      <c r="E23" s="748" t="s">
        <v>68</v>
      </c>
      <c r="F23" s="749">
        <f>ITE_LUC_Rates!Q23</f>
        <v>0</v>
      </c>
      <c r="G23" s="750">
        <f>+FEE_1_In!H35</f>
        <v>7911.2884091439346</v>
      </c>
      <c r="H23" s="750">
        <f>FEE_1_Out!$H35</f>
        <v>5967.4086542968635</v>
      </c>
      <c r="I23" s="750">
        <f>FEE_2_In!$H35</f>
        <v>8628.9562536807098</v>
      </c>
      <c r="J23" s="750">
        <f>FEE_2_Out!$H35</f>
        <v>7509.1893226876555</v>
      </c>
      <c r="K23" s="750">
        <f>FEE_3_In!$H35</f>
        <v>8492.6295467637574</v>
      </c>
      <c r="L23" s="750">
        <f>FEE_3_Out!$H35</f>
        <v>8259.8843151534656</v>
      </c>
      <c r="M23" s="750">
        <f>FEE_4_In!$H35</f>
        <v>7921.2799278830698</v>
      </c>
      <c r="N23" s="750">
        <f>FEE_4_Out!$H35</f>
        <v>8653.9660585470483</v>
      </c>
      <c r="O23" s="752">
        <f t="shared" si="16"/>
        <v>7911.2884091439346</v>
      </c>
      <c r="P23" s="752">
        <f t="shared" si="17"/>
        <v>5967.4086542968635</v>
      </c>
      <c r="Q23" s="752">
        <f t="shared" si="18"/>
        <v>8628.9562536807098</v>
      </c>
      <c r="R23" s="752">
        <f t="shared" si="19"/>
        <v>7509.1893226876555</v>
      </c>
      <c r="S23" s="752">
        <f t="shared" si="20"/>
        <v>8492.6295467637574</v>
      </c>
      <c r="T23" s="752">
        <f t="shared" si="21"/>
        <v>8259.8843151534656</v>
      </c>
      <c r="U23" s="752">
        <f t="shared" si="22"/>
        <v>7921.2799278830698</v>
      </c>
      <c r="V23" s="752">
        <f t="shared" si="23"/>
        <v>8653.9660585470483</v>
      </c>
    </row>
    <row r="24" spans="1:23" s="20" customFormat="1" x14ac:dyDescent="0.25">
      <c r="A24" s="20" t="s">
        <v>854</v>
      </c>
      <c r="B24" s="56" t="str">
        <f>ITE_LUC_Rates!C24</f>
        <v>Hotel</v>
      </c>
      <c r="C24" s="57" t="str">
        <f>ITE_LUC_Rates!D24</f>
        <v>Hotel room</v>
      </c>
      <c r="D24" s="129">
        <f>ITE_LUC_Rates!H24</f>
        <v>8.36</v>
      </c>
      <c r="E24" s="58" t="s">
        <v>68</v>
      </c>
      <c r="F24" s="104">
        <f>ITE_LUC_Rates!Q24</f>
        <v>8894.4159999999993</v>
      </c>
      <c r="G24" s="61">
        <f>+FEE_1_In!H37</f>
        <v>8446.7906897117846</v>
      </c>
      <c r="H24" s="61">
        <f>FEE_1_Out!$H37</f>
        <v>6371.3328671675326</v>
      </c>
      <c r="I24" s="61">
        <f>FEE_2_In!$H37</f>
        <v>9213.0363066118443</v>
      </c>
      <c r="J24" s="61">
        <f>FEE_2_Out!$H37</f>
        <v>8017.4741682846479</v>
      </c>
      <c r="K24" s="61">
        <f>FEE_3_In!$H37</f>
        <v>9067.4818660210713</v>
      </c>
      <c r="L24" s="61">
        <f>FEE_3_Out!$H37</f>
        <v>8818.982487188121</v>
      </c>
      <c r="M24" s="61">
        <f>FEE_4_In!$H37</f>
        <v>8457.4585181484617</v>
      </c>
      <c r="N24" s="61">
        <f>FEE_4_Out!$H37</f>
        <v>9239.7389846045098</v>
      </c>
      <c r="O24" s="752">
        <f t="shared" si="16"/>
        <v>8446.7906897117846</v>
      </c>
      <c r="P24" s="752">
        <f t="shared" si="17"/>
        <v>6371.3328671675326</v>
      </c>
      <c r="Q24" s="752">
        <f t="shared" si="18"/>
        <v>9213.0363066118443</v>
      </c>
      <c r="R24" s="752">
        <f t="shared" si="19"/>
        <v>8017.4741682846479</v>
      </c>
      <c r="S24" s="752">
        <f t="shared" si="20"/>
        <v>9067.4818660210713</v>
      </c>
      <c r="T24" s="752">
        <f t="shared" si="21"/>
        <v>8818.982487188121</v>
      </c>
      <c r="U24" s="752">
        <f t="shared" si="22"/>
        <v>8457.4585181484617</v>
      </c>
      <c r="V24" s="752">
        <f t="shared" si="23"/>
        <v>9239.7389846045098</v>
      </c>
    </row>
    <row r="25" spans="1:23" s="20" customFormat="1" x14ac:dyDescent="0.25">
      <c r="A25" s="20" t="s">
        <v>855</v>
      </c>
      <c r="B25" s="56" t="str">
        <f>ITE_LUC_Rates!C25</f>
        <v>All Suites Hotel</v>
      </c>
      <c r="C25" s="57" t="str">
        <f>ITE_LUC_Rates!D25</f>
        <v>Hotel room</v>
      </c>
      <c r="D25" s="129">
        <f>ITE_LUC_Rates!H25</f>
        <v>4.46</v>
      </c>
      <c r="E25" s="58" t="s">
        <v>68</v>
      </c>
      <c r="F25" s="104">
        <f>ITE_LUC_Rates!Q25</f>
        <v>6221.7179999999998</v>
      </c>
      <c r="G25" s="61">
        <f>+FEE_1_In!H38</f>
        <v>4506.3022100615508</v>
      </c>
      <c r="H25" s="61">
        <f>FEE_1_Out!$H38</f>
        <v>3399.0603573644971</v>
      </c>
      <c r="I25" s="61">
        <f>FEE_2_In!$H38</f>
        <v>4915.0887473072753</v>
      </c>
      <c r="J25" s="61">
        <f>FEE_2_Out!$H38</f>
        <v>4277.264927099226</v>
      </c>
      <c r="K25" s="61">
        <f>FEE_3_In!$H38</f>
        <v>4837.4364979011934</v>
      </c>
      <c r="L25" s="61">
        <f>FEE_3_Out!$H38</f>
        <v>4704.8638627821792</v>
      </c>
      <c r="M25" s="61">
        <f>FEE_4_In!$H38</f>
        <v>4511.9934199691561</v>
      </c>
      <c r="N25" s="61">
        <f>FEE_4_Out!$H38</f>
        <v>4929.3344343703493</v>
      </c>
      <c r="O25" s="752">
        <f t="shared" si="16"/>
        <v>4506.3022100615508</v>
      </c>
      <c r="P25" s="752">
        <f t="shared" si="17"/>
        <v>3399.0603573644971</v>
      </c>
      <c r="Q25" s="752">
        <f t="shared" si="18"/>
        <v>4915.0887473072753</v>
      </c>
      <c r="R25" s="752">
        <f t="shared" si="19"/>
        <v>4277.264927099226</v>
      </c>
      <c r="S25" s="752">
        <f t="shared" si="20"/>
        <v>4837.4364979011934</v>
      </c>
      <c r="T25" s="752">
        <f t="shared" si="21"/>
        <v>4704.8638627821792</v>
      </c>
      <c r="U25" s="752">
        <f t="shared" si="22"/>
        <v>4511.9934199691561</v>
      </c>
      <c r="V25" s="752">
        <f t="shared" si="23"/>
        <v>4929.3344343703493</v>
      </c>
    </row>
    <row r="26" spans="1:23" s="20" customFormat="1" x14ac:dyDescent="0.25">
      <c r="A26" s="20" t="s">
        <v>856</v>
      </c>
      <c r="B26" s="56" t="str">
        <f>ITE_LUC_Rates!C26</f>
        <v>Motel</v>
      </c>
      <c r="C26" s="57" t="str">
        <f>ITE_LUC_Rates!D26</f>
        <v>Hotel room</v>
      </c>
      <c r="D26" s="129">
        <f>ITE_LUC_Rates!H26</f>
        <v>3.35</v>
      </c>
      <c r="E26" s="58" t="s">
        <v>68</v>
      </c>
      <c r="F26" s="104">
        <f>ITE_LUC_Rates!Q26</f>
        <v>9084.482</v>
      </c>
      <c r="G26" s="61">
        <f>+FEE_1_In!H39</f>
        <v>3384.7785658534071</v>
      </c>
      <c r="H26" s="61">
        <f>FEE_1_Out!$H39</f>
        <v>2553.1058738051715</v>
      </c>
      <c r="I26" s="61">
        <f>FEE_2_In!$H39</f>
        <v>3691.8267496590524</v>
      </c>
      <c r="J26" s="61">
        <f>FEE_2_Out!$H39</f>
        <v>3212.7438353772213</v>
      </c>
      <c r="K26" s="61">
        <f>FEE_3_In!$H39</f>
        <v>3633.5005085132284</v>
      </c>
      <c r="L26" s="61">
        <f>FEE_3_Out!$H39</f>
        <v>3533.922408143565</v>
      </c>
      <c r="M26" s="61">
        <f>FEE_4_In!$H39</f>
        <v>3389.0533535642767</v>
      </c>
      <c r="N26" s="61">
        <f>FEE_4_Out!$H39</f>
        <v>3702.5269854575495</v>
      </c>
      <c r="O26" s="752">
        <f t="shared" si="16"/>
        <v>3384.7785658534071</v>
      </c>
      <c r="P26" s="752">
        <f t="shared" si="17"/>
        <v>2553.1058738051715</v>
      </c>
      <c r="Q26" s="752">
        <f t="shared" si="18"/>
        <v>3691.8267496590524</v>
      </c>
      <c r="R26" s="752">
        <f t="shared" si="19"/>
        <v>3212.7438353772213</v>
      </c>
      <c r="S26" s="752">
        <f t="shared" si="20"/>
        <v>3633.5005085132284</v>
      </c>
      <c r="T26" s="752">
        <f t="shared" si="21"/>
        <v>3533.922408143565</v>
      </c>
      <c r="U26" s="752">
        <f t="shared" si="22"/>
        <v>3389.0533535642767</v>
      </c>
      <c r="V26" s="752">
        <f t="shared" si="23"/>
        <v>3702.5269854575495</v>
      </c>
    </row>
    <row r="27" spans="1:23" s="744" customFormat="1" x14ac:dyDescent="0.25">
      <c r="A27" s="744" t="s">
        <v>857</v>
      </c>
      <c r="B27" s="745" t="str">
        <f>ITE_LUC_Rates!C27</f>
        <v>Business Hotel</v>
      </c>
      <c r="C27" s="746" t="str">
        <f>ITE_LUC_Rates!D27</f>
        <v>Hotel room</v>
      </c>
      <c r="D27" s="747">
        <f>ITE_LUC_Rates!H27</f>
        <v>4.0199999999999996</v>
      </c>
      <c r="E27" s="748" t="s">
        <v>68</v>
      </c>
      <c r="F27" s="749">
        <f>ITE_LUC_Rates!Q27</f>
        <v>0</v>
      </c>
      <c r="G27" s="750">
        <f>+FEE_1_In!H40</f>
        <v>4061.7342790240882</v>
      </c>
      <c r="H27" s="750">
        <f>FEE_1_Out!$H40</f>
        <v>3063.7270485662061</v>
      </c>
      <c r="I27" s="750">
        <f>FEE_2_In!$H40</f>
        <v>4430.1920995908631</v>
      </c>
      <c r="J27" s="750">
        <f>FEE_2_Out!$H40</f>
        <v>3855.2926024526646</v>
      </c>
      <c r="K27" s="750">
        <f>FEE_3_In!$H40</f>
        <v>4360.2006102158748</v>
      </c>
      <c r="L27" s="750">
        <f>FEE_3_Out!$H40</f>
        <v>4240.7068897722775</v>
      </c>
      <c r="M27" s="750">
        <f>FEE_4_In!$H40</f>
        <v>4066.8640242771312</v>
      </c>
      <c r="N27" s="750">
        <f>FEE_4_Out!$H40</f>
        <v>4443.0323825490595</v>
      </c>
      <c r="O27" s="752">
        <f t="shared" si="16"/>
        <v>4061.7342790240882</v>
      </c>
      <c r="P27" s="752">
        <f t="shared" si="17"/>
        <v>3063.7270485662061</v>
      </c>
      <c r="Q27" s="752">
        <f t="shared" si="18"/>
        <v>4430.1920995908631</v>
      </c>
      <c r="R27" s="752">
        <f t="shared" si="19"/>
        <v>3855.2926024526646</v>
      </c>
      <c r="S27" s="752">
        <f t="shared" si="20"/>
        <v>4360.2006102158748</v>
      </c>
      <c r="T27" s="752">
        <f t="shared" si="21"/>
        <v>4240.7068897722775</v>
      </c>
      <c r="U27" s="752">
        <f t="shared" si="22"/>
        <v>4066.8640242771312</v>
      </c>
      <c r="V27" s="752">
        <f t="shared" si="23"/>
        <v>4443.0323825490595</v>
      </c>
    </row>
    <row r="28" spans="1:23" s="20" customFormat="1" x14ac:dyDescent="0.25">
      <c r="A28" s="20" t="s">
        <v>858</v>
      </c>
      <c r="B28" s="56" t="str">
        <f>ITE_LUC_Rates!C28</f>
        <v>Marina</v>
      </c>
      <c r="C28" s="57" t="str">
        <f>ITE_LUC_Rates!D28</f>
        <v>Berth</v>
      </c>
      <c r="D28" s="129">
        <f>ITE_LUC_Rates!H28</f>
        <v>2.41</v>
      </c>
      <c r="E28" s="58" t="s">
        <v>71</v>
      </c>
      <c r="F28" s="104">
        <f>ITE_LUC_Rates!Q28</f>
        <v>3052.83</v>
      </c>
      <c r="G28" s="61">
        <f>+FEE_1_In!H42</f>
        <v>979.58192452091964</v>
      </c>
      <c r="H28" s="61">
        <f>FEE_1_Out!$H42</f>
        <v>927.91523617679468</v>
      </c>
      <c r="I28" s="61">
        <f>FEE_2_In!$H42</f>
        <v>1165.1202994582511</v>
      </c>
      <c r="J28" s="61">
        <f>FEE_2_Out!$H42</f>
        <v>1015.9602198037146</v>
      </c>
      <c r="K28" s="61">
        <f>FEE_3_In!$H42</f>
        <v>1158.9709253242872</v>
      </c>
      <c r="L28" s="61">
        <f>FEE_3_Out!$H42</f>
        <v>1120.27643908199</v>
      </c>
      <c r="M28" s="61">
        <f>FEE_4_In!$H42</f>
        <v>1087.9277833166277</v>
      </c>
      <c r="N28" s="61">
        <f>FEE_4_Out!$H42</f>
        <v>1173.8073061055763</v>
      </c>
      <c r="O28" s="752">
        <f t="shared" si="16"/>
        <v>979.58192452091964</v>
      </c>
      <c r="P28" s="752">
        <f t="shared" si="17"/>
        <v>927.91523617679468</v>
      </c>
      <c r="Q28" s="752">
        <f t="shared" si="18"/>
        <v>1165.1202994582511</v>
      </c>
      <c r="R28" s="752">
        <f t="shared" si="19"/>
        <v>1015.9602198037146</v>
      </c>
      <c r="S28" s="752">
        <f t="shared" si="20"/>
        <v>1158.9709253242872</v>
      </c>
      <c r="T28" s="752">
        <f t="shared" si="21"/>
        <v>1120.27643908199</v>
      </c>
      <c r="U28" s="752">
        <f t="shared" si="22"/>
        <v>1087.9277833166277</v>
      </c>
      <c r="V28" s="752">
        <f t="shared" si="23"/>
        <v>1173.8073061055763</v>
      </c>
    </row>
    <row r="29" spans="1:23" s="20" customFormat="1" x14ac:dyDescent="0.25">
      <c r="A29" s="20" t="s">
        <v>859</v>
      </c>
      <c r="B29" s="56" t="str">
        <f>ITE_LUC_Rates!C29</f>
        <v>Golf Course</v>
      </c>
      <c r="C29" s="57" t="str">
        <f>ITE_LUC_Rates!D29</f>
        <v>Hole</v>
      </c>
      <c r="D29" s="129">
        <f>ITE_LUC_Rates!H29</f>
        <v>30.38</v>
      </c>
      <c r="E29" s="58" t="s">
        <v>71</v>
      </c>
      <c r="F29" s="104">
        <f>ITE_LUC_Rates!Q29</f>
        <v>36869.440000000002</v>
      </c>
      <c r="G29" s="61">
        <f>+FEE_1_In!H43</f>
        <v>12348.422766367439</v>
      </c>
      <c r="H29" s="61">
        <f>FEE_1_Out!$H43</f>
        <v>11697.122354792953</v>
      </c>
      <c r="I29" s="61">
        <f>FEE_2_In!$H43</f>
        <v>14687.284106863759</v>
      </c>
      <c r="J29" s="61">
        <f>FEE_2_Out!$H43</f>
        <v>12807.000613127322</v>
      </c>
      <c r="K29" s="61">
        <f>FEE_3_In!$H43</f>
        <v>14609.766270270475</v>
      </c>
      <c r="L29" s="61">
        <f>FEE_3_Out!$H43</f>
        <v>14121.990962369646</v>
      </c>
      <c r="M29" s="61">
        <f>FEE_4_In!$H43</f>
        <v>13714.209982223709</v>
      </c>
      <c r="N29" s="61">
        <f>FEE_4_Out!$H43</f>
        <v>14796.790854559089</v>
      </c>
      <c r="O29" s="752">
        <f t="shared" si="16"/>
        <v>12348.422766367439</v>
      </c>
      <c r="P29" s="752">
        <f t="shared" si="17"/>
        <v>11697.122354792953</v>
      </c>
      <c r="Q29" s="752">
        <f t="shared" si="18"/>
        <v>14687.284106863759</v>
      </c>
      <c r="R29" s="752">
        <f t="shared" si="19"/>
        <v>12807.000613127322</v>
      </c>
      <c r="S29" s="752">
        <f t="shared" si="20"/>
        <v>14609.766270270475</v>
      </c>
      <c r="T29" s="752">
        <f t="shared" si="21"/>
        <v>14121.990962369646</v>
      </c>
      <c r="U29" s="752">
        <f t="shared" si="22"/>
        <v>13714.209982223709</v>
      </c>
      <c r="V29" s="752">
        <f t="shared" si="23"/>
        <v>14796.790854559089</v>
      </c>
    </row>
    <row r="30" spans="1:23" s="744" customFormat="1" x14ac:dyDescent="0.25">
      <c r="A30" s="744" t="s">
        <v>860</v>
      </c>
      <c r="B30" s="745" t="str">
        <f>ITE_LUC_Rates!C30</f>
        <v>Movie Theater</v>
      </c>
      <c r="C30" s="746" t="str">
        <f>ITE_LUC_Rates!D30</f>
        <v>1000 GSF</v>
      </c>
      <c r="D30" s="747">
        <f>ITE_LUC_Rates!H30</f>
        <v>78.09</v>
      </c>
      <c r="E30" s="748" t="s">
        <v>71</v>
      </c>
      <c r="F30" s="749">
        <f>ITE_LUC_Rates!Q30</f>
        <v>0</v>
      </c>
      <c r="G30" s="750">
        <f>+FEE_1_In!H44</f>
        <v>31740.89314765087</v>
      </c>
      <c r="H30" s="749">
        <f>FEE_1_Out!$H44</f>
        <v>30066.763814541868</v>
      </c>
      <c r="I30" s="749">
        <f>FEE_2_In!$H44</f>
        <v>37752.798416885817</v>
      </c>
      <c r="J30" s="749">
        <f>FEE_2_Out!$H44</f>
        <v>32919.640483183437</v>
      </c>
      <c r="K30" s="749">
        <f>FEE_3_In!$H44</f>
        <v>37553.543385300247</v>
      </c>
      <c r="L30" s="749">
        <f>FEE_3_Out!$H44</f>
        <v>36299.745696229293</v>
      </c>
      <c r="M30" s="749">
        <f>FEE_4_In!$H44</f>
        <v>35251.568713359105</v>
      </c>
      <c r="N30" s="749">
        <f>FEE_4_Out!$H44</f>
        <v>38034.279059661603</v>
      </c>
      <c r="O30" s="752">
        <f t="shared" si="16"/>
        <v>31.740893147650869</v>
      </c>
      <c r="P30" s="752">
        <f t="shared" si="17"/>
        <v>30.066763814541869</v>
      </c>
      <c r="Q30" s="752">
        <f t="shared" si="18"/>
        <v>37.752798416885817</v>
      </c>
      <c r="R30" s="752">
        <f t="shared" si="19"/>
        <v>32.919640483183436</v>
      </c>
      <c r="S30" s="752">
        <f t="shared" si="20"/>
        <v>37.553543385300244</v>
      </c>
      <c r="T30" s="752">
        <f t="shared" si="21"/>
        <v>36.299745696229294</v>
      </c>
      <c r="U30" s="752">
        <f t="shared" si="22"/>
        <v>35.251568713359106</v>
      </c>
      <c r="V30" s="752">
        <f t="shared" si="23"/>
        <v>38.0342790596616</v>
      </c>
      <c r="W30" s="20" t="s">
        <v>946</v>
      </c>
    </row>
    <row r="31" spans="1:23" s="744" customFormat="1" x14ac:dyDescent="0.25">
      <c r="A31" s="744" t="s">
        <v>860</v>
      </c>
      <c r="B31" s="745" t="str">
        <f>ITE_LUC_Rates!C31</f>
        <v>Movie Theater</v>
      </c>
      <c r="C31" s="746" t="str">
        <f>ITE_LUC_Rates!D31</f>
        <v>Screens</v>
      </c>
      <c r="D31" s="747">
        <f>ITE_LUC_Rates!H31</f>
        <v>220</v>
      </c>
      <c r="E31" s="748" t="s">
        <v>71</v>
      </c>
      <c r="F31" s="749">
        <f>ITE_LUC_Rates!Q31</f>
        <v>0</v>
      </c>
      <c r="G31" s="750">
        <f>+FEE_1_In!H45</f>
        <v>89422.416346308004</v>
      </c>
      <c r="H31" s="751">
        <f>FEE_1_Out!$H45</f>
        <v>84705.955169665904</v>
      </c>
      <c r="I31" s="751">
        <f>FEE_2_In!$H45</f>
        <v>106359.52941112664</v>
      </c>
      <c r="J31" s="751">
        <f>FEE_2_Out!$H45</f>
        <v>92743.256579592198</v>
      </c>
      <c r="K31" s="751">
        <f>FEE_3_In!$H45</f>
        <v>105798.17575574407</v>
      </c>
      <c r="L31" s="751">
        <f>FEE_3_Out!$H45</f>
        <v>102265.89900333516</v>
      </c>
      <c r="M31" s="751">
        <f>FEE_4_In!$H45</f>
        <v>99312.909680356053</v>
      </c>
      <c r="N31" s="751">
        <f>FEE_4_Out!$H45</f>
        <v>107152.53416731401</v>
      </c>
      <c r="O31" s="752">
        <f t="shared" si="16"/>
        <v>89422.416346308004</v>
      </c>
      <c r="P31" s="752">
        <f t="shared" si="17"/>
        <v>84705.955169665904</v>
      </c>
      <c r="Q31" s="752">
        <f t="shared" si="18"/>
        <v>106359.52941112664</v>
      </c>
      <c r="R31" s="752">
        <f t="shared" si="19"/>
        <v>92743.256579592198</v>
      </c>
      <c r="S31" s="752">
        <f t="shared" si="20"/>
        <v>105798.17575574407</v>
      </c>
      <c r="T31" s="752">
        <f t="shared" si="21"/>
        <v>102265.89900333516</v>
      </c>
      <c r="U31" s="752">
        <f t="shared" si="22"/>
        <v>99312.909680356053</v>
      </c>
      <c r="V31" s="752">
        <f t="shared" si="23"/>
        <v>107152.53416731401</v>
      </c>
    </row>
    <row r="32" spans="1:23" s="20" customFormat="1" x14ac:dyDescent="0.25">
      <c r="A32" s="20" t="s">
        <v>861</v>
      </c>
      <c r="B32" s="56" t="str">
        <f>ITE_LUC_Rates!C32</f>
        <v>Amusement Park</v>
      </c>
      <c r="C32" s="57" t="str">
        <f>ITE_LUC_Rates!D32</f>
        <v>Acre</v>
      </c>
      <c r="D32" s="129">
        <f>ITE_LUC_Rates!H32</f>
        <v>53.41</v>
      </c>
      <c r="E32" s="58" t="s">
        <v>71</v>
      </c>
      <c r="F32" s="104">
        <f>ITE_LUC_Rates!Q32</f>
        <v>78154.13</v>
      </c>
      <c r="G32" s="61">
        <f>+FEE_1_In!H46</f>
        <v>21709.323895710499</v>
      </c>
      <c r="H32" s="104">
        <f>FEE_1_Out!$H46</f>
        <v>20564.295752781163</v>
      </c>
      <c r="I32" s="104">
        <f>FEE_2_In!$H46</f>
        <v>25821.193026583056</v>
      </c>
      <c r="J32" s="104">
        <f>FEE_2_Out!$H46</f>
        <v>22515.533335981905</v>
      </c>
      <c r="K32" s="104">
        <f>FEE_3_In!$H46</f>
        <v>25684.911668701319</v>
      </c>
      <c r="L32" s="104">
        <f>FEE_3_Out!$H46</f>
        <v>24827.371208036962</v>
      </c>
      <c r="M32" s="104">
        <f>FEE_4_In!$H46</f>
        <v>24110.465936490076</v>
      </c>
      <c r="N32" s="104">
        <f>FEE_4_Out!$H46</f>
        <v>26013.712953982918</v>
      </c>
      <c r="O32" s="752">
        <f t="shared" si="16"/>
        <v>21709.323895710499</v>
      </c>
      <c r="P32" s="752">
        <f t="shared" si="17"/>
        <v>20564.295752781163</v>
      </c>
      <c r="Q32" s="752">
        <f t="shared" si="18"/>
        <v>25821.193026583056</v>
      </c>
      <c r="R32" s="752">
        <f t="shared" si="19"/>
        <v>22515.533335981905</v>
      </c>
      <c r="S32" s="752">
        <f t="shared" si="20"/>
        <v>25684.911668701319</v>
      </c>
      <c r="T32" s="752">
        <f t="shared" si="21"/>
        <v>24827.371208036962</v>
      </c>
      <c r="U32" s="752">
        <f t="shared" si="22"/>
        <v>24110.465936490076</v>
      </c>
      <c r="V32" s="752">
        <f t="shared" si="23"/>
        <v>26013.712953982918</v>
      </c>
    </row>
    <row r="33" spans="1:23" s="20" customFormat="1" x14ac:dyDescent="0.25">
      <c r="A33" s="20" t="s">
        <v>862</v>
      </c>
      <c r="B33" s="56" t="str">
        <f>ITE_LUC_Rates!C33</f>
        <v>Tennis Courts</v>
      </c>
      <c r="C33" s="57" t="str">
        <f>ITE_LUC_Rates!D33</f>
        <v>Court</v>
      </c>
      <c r="D33" s="129">
        <f>ITE_LUC_Rates!H33</f>
        <v>30.32</v>
      </c>
      <c r="E33" s="58" t="s">
        <v>71</v>
      </c>
      <c r="F33" s="104">
        <f>ITE_LUC_Rates!Q33</f>
        <v>32020.234</v>
      </c>
      <c r="G33" s="61">
        <f>+FEE_1_In!H47</f>
        <v>12324.03483463663</v>
      </c>
      <c r="H33" s="104">
        <f>FEE_1_Out!$H47</f>
        <v>11674.020730655773</v>
      </c>
      <c r="I33" s="104">
        <f>FEE_2_In!$H47</f>
        <v>14658.276962478909</v>
      </c>
      <c r="J33" s="104">
        <f>FEE_2_Out!$H47</f>
        <v>12781.706997696527</v>
      </c>
      <c r="K33" s="104">
        <f>FEE_3_In!$H47</f>
        <v>14580.912222337089</v>
      </c>
      <c r="L33" s="104">
        <f>FEE_3_Out!$H47</f>
        <v>14094.100262641467</v>
      </c>
      <c r="M33" s="104">
        <f>FEE_4_In!$H47</f>
        <v>13687.124643219979</v>
      </c>
      <c r="N33" s="104">
        <f>FEE_4_Out!$H47</f>
        <v>14767.567436149824</v>
      </c>
      <c r="O33" s="752">
        <f t="shared" si="16"/>
        <v>12324.03483463663</v>
      </c>
      <c r="P33" s="752">
        <f t="shared" si="17"/>
        <v>11674.020730655773</v>
      </c>
      <c r="Q33" s="752">
        <f t="shared" si="18"/>
        <v>14658.276962478909</v>
      </c>
      <c r="R33" s="752">
        <f t="shared" si="19"/>
        <v>12781.706997696527</v>
      </c>
      <c r="S33" s="752">
        <f t="shared" si="20"/>
        <v>14580.912222337089</v>
      </c>
      <c r="T33" s="752">
        <f t="shared" si="21"/>
        <v>14094.100262641467</v>
      </c>
      <c r="U33" s="752">
        <f t="shared" si="22"/>
        <v>13687.124643219979</v>
      </c>
      <c r="V33" s="752">
        <f t="shared" si="23"/>
        <v>14767.567436149824</v>
      </c>
    </row>
    <row r="34" spans="1:23" s="20" customFormat="1" x14ac:dyDescent="0.25">
      <c r="A34" s="20" t="s">
        <v>863</v>
      </c>
      <c r="B34" s="56" t="str">
        <f>ITE_LUC_Rates!C34</f>
        <v>Racquet Club</v>
      </c>
      <c r="C34" s="57" t="str">
        <f>ITE_LUC_Rates!D34</f>
        <v>Court</v>
      </c>
      <c r="D34" s="129"/>
      <c r="E34" s="58" t="s">
        <v>71</v>
      </c>
      <c r="F34" s="104">
        <f>ITE_LUC_Rates!Q34</f>
        <v>39922.269999999997</v>
      </c>
      <c r="G34" s="61">
        <f>+FEE_1_In!H48</f>
        <v>15730.215966373275</v>
      </c>
      <c r="H34" s="104">
        <f>FEE_1_Out!$H48</f>
        <v>14900.547568482139</v>
      </c>
      <c r="I34" s="104">
        <f>FEE_2_In!$H48</f>
        <v>18709.608128230007</v>
      </c>
      <c r="J34" s="104">
        <f>FEE_2_Out!$H48</f>
        <v>16314.381952864631</v>
      </c>
      <c r="K34" s="104">
        <f>FEE_3_In!$H48</f>
        <v>18610.860917033158</v>
      </c>
      <c r="L34" s="104">
        <f>FEE_3_Out!$H48</f>
        <v>17989.501324677596</v>
      </c>
      <c r="M34" s="104">
        <f>FEE_4_In!$H48</f>
        <v>17470.043657408089</v>
      </c>
      <c r="N34" s="104">
        <f>FEE_4_Out!$H48</f>
        <v>18849.104873977518</v>
      </c>
      <c r="O34" s="752">
        <f t="shared" si="16"/>
        <v>15730.215966373275</v>
      </c>
      <c r="P34" s="752">
        <f t="shared" si="17"/>
        <v>14900.547568482139</v>
      </c>
      <c r="Q34" s="752">
        <f t="shared" si="18"/>
        <v>18709.608128230007</v>
      </c>
      <c r="R34" s="752">
        <f t="shared" si="19"/>
        <v>16314.381952864631</v>
      </c>
      <c r="S34" s="752">
        <f t="shared" si="20"/>
        <v>18610.860917033158</v>
      </c>
      <c r="T34" s="752">
        <f t="shared" si="21"/>
        <v>17989.501324677596</v>
      </c>
      <c r="U34" s="752">
        <f t="shared" si="22"/>
        <v>17470.043657408089</v>
      </c>
      <c r="V34" s="752">
        <f t="shared" si="23"/>
        <v>18849.104873977518</v>
      </c>
    </row>
    <row r="35" spans="1:23" s="20" customFormat="1" x14ac:dyDescent="0.25">
      <c r="A35" s="20" t="s">
        <v>864</v>
      </c>
      <c r="B35" s="56" t="str">
        <f>ITE_LUC_Rates!C35</f>
        <v>Health/Fitness</v>
      </c>
      <c r="C35" s="57" t="str">
        <f>ITE_LUC_Rates!D35</f>
        <v>1000 GSF</v>
      </c>
      <c r="D35" s="129"/>
      <c r="E35" s="58" t="s">
        <v>71</v>
      </c>
      <c r="F35" s="104">
        <f>ITE_LUC_Rates!Q35</f>
        <v>4147.8</v>
      </c>
      <c r="G35" s="61">
        <f>+FEE_1_In!H49</f>
        <v>1633.9914259643554</v>
      </c>
      <c r="H35" s="104">
        <f>FEE_1_Out!$H49</f>
        <v>1547.8088171911675</v>
      </c>
      <c r="I35" s="104">
        <f>FEE_2_In!$H49</f>
        <v>1943.4786737851318</v>
      </c>
      <c r="J35" s="104">
        <f>FEE_2_Out!$H49</f>
        <v>1694.6722338634572</v>
      </c>
      <c r="K35" s="104">
        <f>FEE_3_In!$H49</f>
        <v>1933.2212115367774</v>
      </c>
      <c r="L35" s="104">
        <f>FEE_3_Out!$H49</f>
        <v>1868.676881788215</v>
      </c>
      <c r="M35" s="104">
        <f>FEE_4_In!$H49</f>
        <v>1814.717713250142</v>
      </c>
      <c r="N35" s="104">
        <f>FEE_4_Out!$H49</f>
        <v>1957.9690334209199</v>
      </c>
      <c r="O35" s="752">
        <f t="shared" si="16"/>
        <v>1.6339914259643553</v>
      </c>
      <c r="P35" s="752">
        <f t="shared" si="17"/>
        <v>1.5478088171911675</v>
      </c>
      <c r="Q35" s="752">
        <f t="shared" si="18"/>
        <v>1.9434786737851317</v>
      </c>
      <c r="R35" s="752">
        <f t="shared" si="19"/>
        <v>1.6946722338634572</v>
      </c>
      <c r="S35" s="752">
        <f t="shared" si="20"/>
        <v>1.9332212115367775</v>
      </c>
      <c r="T35" s="752">
        <f t="shared" si="21"/>
        <v>1.8686768817882151</v>
      </c>
      <c r="U35" s="752">
        <f t="shared" si="22"/>
        <v>1.814717713250142</v>
      </c>
      <c r="V35" s="752">
        <f t="shared" si="23"/>
        <v>1.9579690334209199</v>
      </c>
      <c r="W35" s="20" t="s">
        <v>946</v>
      </c>
    </row>
    <row r="36" spans="1:23" s="744" customFormat="1" x14ac:dyDescent="0.25">
      <c r="A36" s="744" t="s">
        <v>865</v>
      </c>
      <c r="B36" s="745" t="str">
        <f>ITE_LUC_Rates!C36</f>
        <v>Recreational Community Center</v>
      </c>
      <c r="C36" s="746" t="str">
        <f>ITE_LUC_Rates!D36</f>
        <v>1000 GSF</v>
      </c>
      <c r="D36" s="747">
        <f>ITE_LUC_Rates!H36</f>
        <v>28.82</v>
      </c>
      <c r="E36" s="748" t="s">
        <v>71</v>
      </c>
      <c r="F36" s="749">
        <f>ITE_LUC_Rates!Q36</f>
        <v>0</v>
      </c>
      <c r="G36" s="750">
        <f>+FEE_1_In!H50</f>
        <v>11714.336541366345</v>
      </c>
      <c r="H36" s="749">
        <f>FEE_1_Out!$H50</f>
        <v>11096.480127226234</v>
      </c>
      <c r="I36" s="749">
        <f>FEE_2_In!$H50</f>
        <v>13933.098352857587</v>
      </c>
      <c r="J36" s="749">
        <f>FEE_2_Out!$H50</f>
        <v>12149.36661192658</v>
      </c>
      <c r="K36" s="749">
        <f>FEE_3_In!$H50</f>
        <v>13859.561024002471</v>
      </c>
      <c r="L36" s="749">
        <f>FEE_3_Out!$H50</f>
        <v>13396.832769436907</v>
      </c>
      <c r="M36" s="749">
        <f>FEE_4_In!$H50</f>
        <v>13009.99116812664</v>
      </c>
      <c r="N36" s="749">
        <f>FEE_4_Out!$H50</f>
        <v>14036.981975918137</v>
      </c>
      <c r="O36" s="752">
        <f t="shared" si="16"/>
        <v>11.714336541366345</v>
      </c>
      <c r="P36" s="752">
        <f t="shared" si="17"/>
        <v>11.096480127226235</v>
      </c>
      <c r="Q36" s="752">
        <f t="shared" si="18"/>
        <v>13.933098352857588</v>
      </c>
      <c r="R36" s="752">
        <f t="shared" si="19"/>
        <v>12.149366611926579</v>
      </c>
      <c r="S36" s="752">
        <f t="shared" si="20"/>
        <v>13.85956102400247</v>
      </c>
      <c r="T36" s="752">
        <f t="shared" si="21"/>
        <v>13.396832769436907</v>
      </c>
      <c r="U36" s="752">
        <f t="shared" si="22"/>
        <v>13.009991168126641</v>
      </c>
      <c r="V36" s="752">
        <f t="shared" si="23"/>
        <v>14.036981975918136</v>
      </c>
      <c r="W36" s="20" t="s">
        <v>946</v>
      </c>
    </row>
    <row r="37" spans="1:23" s="20" customFormat="1" x14ac:dyDescent="0.25">
      <c r="A37" s="20" t="s">
        <v>866</v>
      </c>
      <c r="B37" s="56" t="str">
        <f>ITE_LUC_Rates!C37</f>
        <v>Elementary School (30 FT/St)</v>
      </c>
      <c r="C37" s="57" t="str">
        <f>ITE_LUC_Rates!D37</f>
        <v>Student</v>
      </c>
      <c r="D37" s="129">
        <f>ITE_LUC_Rates!H37</f>
        <v>1.89</v>
      </c>
      <c r="E37" s="58" t="s">
        <v>71</v>
      </c>
      <c r="F37" s="104">
        <f>ITE_LUC_Rates!Q37</f>
        <v>198.476</v>
      </c>
      <c r="G37" s="61">
        <f>+FEE_1_In!H52</f>
        <v>1743.9803349238127</v>
      </c>
      <c r="H37" s="104">
        <f>FEE_1_Out!$H52</f>
        <v>1651.9965138800967</v>
      </c>
      <c r="I37" s="104">
        <f>FEE_2_In!$H52</f>
        <v>2074.3001062106064</v>
      </c>
      <c r="J37" s="104">
        <f>FEE_2_Out!$H52</f>
        <v>1808.7457516828799</v>
      </c>
      <c r="K37" s="104">
        <f>FEE_3_In!$H52</f>
        <v>2063.3521831290664</v>
      </c>
      <c r="L37" s="104">
        <f>FEE_3_Out!$H52</f>
        <v>1994.4631791700051</v>
      </c>
      <c r="M37" s="104">
        <f>FEE_4_In!$H52</f>
        <v>1936.8718556637011</v>
      </c>
      <c r="N37" s="104">
        <f>FEE_4_Out!$H52</f>
        <v>2089.7658558156713</v>
      </c>
      <c r="O37" s="752">
        <f t="shared" si="16"/>
        <v>1743.9803349238127</v>
      </c>
      <c r="P37" s="752">
        <f t="shared" si="17"/>
        <v>1651.9965138800967</v>
      </c>
      <c r="Q37" s="752">
        <f t="shared" si="18"/>
        <v>2074.3001062106064</v>
      </c>
      <c r="R37" s="752">
        <f t="shared" si="19"/>
        <v>1808.7457516828799</v>
      </c>
      <c r="S37" s="752">
        <f t="shared" si="20"/>
        <v>2063.3521831290664</v>
      </c>
      <c r="T37" s="752">
        <f t="shared" si="21"/>
        <v>1994.4631791700051</v>
      </c>
      <c r="U37" s="752">
        <f t="shared" si="22"/>
        <v>1936.8718556637011</v>
      </c>
      <c r="V37" s="752">
        <f t="shared" si="23"/>
        <v>2089.7658558156713</v>
      </c>
    </row>
    <row r="38" spans="1:23" s="20" customFormat="1" x14ac:dyDescent="0.25">
      <c r="A38" s="20" t="s">
        <v>867</v>
      </c>
      <c r="B38" s="56" t="str">
        <f>ITE_LUC_Rates!C38</f>
        <v>High School (25 SF/St)</v>
      </c>
      <c r="C38" s="57" t="str">
        <f>ITE_LUC_Rates!D38</f>
        <v>Student</v>
      </c>
      <c r="D38" s="129">
        <f>ITE_LUC_Rates!H38</f>
        <v>2.0299999999999998</v>
      </c>
      <c r="E38" s="58" t="s">
        <v>71</v>
      </c>
      <c r="F38" s="104">
        <f>ITE_LUC_Rates!Q38</f>
        <v>1120.212</v>
      </c>
      <c r="G38" s="61">
        <f>+FEE_1_In!H53</f>
        <v>1873.1640634366877</v>
      </c>
      <c r="H38" s="104">
        <f>FEE_1_Out!$H53</f>
        <v>1774.3666260193631</v>
      </c>
      <c r="I38" s="104">
        <f>FEE_2_In!$H53</f>
        <v>2227.9519659299103</v>
      </c>
      <c r="J38" s="104">
        <f>FEE_2_Out!$H53</f>
        <v>1942.7269184742045</v>
      </c>
      <c r="K38" s="104">
        <f>FEE_3_In!$H53</f>
        <v>2216.193085583071</v>
      </c>
      <c r="L38" s="104">
        <f>FEE_3_Out!$H53</f>
        <v>2142.2011924418566</v>
      </c>
      <c r="M38" s="104">
        <f>FEE_4_In!$H53</f>
        <v>2080.3438449721239</v>
      </c>
      <c r="N38" s="104">
        <f>FEE_4_Out!$H53</f>
        <v>2244.5633266168315</v>
      </c>
      <c r="O38" s="752">
        <f t="shared" si="16"/>
        <v>1873.1640634366877</v>
      </c>
      <c r="P38" s="752">
        <f t="shared" si="17"/>
        <v>1774.3666260193631</v>
      </c>
      <c r="Q38" s="752">
        <f t="shared" si="18"/>
        <v>2227.9519659299103</v>
      </c>
      <c r="R38" s="752">
        <f t="shared" si="19"/>
        <v>1942.7269184742045</v>
      </c>
      <c r="S38" s="752">
        <f t="shared" si="20"/>
        <v>2216.193085583071</v>
      </c>
      <c r="T38" s="752">
        <f t="shared" si="21"/>
        <v>2142.2011924418566</v>
      </c>
      <c r="U38" s="752">
        <f t="shared" si="22"/>
        <v>2080.3438449721239</v>
      </c>
      <c r="V38" s="752">
        <f t="shared" si="23"/>
        <v>2244.5633266168315</v>
      </c>
    </row>
    <row r="39" spans="1:23" s="744" customFormat="1" x14ac:dyDescent="0.25">
      <c r="A39" s="744" t="s">
        <v>868</v>
      </c>
      <c r="B39" s="745" t="str">
        <f>ITE_LUC_Rates!C39</f>
        <v>Private School (K-8)</v>
      </c>
      <c r="C39" s="746" t="str">
        <f>ITE_LUC_Rates!D39</f>
        <v>Student</v>
      </c>
      <c r="D39" s="747">
        <f>ITE_LUC_Rates!H39</f>
        <v>4.1100000000000003</v>
      </c>
      <c r="E39" s="748" t="s">
        <v>71</v>
      </c>
      <c r="F39" s="749">
        <f>ITE_LUC_Rates!Q39</f>
        <v>0</v>
      </c>
      <c r="G39" s="750">
        <f>+FEE_1_In!H54</f>
        <v>1950.9414449210956</v>
      </c>
      <c r="H39" s="749">
        <f>FEE_1_Out!$H54</f>
        <v>1848.041747520419</v>
      </c>
      <c r="I39" s="749">
        <f>FEE_2_In!$H54</f>
        <v>2320.4608247989745</v>
      </c>
      <c r="J39" s="749">
        <f>FEE_2_Out!$H54</f>
        <v>2023.3926837467739</v>
      </c>
      <c r="K39" s="749">
        <f>FEE_3_In!$H54</f>
        <v>2308.213693080877</v>
      </c>
      <c r="L39" s="749">
        <f>FEE_3_Out!$H54</f>
        <v>2231.1495139547183</v>
      </c>
      <c r="M39" s="749">
        <f>FEE_4_In!$H54</f>
        <v>2166.7237302194821</v>
      </c>
      <c r="N39" s="749">
        <f>FEE_4_Out!$H54</f>
        <v>2337.7619211915612</v>
      </c>
      <c r="O39" s="752">
        <f t="shared" si="16"/>
        <v>1950.9414449210956</v>
      </c>
      <c r="P39" s="752">
        <f t="shared" si="17"/>
        <v>1848.041747520419</v>
      </c>
      <c r="Q39" s="752">
        <f t="shared" si="18"/>
        <v>2320.4608247989745</v>
      </c>
      <c r="R39" s="752">
        <f t="shared" si="19"/>
        <v>2023.3926837467739</v>
      </c>
      <c r="S39" s="752">
        <f t="shared" si="20"/>
        <v>2308.213693080877</v>
      </c>
      <c r="T39" s="752">
        <f t="shared" si="21"/>
        <v>2231.1495139547183</v>
      </c>
      <c r="U39" s="752">
        <f t="shared" si="22"/>
        <v>2166.7237302194821</v>
      </c>
      <c r="V39" s="752">
        <f t="shared" si="23"/>
        <v>2337.7619211915612</v>
      </c>
    </row>
    <row r="40" spans="1:23" s="744" customFormat="1" x14ac:dyDescent="0.25">
      <c r="A40" s="744" t="s">
        <v>869</v>
      </c>
      <c r="B40" s="745" t="str">
        <f>ITE_LUC_Rates!C40</f>
        <v>Private School (K-12)</v>
      </c>
      <c r="C40" s="746" t="str">
        <f>ITE_LUC_Rates!D40</f>
        <v>Student</v>
      </c>
      <c r="D40" s="747">
        <f>ITE_LUC_Rates!H40</f>
        <v>2.48</v>
      </c>
      <c r="E40" s="748" t="s">
        <v>71</v>
      </c>
      <c r="F40" s="749">
        <f>ITE_LUC_Rates!Q40</f>
        <v>0</v>
      </c>
      <c r="G40" s="750">
        <f>+FEE_1_In!H55</f>
        <v>1177.2104095874247</v>
      </c>
      <c r="H40" s="749">
        <f>FEE_1_Out!$H55</f>
        <v>1115.120081228866</v>
      </c>
      <c r="I40" s="749">
        <f>FEE_2_In!$H55</f>
        <v>1400.1807409979208</v>
      </c>
      <c r="J40" s="749">
        <f>FEE_2_Out!$H55</f>
        <v>1220.9279454238438</v>
      </c>
      <c r="K40" s="749">
        <f>FEE_3_In!$H55</f>
        <v>1392.7907442434482</v>
      </c>
      <c r="L40" s="749">
        <f>FEE_3_Out!$H55</f>
        <v>1346.2897310481023</v>
      </c>
      <c r="M40" s="749">
        <f>FEE_4_In!$H55</f>
        <v>1307.4148055825583</v>
      </c>
      <c r="N40" s="749">
        <f>FEE_4_Out!$H55</f>
        <v>1410.6203320085331</v>
      </c>
      <c r="O40" s="752">
        <f t="shared" si="16"/>
        <v>1177.2104095874247</v>
      </c>
      <c r="P40" s="752">
        <f t="shared" si="17"/>
        <v>1115.120081228866</v>
      </c>
      <c r="Q40" s="752">
        <f t="shared" si="18"/>
        <v>1400.1807409979208</v>
      </c>
      <c r="R40" s="752">
        <f t="shared" si="19"/>
        <v>1220.9279454238438</v>
      </c>
      <c r="S40" s="752">
        <f t="shared" si="20"/>
        <v>1392.7907442434482</v>
      </c>
      <c r="T40" s="752">
        <f t="shared" si="21"/>
        <v>1346.2897310481023</v>
      </c>
      <c r="U40" s="752">
        <f t="shared" si="22"/>
        <v>1307.4148055825583</v>
      </c>
      <c r="V40" s="752">
        <f t="shared" si="23"/>
        <v>1410.6203320085331</v>
      </c>
    </row>
    <row r="41" spans="1:23" s="744" customFormat="1" x14ac:dyDescent="0.25">
      <c r="A41" s="744" t="s">
        <v>870</v>
      </c>
      <c r="B41" s="745" t="str">
        <f>ITE_LUC_Rates!C41</f>
        <v>Charter Elementary School</v>
      </c>
      <c r="C41" s="746" t="str">
        <f>ITE_LUC_Rates!D41</f>
        <v>Student</v>
      </c>
      <c r="D41" s="747">
        <f>ITE_LUC_Rates!H41</f>
        <v>1.85</v>
      </c>
      <c r="E41" s="748" t="s">
        <v>71</v>
      </c>
      <c r="F41" s="749">
        <f>ITE_LUC_Rates!Q41</f>
        <v>0</v>
      </c>
      <c r="G41" s="750">
        <f>+FEE_1_In!H56</f>
        <v>1707.0706982058487</v>
      </c>
      <c r="H41" s="749">
        <f>FEE_1_Out!$H56</f>
        <v>1617.0336246974493</v>
      </c>
      <c r="I41" s="749">
        <f>FEE_2_In!$H56</f>
        <v>2030.3995748622344</v>
      </c>
      <c r="J41" s="749">
        <f>FEE_2_Out!$H56</f>
        <v>1770.4654183139303</v>
      </c>
      <c r="K41" s="749">
        <f>FEE_3_In!$H56</f>
        <v>2019.683353856494</v>
      </c>
      <c r="L41" s="749">
        <f>FEE_3_Out!$H56</f>
        <v>1952.2523182351904</v>
      </c>
      <c r="M41" s="749">
        <f>FEE_4_In!$H56</f>
        <v>1895.8798587184385</v>
      </c>
      <c r="N41" s="749">
        <f>FEE_4_Out!$H56</f>
        <v>2045.5380070153394</v>
      </c>
      <c r="O41" s="752">
        <f t="shared" si="16"/>
        <v>1707.0706982058487</v>
      </c>
      <c r="P41" s="752">
        <f t="shared" si="17"/>
        <v>1617.0336246974493</v>
      </c>
      <c r="Q41" s="752">
        <f t="shared" si="18"/>
        <v>2030.3995748622344</v>
      </c>
      <c r="R41" s="752">
        <f t="shared" si="19"/>
        <v>1770.4654183139303</v>
      </c>
      <c r="S41" s="752">
        <f t="shared" si="20"/>
        <v>2019.683353856494</v>
      </c>
      <c r="T41" s="752">
        <f t="shared" si="21"/>
        <v>1952.2523182351904</v>
      </c>
      <c r="U41" s="752">
        <f t="shared" si="22"/>
        <v>1895.8798587184385</v>
      </c>
      <c r="V41" s="752">
        <f t="shared" si="23"/>
        <v>2045.5380070153394</v>
      </c>
    </row>
    <row r="42" spans="1:23" s="20" customFormat="1" x14ac:dyDescent="0.25">
      <c r="A42" s="20" t="s">
        <v>871</v>
      </c>
      <c r="B42" s="56" t="str">
        <f>ITE_LUC_Rates!C42</f>
        <v>Jr./Community Co</v>
      </c>
      <c r="C42" s="57" t="str">
        <f>ITE_LUC_Rates!D42</f>
        <v>Student</v>
      </c>
      <c r="D42" s="129">
        <f>ITE_LUC_Rates!H42</f>
        <v>1.1499999999999999</v>
      </c>
      <c r="E42" s="58" t="s">
        <v>71</v>
      </c>
      <c r="F42" s="104">
        <f>ITE_LUC_Rates!Q42</f>
        <v>1192.538</v>
      </c>
      <c r="G42" s="61">
        <f>+FEE_1_In!H57</f>
        <v>545.88385928449134</v>
      </c>
      <c r="H42" s="104">
        <f>FEE_1_Out!$H57</f>
        <v>517.09197315048209</v>
      </c>
      <c r="I42" s="104">
        <f>FEE_2_In!$H57</f>
        <v>649.27735973693927</v>
      </c>
      <c r="J42" s="104">
        <f>FEE_2_Out!$H57</f>
        <v>566.15610372476635</v>
      </c>
      <c r="K42" s="104">
        <f>FEE_3_In!$H57</f>
        <v>645.85054672579247</v>
      </c>
      <c r="L42" s="104">
        <f>FEE_3_Out!$H57</f>
        <v>624.28757689730537</v>
      </c>
      <c r="M42" s="104">
        <f>FEE_4_In!$H57</f>
        <v>606.26089774997672</v>
      </c>
      <c r="N42" s="104">
        <f>FEE_4_Out!$H57</f>
        <v>654.11829911685993</v>
      </c>
      <c r="O42" s="752">
        <f t="shared" si="16"/>
        <v>545.88385928449134</v>
      </c>
      <c r="P42" s="752">
        <f t="shared" si="17"/>
        <v>517.09197315048209</v>
      </c>
      <c r="Q42" s="752">
        <f t="shared" si="18"/>
        <v>649.27735973693927</v>
      </c>
      <c r="R42" s="752">
        <f t="shared" si="19"/>
        <v>566.15610372476635</v>
      </c>
      <c r="S42" s="752">
        <f t="shared" si="20"/>
        <v>645.85054672579247</v>
      </c>
      <c r="T42" s="752">
        <f t="shared" si="21"/>
        <v>624.28757689730537</v>
      </c>
      <c r="U42" s="752">
        <f t="shared" si="22"/>
        <v>606.26089774997672</v>
      </c>
      <c r="V42" s="752">
        <f t="shared" si="23"/>
        <v>654.11829911685993</v>
      </c>
    </row>
    <row r="43" spans="1:23" s="20" customFormat="1" x14ac:dyDescent="0.25">
      <c r="A43" s="20" t="s">
        <v>872</v>
      </c>
      <c r="B43" s="56" t="str">
        <f>ITE_LUC_Rates!C43</f>
        <v>University (20SF/st)</v>
      </c>
      <c r="C43" s="57" t="str">
        <f>ITE_LUC_Rates!D43</f>
        <v>Student</v>
      </c>
      <c r="D43" s="129">
        <f>ITE_LUC_Rates!H43</f>
        <v>1.56</v>
      </c>
      <c r="E43" s="58" t="s">
        <v>71</v>
      </c>
      <c r="F43" s="104">
        <f>ITE_LUC_Rates!Q43</f>
        <v>2364.8919999999998</v>
      </c>
      <c r="G43" s="61">
        <f>+FEE_1_In!H58</f>
        <v>740.50332215983178</v>
      </c>
      <c r="H43" s="104">
        <f>FEE_1_Out!$H58</f>
        <v>701.44650270848012</v>
      </c>
      <c r="I43" s="104">
        <f>FEE_2_In!$H58</f>
        <v>880.75885320836971</v>
      </c>
      <c r="J43" s="104">
        <f>FEE_2_Out!$H58</f>
        <v>768.00306244403077</v>
      </c>
      <c r="K43" s="104">
        <f>FEE_3_In!$H58</f>
        <v>876.11030686281435</v>
      </c>
      <c r="L43" s="104">
        <f>FEE_3_Out!$H58</f>
        <v>846.85966953025797</v>
      </c>
      <c r="M43" s="104">
        <f>FEE_4_In!$H58</f>
        <v>822.4060873825772</v>
      </c>
      <c r="N43" s="104">
        <f>FEE_4_Out!$H58</f>
        <v>887.32569271504508</v>
      </c>
      <c r="O43" s="752">
        <f t="shared" si="16"/>
        <v>740.50332215983178</v>
      </c>
      <c r="P43" s="752">
        <f t="shared" si="17"/>
        <v>701.44650270848012</v>
      </c>
      <c r="Q43" s="752">
        <f t="shared" si="18"/>
        <v>880.75885320836971</v>
      </c>
      <c r="R43" s="752">
        <f t="shared" si="19"/>
        <v>768.00306244403077</v>
      </c>
      <c r="S43" s="752">
        <f t="shared" si="20"/>
        <v>876.11030686281435</v>
      </c>
      <c r="T43" s="752">
        <f t="shared" si="21"/>
        <v>846.85966953025797</v>
      </c>
      <c r="U43" s="752">
        <f t="shared" si="22"/>
        <v>822.4060873825772</v>
      </c>
      <c r="V43" s="752">
        <f t="shared" si="23"/>
        <v>887.32569271504508</v>
      </c>
    </row>
    <row r="44" spans="1:23" s="20" customFormat="1" x14ac:dyDescent="0.25">
      <c r="A44" s="20" t="s">
        <v>873</v>
      </c>
      <c r="B44" s="56" t="str">
        <f>ITE_LUC_Rates!C44</f>
        <v>Church</v>
      </c>
      <c r="C44" s="57" t="str">
        <f>ITE_LUC_Rates!D44</f>
        <v>1000 GSF</v>
      </c>
      <c r="D44" s="129">
        <f>ITE_LUC_Rates!H44</f>
        <v>6.95</v>
      </c>
      <c r="E44" s="58" t="s">
        <v>71</v>
      </c>
      <c r="F44" s="104">
        <f>ITE_LUC_Rates!Q44</f>
        <v>5966.1</v>
      </c>
      <c r="G44" s="61">
        <f>+FEE_1_In!H59</f>
        <v>2796.0980003917316</v>
      </c>
      <c r="H44" s="104">
        <f>FEE_1_Out!$H59</f>
        <v>2648.6216940720506</v>
      </c>
      <c r="I44" s="104">
        <f>FEE_2_In!$H59</f>
        <v>3325.6948275401332</v>
      </c>
      <c r="J44" s="104">
        <f>FEE_2_Out!$H59</f>
        <v>2899.9354397642787</v>
      </c>
      <c r="K44" s="104">
        <f>FEE_3_In!$H59</f>
        <v>3308.142183611913</v>
      </c>
      <c r="L44" s="104">
        <f>FEE_3_Out!$H59</f>
        <v>3197.6934575789305</v>
      </c>
      <c r="M44" s="104">
        <f>FEE_4_In!$H59</f>
        <v>3105.3581363191734</v>
      </c>
      <c r="N44" s="104">
        <f>FEE_4_Out!$H59</f>
        <v>3350.4908362331844</v>
      </c>
      <c r="O44" s="752">
        <f t="shared" si="16"/>
        <v>2.7960980003917317</v>
      </c>
      <c r="P44" s="752">
        <f t="shared" si="17"/>
        <v>2.6486216940720504</v>
      </c>
      <c r="Q44" s="752">
        <f t="shared" si="18"/>
        <v>3.3256948275401332</v>
      </c>
      <c r="R44" s="752">
        <f t="shared" si="19"/>
        <v>2.8999354397642789</v>
      </c>
      <c r="S44" s="752">
        <f t="shared" si="20"/>
        <v>3.3081421836119129</v>
      </c>
      <c r="T44" s="752">
        <f t="shared" si="21"/>
        <v>3.1976934575789304</v>
      </c>
      <c r="U44" s="752">
        <f t="shared" si="22"/>
        <v>3.1053581363191736</v>
      </c>
      <c r="V44" s="752">
        <f t="shared" si="23"/>
        <v>3.3504908362331842</v>
      </c>
      <c r="W44" s="20" t="s">
        <v>946</v>
      </c>
    </row>
    <row r="45" spans="1:23" s="20" customFormat="1" x14ac:dyDescent="0.25">
      <c r="A45" s="20" t="s">
        <v>874</v>
      </c>
      <c r="B45" s="56" t="str">
        <f>ITE_LUC_Rates!C45</f>
        <v>Day Care Center</v>
      </c>
      <c r="C45" s="57" t="str">
        <f>ITE_LUC_Rates!D45</f>
        <v>1000 GSF</v>
      </c>
      <c r="D45" s="129">
        <f>ITE_LUC_Rates!H45</f>
        <v>47.62</v>
      </c>
      <c r="E45" s="58" t="s">
        <v>71</v>
      </c>
      <c r="F45" s="104">
        <f>ITE_LUC_Rates!Q45</f>
        <v>8112.3</v>
      </c>
      <c r="G45" s="61">
        <f>+FEE_1_In!H60</f>
        <v>43940.922512736492</v>
      </c>
      <c r="H45" s="104">
        <f>FEE_1_Out!$H60</f>
        <v>41623.319571941909</v>
      </c>
      <c r="I45" s="104">
        <f>FEE_2_In!$H60</f>
        <v>52263.58257023761</v>
      </c>
      <c r="J45" s="104">
        <f>FEE_2_Out!$H60</f>
        <v>45572.736875734787</v>
      </c>
      <c r="K45" s="104">
        <f>FEE_3_In!$H60</f>
        <v>51987.741248997962</v>
      </c>
      <c r="L45" s="104">
        <f>FEE_3_Out!$H60</f>
        <v>50252.029942897163</v>
      </c>
      <c r="M45" s="104">
        <f>FEE_4_In!$H60</f>
        <v>48800.972363336223</v>
      </c>
      <c r="N45" s="104">
        <f>FEE_4_Out!$H60</f>
        <v>52653.25399679484</v>
      </c>
      <c r="O45" s="752">
        <f t="shared" si="16"/>
        <v>43.940922512736492</v>
      </c>
      <c r="P45" s="752">
        <f t="shared" si="17"/>
        <v>41.623319571941906</v>
      </c>
      <c r="Q45" s="752">
        <f t="shared" si="18"/>
        <v>52.26358257023761</v>
      </c>
      <c r="R45" s="752">
        <f t="shared" si="19"/>
        <v>45.572736875734783</v>
      </c>
      <c r="S45" s="752">
        <f t="shared" si="20"/>
        <v>51.987741248997963</v>
      </c>
      <c r="T45" s="752">
        <f t="shared" si="21"/>
        <v>50.25202994289716</v>
      </c>
      <c r="U45" s="752">
        <f t="shared" si="22"/>
        <v>48.800972363336221</v>
      </c>
      <c r="V45" s="752">
        <f t="shared" si="23"/>
        <v>52.653253996794838</v>
      </c>
      <c r="W45" s="20" t="s">
        <v>946</v>
      </c>
    </row>
    <row r="46" spans="1:23" s="20" customFormat="1" x14ac:dyDescent="0.25">
      <c r="A46" s="20" t="s">
        <v>875</v>
      </c>
      <c r="B46" s="56" t="str">
        <f>ITE_LUC_Rates!C46</f>
        <v>Hospital</v>
      </c>
      <c r="C46" s="57" t="str">
        <f>ITE_LUC_Rates!D46</f>
        <v>1000 GSF</v>
      </c>
      <c r="D46" s="129">
        <f>ITE_LUC_Rates!H46</f>
        <v>10.72</v>
      </c>
      <c r="E46" s="58" t="s">
        <v>71</v>
      </c>
      <c r="F46" s="104">
        <f>ITE_LUC_Rates!Q46</f>
        <v>17837.599999999999</v>
      </c>
      <c r="G46" s="104">
        <f>FEE_1_Out!$H62</f>
        <v>9370.0543009495432</v>
      </c>
      <c r="H46" s="104">
        <f>FEE_1_Out!$H62</f>
        <v>9370.0543009495432</v>
      </c>
      <c r="I46" s="104">
        <f>FEE_2_In!$H62</f>
        <v>11765.342401363861</v>
      </c>
      <c r="J46" s="104">
        <f>FEE_2_Out!$H62</f>
        <v>10259.129342878556</v>
      </c>
      <c r="K46" s="104">
        <f>FEE_3_In!$H62</f>
        <v>11703.246245049522</v>
      </c>
      <c r="L46" s="104">
        <f>FEE_3_Out!$H62</f>
        <v>11312.510730530399</v>
      </c>
      <c r="M46" s="104">
        <f>FEE_4_In!$H62</f>
        <v>10985.855181330626</v>
      </c>
      <c r="N46" s="104">
        <f>FEE_4_Out!$H62</f>
        <v>11853.063478488886</v>
      </c>
      <c r="O46" s="752">
        <f t="shared" si="16"/>
        <v>9.3700543009495441</v>
      </c>
      <c r="P46" s="752">
        <f t="shared" si="17"/>
        <v>9.3700543009495441</v>
      </c>
      <c r="Q46" s="752">
        <f t="shared" si="18"/>
        <v>11.765342401363862</v>
      </c>
      <c r="R46" s="752">
        <f t="shared" si="19"/>
        <v>10.259129342878555</v>
      </c>
      <c r="S46" s="752">
        <f t="shared" si="20"/>
        <v>11.703246245049522</v>
      </c>
      <c r="T46" s="752">
        <f t="shared" si="21"/>
        <v>11.312510730530398</v>
      </c>
      <c r="U46" s="752">
        <f t="shared" si="22"/>
        <v>10.985855181330626</v>
      </c>
      <c r="V46" s="752">
        <f t="shared" si="23"/>
        <v>11.853063478488886</v>
      </c>
      <c r="W46" s="20" t="s">
        <v>946</v>
      </c>
    </row>
    <row r="47" spans="1:23" s="20" customFormat="1" x14ac:dyDescent="0.25">
      <c r="A47" s="20" t="s">
        <v>876</v>
      </c>
      <c r="B47" s="56" t="str">
        <f>ITE_LUC_Rates!C47</f>
        <v>Nursing Home</v>
      </c>
      <c r="C47" s="57" t="str">
        <f>ITE_LUC_Rates!D47</f>
        <v>Bed</v>
      </c>
      <c r="D47" s="129">
        <f>ITE_LUC_Rates!H47</f>
        <v>3.06</v>
      </c>
      <c r="E47" s="58" t="s">
        <v>71</v>
      </c>
      <c r="F47" s="104">
        <f>ITE_LUC_Rates!Q47</f>
        <v>2405.2600000000002</v>
      </c>
      <c r="G47" s="104">
        <f>FEE_1_Out!$H63</f>
        <v>2674.6610224725387</v>
      </c>
      <c r="H47" s="104">
        <f>FEE_1_Out!$H63</f>
        <v>2674.6610224725387</v>
      </c>
      <c r="I47" s="104">
        <f>FEE_2_In!$H63</f>
        <v>3358.390648150506</v>
      </c>
      <c r="J47" s="104">
        <f>FEE_2_Out!$H63</f>
        <v>2928.4455027246636</v>
      </c>
      <c r="K47" s="104">
        <f>FEE_3_In!$H63</f>
        <v>3340.665439351822</v>
      </c>
      <c r="L47" s="104">
        <f>FEE_3_Out!$H63</f>
        <v>3229.1308615133421</v>
      </c>
      <c r="M47" s="104">
        <f>FEE_4_In!$H63</f>
        <v>3135.88776631266</v>
      </c>
      <c r="N47" s="104">
        <f>FEE_4_Out!$H63</f>
        <v>3383.4304332253723</v>
      </c>
      <c r="O47" s="752">
        <f t="shared" si="16"/>
        <v>2674.6610224725387</v>
      </c>
      <c r="P47" s="752">
        <f t="shared" si="17"/>
        <v>2674.6610224725387</v>
      </c>
      <c r="Q47" s="752">
        <f t="shared" si="18"/>
        <v>3358.390648150506</v>
      </c>
      <c r="R47" s="752">
        <f t="shared" si="19"/>
        <v>2928.4455027246636</v>
      </c>
      <c r="S47" s="752">
        <f t="shared" si="20"/>
        <v>3340.665439351822</v>
      </c>
      <c r="T47" s="752">
        <f t="shared" si="21"/>
        <v>3229.1308615133421</v>
      </c>
      <c r="U47" s="752">
        <f t="shared" si="22"/>
        <v>3135.88776631266</v>
      </c>
      <c r="V47" s="752">
        <f t="shared" si="23"/>
        <v>3383.4304332253723</v>
      </c>
    </row>
    <row r="48" spans="1:23" s="20" customFormat="1" x14ac:dyDescent="0.25">
      <c r="A48" s="20" t="s">
        <v>877</v>
      </c>
      <c r="B48" s="56" t="str">
        <f>ITE_LUC_Rates!C48</f>
        <v>Clinic</v>
      </c>
      <c r="C48" s="57" t="str">
        <f>ITE_LUC_Rates!D48</f>
        <v>1000 GSF</v>
      </c>
      <c r="D48" s="129">
        <f>ITE_LUC_Rates!H48</f>
        <v>38.159999999999997</v>
      </c>
      <c r="E48" s="58" t="s">
        <v>71</v>
      </c>
      <c r="F48" s="104">
        <f>ITE_LUC_Rates!Q48</f>
        <v>31927.7</v>
      </c>
      <c r="G48" s="104">
        <f>FEE_1_Out!$H64</f>
        <v>12829.133911634182</v>
      </c>
      <c r="H48" s="104">
        <f>FEE_1_Out!$H64</f>
        <v>12829.133911634182</v>
      </c>
      <c r="I48" s="104">
        <f>FEE_2_In!$H64</f>
        <v>16108.674329457062</v>
      </c>
      <c r="J48" s="104">
        <f>FEE_2_Out!$H64</f>
        <v>14046.422777211323</v>
      </c>
      <c r="K48" s="104">
        <f>FEE_3_In!$H64</f>
        <v>16023.654554846604</v>
      </c>
      <c r="L48" s="104">
        <f>FEE_3_Out!$H64</f>
        <v>15488.673851555581</v>
      </c>
      <c r="M48" s="104">
        <f>FEE_4_In!$H64</f>
        <v>15041.429081241113</v>
      </c>
      <c r="N48" s="104">
        <f>FEE_4_Out!$H64</f>
        <v>16228.778803685742</v>
      </c>
      <c r="O48" s="752">
        <f t="shared" si="16"/>
        <v>12.829133911634182</v>
      </c>
      <c r="P48" s="752">
        <f t="shared" si="17"/>
        <v>12.829133911634182</v>
      </c>
      <c r="Q48" s="752">
        <f t="shared" si="18"/>
        <v>16.108674329457063</v>
      </c>
      <c r="R48" s="752">
        <f t="shared" si="19"/>
        <v>14.046422777211323</v>
      </c>
      <c r="S48" s="752">
        <f t="shared" si="20"/>
        <v>16.023654554846605</v>
      </c>
      <c r="T48" s="752">
        <f t="shared" si="21"/>
        <v>15.48867385155558</v>
      </c>
      <c r="U48" s="752">
        <f t="shared" si="22"/>
        <v>15.041429081241112</v>
      </c>
      <c r="V48" s="752">
        <f t="shared" si="23"/>
        <v>16.228778803685742</v>
      </c>
      <c r="W48" s="20" t="s">
        <v>946</v>
      </c>
    </row>
    <row r="49" spans="1:23" s="744" customFormat="1" x14ac:dyDescent="0.25">
      <c r="A49" s="744" t="s">
        <v>878</v>
      </c>
      <c r="B49" s="745" t="str">
        <f>ITE_LUC_Rates!C49</f>
        <v>Animal Hospital / Veterinary Clinic</v>
      </c>
      <c r="C49" s="746" t="str">
        <f>ITE_LUC_Rates!D49</f>
        <v>1000 GSF</v>
      </c>
      <c r="D49" s="747">
        <f>ITE_LUC_Rates!H49</f>
        <v>21.5</v>
      </c>
      <c r="E49" s="748" t="s">
        <v>71</v>
      </c>
      <c r="F49" s="749">
        <f>ITE_LUC_Rates!Q49</f>
        <v>0</v>
      </c>
      <c r="G49" s="749">
        <f>FEE_1_Out!$H65</f>
        <v>7228.1545885779615</v>
      </c>
      <c r="H49" s="749">
        <f>FEE_1_Out!$H65</f>
        <v>7228.1545885779615</v>
      </c>
      <c r="I49" s="749">
        <f>FEE_2_In!$H65</f>
        <v>9075.9040378230329</v>
      </c>
      <c r="J49" s="749">
        <f>FEE_2_Out!$H65</f>
        <v>7913.9960615839509</v>
      </c>
      <c r="K49" s="749">
        <f>FEE_3_In!$H65</f>
        <v>9028.0024352516266</v>
      </c>
      <c r="L49" s="749">
        <f>FEE_3_Out!$H65</f>
        <v>8726.5851102842007</v>
      </c>
      <c r="M49" s="749">
        <f>FEE_4_In!$H65</f>
        <v>8474.5997182045048</v>
      </c>
      <c r="N49" s="749">
        <f>FEE_4_Out!$H65</f>
        <v>9143.5729632925431</v>
      </c>
      <c r="O49" s="752">
        <f t="shared" si="16"/>
        <v>7.2281545885779614</v>
      </c>
      <c r="P49" s="752">
        <f t="shared" si="17"/>
        <v>7.2281545885779614</v>
      </c>
      <c r="Q49" s="752">
        <f t="shared" si="18"/>
        <v>9.0759040378230331</v>
      </c>
      <c r="R49" s="752">
        <f t="shared" si="19"/>
        <v>7.9139960615839513</v>
      </c>
      <c r="S49" s="752">
        <f t="shared" si="20"/>
        <v>9.0280024352516257</v>
      </c>
      <c r="T49" s="752">
        <f t="shared" si="21"/>
        <v>8.7265851102842014</v>
      </c>
      <c r="U49" s="752">
        <f t="shared" si="22"/>
        <v>8.4745997182045052</v>
      </c>
      <c r="V49" s="752">
        <f t="shared" si="23"/>
        <v>9.1435729632925433</v>
      </c>
      <c r="W49" s="20" t="s">
        <v>946</v>
      </c>
    </row>
    <row r="50" spans="1:23" s="744" customFormat="1" x14ac:dyDescent="0.25">
      <c r="A50" s="744" t="s">
        <v>879</v>
      </c>
      <c r="B50" s="745" t="str">
        <f>ITE_LUC_Rates!C50</f>
        <v>Free-standing Emergency Room</v>
      </c>
      <c r="C50" s="746" t="str">
        <f>ITE_LUC_Rates!D50</f>
        <v>1000 GSF</v>
      </c>
      <c r="D50" s="747">
        <f>ITE_LUC_Rates!H50</f>
        <v>24.94</v>
      </c>
      <c r="E50" s="748" t="s">
        <v>71</v>
      </c>
      <c r="F50" s="749">
        <f>ITE_LUC_Rates!Q50</f>
        <v>0</v>
      </c>
      <c r="G50" s="749">
        <f>FEE_1_Out!$H66</f>
        <v>8384.6593227504363</v>
      </c>
      <c r="H50" s="749">
        <f>FEE_1_Out!$H66</f>
        <v>8384.6593227504363</v>
      </c>
      <c r="I50" s="749">
        <f>FEE_2_In!$H66</f>
        <v>10528.04868387472</v>
      </c>
      <c r="J50" s="749">
        <f>FEE_2_Out!$H66</f>
        <v>9180.2354314373824</v>
      </c>
      <c r="K50" s="749">
        <f>FEE_3_In!$H66</f>
        <v>10472.482824891889</v>
      </c>
      <c r="L50" s="749">
        <f>FEE_3_Out!$H66</f>
        <v>10122.838727929673</v>
      </c>
      <c r="M50" s="749">
        <f>FEE_4_In!$H66</f>
        <v>9830.5356731172269</v>
      </c>
      <c r="N50" s="749">
        <f>FEE_4_Out!$H66</f>
        <v>10606.544637419354</v>
      </c>
      <c r="O50" s="752">
        <f t="shared" si="16"/>
        <v>8.3846593227504371</v>
      </c>
      <c r="P50" s="752">
        <f t="shared" si="17"/>
        <v>8.3846593227504371</v>
      </c>
      <c r="Q50" s="752">
        <f t="shared" si="18"/>
        <v>10.52804868387472</v>
      </c>
      <c r="R50" s="752">
        <f t="shared" si="19"/>
        <v>9.1802354314373833</v>
      </c>
      <c r="S50" s="752">
        <f t="shared" si="20"/>
        <v>10.472482824891889</v>
      </c>
      <c r="T50" s="752">
        <f t="shared" si="21"/>
        <v>10.122838727929674</v>
      </c>
      <c r="U50" s="752">
        <f t="shared" si="22"/>
        <v>9.8305356731172271</v>
      </c>
      <c r="V50" s="752">
        <f t="shared" si="23"/>
        <v>10.606544637419354</v>
      </c>
      <c r="W50" s="20" t="s">
        <v>946</v>
      </c>
    </row>
    <row r="51" spans="1:23" s="20" customFormat="1" x14ac:dyDescent="0.25">
      <c r="A51" s="20" t="s">
        <v>880</v>
      </c>
      <c r="B51" s="56" t="str">
        <f>ITE_LUC_Rates!C51</f>
        <v>1 - 50,000</v>
      </c>
      <c r="C51" s="57" t="str">
        <f>ITE_LUC_Rates!D51</f>
        <v>1000 GSF</v>
      </c>
      <c r="D51" s="129">
        <f>ITE_LUC_Rates!H51</f>
        <v>11.061091998412158</v>
      </c>
      <c r="E51" s="58" t="s">
        <v>71</v>
      </c>
      <c r="F51" s="104">
        <f>ITE_LUC_Rates!Q51</f>
        <v>15551.8</v>
      </c>
      <c r="G51" s="104">
        <f>FEE_1_Out!$H68</f>
        <v>12771.068680777847</v>
      </c>
      <c r="H51" s="104">
        <f>FEE_1_Out!$H68</f>
        <v>12771.068680777847</v>
      </c>
      <c r="I51" s="104">
        <f>FEE_2_In!$H68</f>
        <v>16035.765752761858</v>
      </c>
      <c r="J51" s="104">
        <f>FEE_2_Out!$H68</f>
        <v>13982.848042791817</v>
      </c>
      <c r="K51" s="104">
        <f>FEE_3_In!$H68</f>
        <v>15951.130781433842</v>
      </c>
      <c r="L51" s="104">
        <f>FEE_3_Out!$H68</f>
        <v>15418.571424607379</v>
      </c>
      <c r="M51" s="104">
        <f>FEE_4_In!$H68</f>
        <v>14973.350904021416</v>
      </c>
      <c r="N51" s="104">
        <f>FEE_4_Out!$H68</f>
        <v>16155.326628796691</v>
      </c>
      <c r="O51" s="752">
        <f t="shared" si="16"/>
        <v>12.771068680777848</v>
      </c>
      <c r="P51" s="752">
        <f t="shared" si="17"/>
        <v>12.771068680777848</v>
      </c>
      <c r="Q51" s="752">
        <f t="shared" si="18"/>
        <v>16.035765752761858</v>
      </c>
      <c r="R51" s="752">
        <f t="shared" si="19"/>
        <v>13.982848042791817</v>
      </c>
      <c r="S51" s="752">
        <f t="shared" si="20"/>
        <v>15.951130781433841</v>
      </c>
      <c r="T51" s="752">
        <f t="shared" si="21"/>
        <v>15.418571424607379</v>
      </c>
      <c r="U51" s="752">
        <f t="shared" si="22"/>
        <v>14.973350904021416</v>
      </c>
      <c r="V51" s="752">
        <f t="shared" si="23"/>
        <v>16.15532662879669</v>
      </c>
      <c r="W51" s="20" t="s">
        <v>946</v>
      </c>
    </row>
    <row r="52" spans="1:23" s="20" customFormat="1" x14ac:dyDescent="0.25">
      <c r="A52" s="20" t="s">
        <v>881</v>
      </c>
      <c r="B52" s="56" t="str">
        <f>ITE_LUC_Rates!C52</f>
        <v>50,001 - 100,000</v>
      </c>
      <c r="C52" s="57" t="str">
        <f>ITE_LUC_Rates!D52</f>
        <v>1000 GSF</v>
      </c>
      <c r="D52" s="129">
        <f>ITE_LUC_Rates!H52</f>
        <v>10.702478568874675</v>
      </c>
      <c r="E52" s="58" t="s">
        <v>71</v>
      </c>
      <c r="F52" s="104">
        <f>ITE_LUC_Rates!Q52</f>
        <v>13259.2</v>
      </c>
      <c r="G52" s="104">
        <f>FEE_1_Out!$H69</f>
        <v>12357.015824230779</v>
      </c>
      <c r="H52" s="104">
        <f>FEE_1_Out!$H69</f>
        <v>12357.015824230779</v>
      </c>
      <c r="I52" s="104">
        <f>FEE_2_In!$H69</f>
        <v>15515.867631248799</v>
      </c>
      <c r="J52" s="104">
        <f>FEE_2_Out!$H69</f>
        <v>13529.507894093398</v>
      </c>
      <c r="K52" s="104">
        <f>FEE_3_In!$H69</f>
        <v>15433.976623837829</v>
      </c>
      <c r="L52" s="104">
        <f>FEE_3_Out!$H69</f>
        <v>14918.6834589399</v>
      </c>
      <c r="M52" s="104">
        <f>FEE_4_In!$H69</f>
        <v>14487.897503929444</v>
      </c>
      <c r="N52" s="104">
        <f>FEE_4_Out!$H69</f>
        <v>15631.552205034312</v>
      </c>
      <c r="O52" s="752">
        <f t="shared" si="16"/>
        <v>12.357015824230778</v>
      </c>
      <c r="P52" s="752">
        <f t="shared" si="17"/>
        <v>12.357015824230778</v>
      </c>
      <c r="Q52" s="752">
        <f t="shared" si="18"/>
        <v>15.515867631248799</v>
      </c>
      <c r="R52" s="752">
        <f t="shared" si="19"/>
        <v>13.529507894093397</v>
      </c>
      <c r="S52" s="752">
        <f t="shared" si="20"/>
        <v>15.433976623837829</v>
      </c>
      <c r="T52" s="752">
        <f t="shared" si="21"/>
        <v>14.918683458939901</v>
      </c>
      <c r="U52" s="752">
        <f t="shared" si="22"/>
        <v>14.487897503929444</v>
      </c>
      <c r="V52" s="752">
        <f t="shared" si="23"/>
        <v>15.631552205034312</v>
      </c>
      <c r="W52" s="20" t="s">
        <v>946</v>
      </c>
    </row>
    <row r="53" spans="1:23" s="20" customFormat="1" x14ac:dyDescent="0.25">
      <c r="A53" s="20" t="s">
        <v>882</v>
      </c>
      <c r="B53" s="56" t="str">
        <f>ITE_LUC_Rates!C53</f>
        <v>100,001 - 150,000</v>
      </c>
      <c r="C53" s="57" t="str">
        <f>ITE_LUC_Rates!D53</f>
        <v>1000 GSF</v>
      </c>
      <c r="D53" s="129">
        <f>ITE_LUC_Rates!H53</f>
        <v>10.53971589568078</v>
      </c>
      <c r="E53" s="58" t="s">
        <v>71</v>
      </c>
      <c r="F53" s="104">
        <f>ITE_LUC_Rates!Q53</f>
        <v>11306.4</v>
      </c>
      <c r="G53" s="104">
        <f>FEE_1_Out!$H70</f>
        <v>12169.091044441893</v>
      </c>
      <c r="H53" s="104">
        <f>FEE_1_Out!$H70</f>
        <v>12169.091044441893</v>
      </c>
      <c r="I53" s="104">
        <f>FEE_2_In!$H70</f>
        <v>15279.903216432855</v>
      </c>
      <c r="J53" s="104">
        <f>FEE_2_Out!$H70</f>
        <v>13323.751922925676</v>
      </c>
      <c r="K53" s="104">
        <f>FEE_3_In!$H70</f>
        <v>15199.257602711863</v>
      </c>
      <c r="L53" s="104">
        <f>FEE_3_Out!$H70</f>
        <v>14691.800986372062</v>
      </c>
      <c r="M53" s="104">
        <f>FEE_4_In!$H70</f>
        <v>14267.566399174273</v>
      </c>
      <c r="N53" s="104">
        <f>FEE_4_Out!$H70</f>
        <v>15393.828465931436</v>
      </c>
      <c r="O53" s="752">
        <f t="shared" si="16"/>
        <v>12.169091044441894</v>
      </c>
      <c r="P53" s="752">
        <f t="shared" si="17"/>
        <v>12.169091044441894</v>
      </c>
      <c r="Q53" s="752">
        <f t="shared" si="18"/>
        <v>15.279903216432855</v>
      </c>
      <c r="R53" s="752">
        <f t="shared" si="19"/>
        <v>13.323751922925675</v>
      </c>
      <c r="S53" s="752">
        <f t="shared" si="20"/>
        <v>15.199257602711864</v>
      </c>
      <c r="T53" s="752">
        <f t="shared" si="21"/>
        <v>14.691800986372062</v>
      </c>
      <c r="U53" s="752">
        <f t="shared" si="22"/>
        <v>14.267566399174273</v>
      </c>
      <c r="V53" s="752">
        <f t="shared" si="23"/>
        <v>15.393828465931437</v>
      </c>
      <c r="W53" s="20" t="s">
        <v>946</v>
      </c>
    </row>
    <row r="54" spans="1:23" s="20" customFormat="1" x14ac:dyDescent="0.25">
      <c r="A54" s="20" t="s">
        <v>883</v>
      </c>
      <c r="B54" s="56" t="str">
        <f>ITE_LUC_Rates!C54</f>
        <v>150,001 - 200,000</v>
      </c>
      <c r="C54" s="57" t="str">
        <f>ITE_LUC_Rates!D54</f>
        <v>1000 GSF</v>
      </c>
      <c r="D54" s="129">
        <f>ITE_LUC_Rates!H54</f>
        <v>10.433861397564558</v>
      </c>
      <c r="E54" s="58" t="s">
        <v>71</v>
      </c>
      <c r="F54" s="104">
        <f>ITE_LUC_Rates!Q54</f>
        <v>11306.4</v>
      </c>
      <c r="G54" s="104">
        <f>FEE_1_Out!$H71</f>
        <v>12046.872093021399</v>
      </c>
      <c r="H54" s="104">
        <f>FEE_1_Out!$H71</f>
        <v>12046.872093021399</v>
      </c>
      <c r="I54" s="104">
        <f>FEE_2_In!$H71</f>
        <v>15126.441158987571</v>
      </c>
      <c r="J54" s="104">
        <f>FEE_2_Out!$H71</f>
        <v>13189.93625969662</v>
      </c>
      <c r="K54" s="104">
        <f>FEE_3_In!$H71</f>
        <v>15046.605500776781</v>
      </c>
      <c r="L54" s="104">
        <f>FEE_3_Out!$H71</f>
        <v>14544.245470148593</v>
      </c>
      <c r="M54" s="104">
        <f>FEE_4_In!$H71</f>
        <v>14124.271637202235</v>
      </c>
      <c r="N54" s="104">
        <f>FEE_4_Out!$H71</f>
        <v>15239.222212548821</v>
      </c>
      <c r="O54" s="752">
        <f t="shared" si="16"/>
        <v>12.046872093021399</v>
      </c>
      <c r="P54" s="752">
        <f t="shared" si="17"/>
        <v>12.046872093021399</v>
      </c>
      <c r="Q54" s="752">
        <f t="shared" si="18"/>
        <v>15.126441158987571</v>
      </c>
      <c r="R54" s="752">
        <f t="shared" si="19"/>
        <v>13.189936259696621</v>
      </c>
      <c r="S54" s="752">
        <f t="shared" si="20"/>
        <v>15.046605500776781</v>
      </c>
      <c r="T54" s="752">
        <f t="shared" si="21"/>
        <v>14.544245470148594</v>
      </c>
      <c r="U54" s="752">
        <f t="shared" si="22"/>
        <v>14.124271637202234</v>
      </c>
      <c r="V54" s="752">
        <f t="shared" si="23"/>
        <v>15.239222212548821</v>
      </c>
      <c r="W54" s="20" t="s">
        <v>946</v>
      </c>
    </row>
    <row r="55" spans="1:23" s="20" customFormat="1" x14ac:dyDescent="0.25">
      <c r="A55" s="20" t="s">
        <v>884</v>
      </c>
      <c r="B55" s="56" t="str">
        <f>ITE_LUC_Rates!C55</f>
        <v>200,001 - 300,000</v>
      </c>
      <c r="C55" s="57" t="str">
        <f>ITE_LUC_Rates!D55</f>
        <v>1000 GSF</v>
      </c>
      <c r="D55" s="129">
        <f>ITE_LUC_Rates!H55</f>
        <v>10.322811679029327</v>
      </c>
      <c r="E55" s="58" t="s">
        <v>71</v>
      </c>
      <c r="F55" s="104">
        <f>ITE_LUC_Rates!Q55</f>
        <v>10298.9</v>
      </c>
      <c r="G55" s="104">
        <f>FEE_1_Out!$H72</f>
        <v>11918.654772109678</v>
      </c>
      <c r="H55" s="104">
        <f>FEE_1_Out!$H72</f>
        <v>11918.654772109678</v>
      </c>
      <c r="I55" s="104">
        <f>FEE_2_In!$H72</f>
        <v>14965.447355338099</v>
      </c>
      <c r="J55" s="104">
        <f>FEE_2_Out!$H72</f>
        <v>13049.553073326246</v>
      </c>
      <c r="K55" s="104">
        <f>FEE_3_In!$H72</f>
        <v>14886.461404348402</v>
      </c>
      <c r="L55" s="104">
        <f>FEE_3_Out!$H72</f>
        <v>14389.44809416042</v>
      </c>
      <c r="M55" s="104">
        <f>FEE_4_In!$H72</f>
        <v>13973.944128520496</v>
      </c>
      <c r="N55" s="104">
        <f>FEE_4_Out!$H72</f>
        <v>15077.028057104661</v>
      </c>
      <c r="O55" s="752">
        <f t="shared" si="16"/>
        <v>11.918654772109678</v>
      </c>
      <c r="P55" s="752">
        <f t="shared" si="17"/>
        <v>11.918654772109678</v>
      </c>
      <c r="Q55" s="752">
        <f t="shared" si="18"/>
        <v>14.9654473553381</v>
      </c>
      <c r="R55" s="752">
        <f t="shared" si="19"/>
        <v>13.049553073326246</v>
      </c>
      <c r="S55" s="752">
        <f t="shared" si="20"/>
        <v>14.886461404348402</v>
      </c>
      <c r="T55" s="752">
        <f t="shared" si="21"/>
        <v>14.38944809416042</v>
      </c>
      <c r="U55" s="752">
        <f t="shared" si="22"/>
        <v>13.973944128520495</v>
      </c>
      <c r="V55" s="752">
        <f t="shared" si="23"/>
        <v>15.077028057104661</v>
      </c>
      <c r="W55" s="20" t="s">
        <v>946</v>
      </c>
    </row>
    <row r="56" spans="1:23" s="20" customFormat="1" x14ac:dyDescent="0.25">
      <c r="A56" s="20" t="s">
        <v>885</v>
      </c>
      <c r="B56" s="56" t="str">
        <f>ITE_LUC_Rates!C56</f>
        <v>300,001 - 400,000</v>
      </c>
      <c r="C56" s="57" t="str">
        <f>ITE_LUC_Rates!D56</f>
        <v>1000 GSF</v>
      </c>
      <c r="D56" s="129">
        <f>ITE_LUC_Rates!H56</f>
        <v>10.21913563498342</v>
      </c>
      <c r="E56" s="58" t="s">
        <v>71</v>
      </c>
      <c r="F56" s="104">
        <f>ITE_LUC_Rates!Q56</f>
        <v>9639.5</v>
      </c>
      <c r="G56" s="104">
        <f>FEE_1_Out!$H73</f>
        <v>11798.951050338654</v>
      </c>
      <c r="H56" s="104">
        <f>FEE_1_Out!$H73</f>
        <v>11798.951050338654</v>
      </c>
      <c r="I56" s="104">
        <f>FEE_2_In!$H73</f>
        <v>14815.143501366734</v>
      </c>
      <c r="J56" s="104">
        <f>FEE_2_Out!$H73</f>
        <v>12918.49129662465</v>
      </c>
      <c r="K56" s="104">
        <f>FEE_3_In!$H73</f>
        <v>14736.950837243872</v>
      </c>
      <c r="L56" s="104">
        <f>FEE_3_Out!$H73</f>
        <v>14244.929226550243</v>
      </c>
      <c r="M56" s="104">
        <f>FEE_4_In!$H73</f>
        <v>13833.598330107196</v>
      </c>
      <c r="N56" s="104">
        <f>FEE_4_Out!$H73</f>
        <v>14925.60355440786</v>
      </c>
      <c r="O56" s="752">
        <f t="shared" si="16"/>
        <v>11.798951050338653</v>
      </c>
      <c r="P56" s="752">
        <f t="shared" si="17"/>
        <v>11.798951050338653</v>
      </c>
      <c r="Q56" s="752">
        <f t="shared" si="18"/>
        <v>14.815143501366734</v>
      </c>
      <c r="R56" s="752">
        <f t="shared" si="19"/>
        <v>12.91849129662465</v>
      </c>
      <c r="S56" s="752">
        <f t="shared" si="20"/>
        <v>14.736950837243873</v>
      </c>
      <c r="T56" s="752">
        <f t="shared" si="21"/>
        <v>14.244929226550243</v>
      </c>
      <c r="U56" s="752">
        <f t="shared" si="22"/>
        <v>13.833598330107195</v>
      </c>
      <c r="V56" s="752">
        <f t="shared" si="23"/>
        <v>14.925603554407861</v>
      </c>
      <c r="W56" s="20" t="s">
        <v>946</v>
      </c>
    </row>
    <row r="57" spans="1:23" s="20" customFormat="1" x14ac:dyDescent="0.25">
      <c r="A57" s="20" t="s">
        <v>886</v>
      </c>
      <c r="B57" s="56" t="str">
        <f>ITE_LUC_Rates!C57</f>
        <v>400,001 - 500,000</v>
      </c>
      <c r="C57" s="57" t="str">
        <f>ITE_LUC_Rates!D57</f>
        <v>1000 GSF</v>
      </c>
      <c r="D57" s="129">
        <f>ITE_LUC_Rates!H57</f>
        <v>10.142378862949085</v>
      </c>
      <c r="E57" s="58" t="s">
        <v>71</v>
      </c>
      <c r="F57" s="104">
        <f>ITE_LUC_Rates!Q57</f>
        <v>9156.7999999999993</v>
      </c>
      <c r="G57" s="104">
        <f>FEE_1_Out!$H74</f>
        <v>11710.328154199104</v>
      </c>
      <c r="H57" s="104">
        <f>FEE_1_Out!$H74</f>
        <v>11710.328154199104</v>
      </c>
      <c r="I57" s="104">
        <f>FEE_2_In!$H74</f>
        <v>14703.865734537074</v>
      </c>
      <c r="J57" s="104">
        <f>FEE_2_Out!$H74</f>
        <v>12821.459441201569</v>
      </c>
      <c r="K57" s="104">
        <f>FEE_3_In!$H74</f>
        <v>14626.260381974527</v>
      </c>
      <c r="L57" s="104">
        <f>FEE_3_Out!$H74</f>
        <v>14137.934386248435</v>
      </c>
      <c r="M57" s="104">
        <f>FEE_4_In!$H74</f>
        <v>13729.693030151722</v>
      </c>
      <c r="N57" s="104">
        <f>FEE_4_Out!$H74</f>
        <v>14813.496112993867</v>
      </c>
      <c r="O57" s="752">
        <f t="shared" si="16"/>
        <v>11.710328154199104</v>
      </c>
      <c r="P57" s="752">
        <f t="shared" si="17"/>
        <v>11.710328154199104</v>
      </c>
      <c r="Q57" s="752">
        <f t="shared" si="18"/>
        <v>14.703865734537073</v>
      </c>
      <c r="R57" s="752">
        <f t="shared" si="19"/>
        <v>12.821459441201569</v>
      </c>
      <c r="S57" s="752">
        <f t="shared" si="20"/>
        <v>14.626260381974527</v>
      </c>
      <c r="T57" s="752">
        <f t="shared" si="21"/>
        <v>14.137934386248435</v>
      </c>
      <c r="U57" s="752">
        <f t="shared" si="22"/>
        <v>13.729693030151722</v>
      </c>
      <c r="V57" s="752">
        <f t="shared" si="23"/>
        <v>14.813496112993867</v>
      </c>
      <c r="W57" s="20" t="s">
        <v>946</v>
      </c>
    </row>
    <row r="58" spans="1:23" s="20" customFormat="1" x14ac:dyDescent="0.25">
      <c r="A58" s="20" t="s">
        <v>887</v>
      </c>
      <c r="B58" s="56" t="str">
        <f>ITE_LUC_Rates!C58</f>
        <v>500,001 - 600,000</v>
      </c>
      <c r="C58" s="57" t="str">
        <f>ITE_LUC_Rates!D58</f>
        <v>1000 GSF</v>
      </c>
      <c r="D58" s="129">
        <f>ITE_LUC_Rates!H58</f>
        <v>10.081503937403301</v>
      </c>
      <c r="E58" s="58" t="s">
        <v>71</v>
      </c>
      <c r="F58" s="104">
        <f>ITE_LUC_Rates!Q58</f>
        <v>8781.7000000000007</v>
      </c>
      <c r="G58" s="104">
        <f>FEE_1_Out!$H75</f>
        <v>11640.042340176937</v>
      </c>
      <c r="H58" s="104">
        <f>FEE_1_Out!$H75</f>
        <v>11640.042340176937</v>
      </c>
      <c r="I58" s="104">
        <f>FEE_2_In!$H75</f>
        <v>14615.612599456996</v>
      </c>
      <c r="J58" s="104">
        <f>FEE_2_Out!$H75</f>
        <v>12744.504576921881</v>
      </c>
      <c r="K58" s="104">
        <f>FEE_3_In!$H75</f>
        <v>14538.473037033335</v>
      </c>
      <c r="L58" s="104">
        <f>FEE_3_Out!$H75</f>
        <v>14053.077991632959</v>
      </c>
      <c r="M58" s="104">
        <f>FEE_4_In!$H75</f>
        <v>13647.286914952239</v>
      </c>
      <c r="N58" s="104">
        <f>FEE_4_Out!$H75</f>
        <v>14724.584972408742</v>
      </c>
      <c r="O58" s="752">
        <f t="shared" si="16"/>
        <v>11.640042340176937</v>
      </c>
      <c r="P58" s="752">
        <f t="shared" si="17"/>
        <v>11.640042340176937</v>
      </c>
      <c r="Q58" s="752">
        <f t="shared" si="18"/>
        <v>14.615612599456997</v>
      </c>
      <c r="R58" s="752">
        <f t="shared" si="19"/>
        <v>12.744504576921882</v>
      </c>
      <c r="S58" s="752">
        <f t="shared" si="20"/>
        <v>14.538473037033334</v>
      </c>
      <c r="T58" s="752">
        <f t="shared" si="21"/>
        <v>14.053077991632959</v>
      </c>
      <c r="U58" s="752">
        <f t="shared" si="22"/>
        <v>13.64728691495224</v>
      </c>
      <c r="V58" s="752">
        <f t="shared" si="23"/>
        <v>14.724584972408742</v>
      </c>
      <c r="W58" s="20" t="s">
        <v>946</v>
      </c>
    </row>
    <row r="59" spans="1:23" s="20" customFormat="1" x14ac:dyDescent="0.25">
      <c r="A59" s="20" t="s">
        <v>888</v>
      </c>
      <c r="B59" s="56" t="str">
        <f>ITE_LUC_Rates!C59</f>
        <v>600,001 - 700,000</v>
      </c>
      <c r="C59" s="57" t="str">
        <f>ITE_LUC_Rates!D59</f>
        <v>1000 GSF</v>
      </c>
      <c r="D59" s="129">
        <f>ITE_LUC_Rates!H59</f>
        <v>10.031105639143441</v>
      </c>
      <c r="E59" s="58" t="s">
        <v>71</v>
      </c>
      <c r="F59" s="104">
        <f>ITE_LUC_Rates!Q59</f>
        <v>8475.6</v>
      </c>
      <c r="G59" s="104">
        <f>FEE_1_Out!$H76</f>
        <v>11581.852775479039</v>
      </c>
      <c r="H59" s="104">
        <f>FEE_1_Out!$H76</f>
        <v>11581.852775479039</v>
      </c>
      <c r="I59" s="104">
        <f>FEE_2_In!$H76</f>
        <v>14542.54790518007</v>
      </c>
      <c r="J59" s="104">
        <f>FEE_2_Out!$H76</f>
        <v>12680.793711278226</v>
      </c>
      <c r="K59" s="104">
        <f>FEE_3_In!$H76</f>
        <v>14465.79397000992</v>
      </c>
      <c r="L59" s="104">
        <f>FEE_3_Out!$H76</f>
        <v>13982.825455851696</v>
      </c>
      <c r="M59" s="104">
        <f>FEE_4_In!$H76</f>
        <v>13579.062963382292</v>
      </c>
      <c r="N59" s="104">
        <f>FEE_4_Out!$H76</f>
        <v>14650.975515942742</v>
      </c>
      <c r="O59" s="752">
        <f t="shared" si="16"/>
        <v>11.581852775479039</v>
      </c>
      <c r="P59" s="752">
        <f t="shared" si="17"/>
        <v>11.581852775479039</v>
      </c>
      <c r="Q59" s="752">
        <f t="shared" si="18"/>
        <v>14.54254790518007</v>
      </c>
      <c r="R59" s="752">
        <f t="shared" si="19"/>
        <v>12.680793711278225</v>
      </c>
      <c r="S59" s="752">
        <f t="shared" si="20"/>
        <v>14.465793970009919</v>
      </c>
      <c r="T59" s="752">
        <f t="shared" si="21"/>
        <v>13.982825455851696</v>
      </c>
      <c r="U59" s="752">
        <f t="shared" si="22"/>
        <v>13.579062963382292</v>
      </c>
      <c r="V59" s="752">
        <f t="shared" si="23"/>
        <v>14.650975515942742</v>
      </c>
      <c r="W59" s="20" t="s">
        <v>946</v>
      </c>
    </row>
    <row r="60" spans="1:23" s="20" customFormat="1" x14ac:dyDescent="0.25">
      <c r="A60" s="20" t="s">
        <v>889</v>
      </c>
      <c r="B60" s="56" t="str">
        <f>ITE_LUC_Rates!C60</f>
        <v>700,001 - more</v>
      </c>
      <c r="C60" s="57" t="str">
        <f>ITE_LUC_Rates!D60</f>
        <v>1000 GSF</v>
      </c>
      <c r="D60" s="129">
        <f>ITE_LUC_Rates!H60</f>
        <v>9.9688142805499087</v>
      </c>
      <c r="E60" s="58" t="s">
        <v>71</v>
      </c>
      <c r="F60" s="104">
        <f>ITE_LUC_Rates!Q60</f>
        <v>8218.2999999999993</v>
      </c>
      <c r="G60" s="104">
        <f>FEE_1_Out!$H77</f>
        <v>11509.93155658572</v>
      </c>
      <c r="H60" s="104">
        <f>FEE_1_Out!$H77</f>
        <v>11509.93155658572</v>
      </c>
      <c r="I60" s="104">
        <f>FEE_2_In!$H77</f>
        <v>14452.241302995535</v>
      </c>
      <c r="J60" s="104">
        <f>FEE_2_Out!$H77</f>
        <v>12602.048267183065</v>
      </c>
      <c r="K60" s="104">
        <f>FEE_3_In!$H77</f>
        <v>14375.963995933107</v>
      </c>
      <c r="L60" s="104">
        <f>FEE_3_Out!$H77</f>
        <v>13895.994629225526</v>
      </c>
      <c r="M60" s="104">
        <f>FEE_4_In!$H77</f>
        <v>13494.739429083593</v>
      </c>
      <c r="N60" s="104">
        <f>FEE_4_Out!$H77</f>
        <v>14559.995597832083</v>
      </c>
      <c r="O60" s="752">
        <f t="shared" si="16"/>
        <v>11.50993155658572</v>
      </c>
      <c r="P60" s="752">
        <f t="shared" si="17"/>
        <v>11.50993155658572</v>
      </c>
      <c r="Q60" s="752">
        <f t="shared" si="18"/>
        <v>14.452241302995535</v>
      </c>
      <c r="R60" s="752">
        <f t="shared" si="19"/>
        <v>12.602048267183065</v>
      </c>
      <c r="S60" s="752">
        <f t="shared" si="20"/>
        <v>14.375963995933107</v>
      </c>
      <c r="T60" s="752">
        <f t="shared" si="21"/>
        <v>13.895994629225527</v>
      </c>
      <c r="U60" s="752">
        <f t="shared" si="22"/>
        <v>13.494739429083593</v>
      </c>
      <c r="V60" s="752">
        <f t="shared" si="23"/>
        <v>14.559995597832083</v>
      </c>
      <c r="W60" s="20" t="s">
        <v>946</v>
      </c>
    </row>
    <row r="61" spans="1:23" s="20" customFormat="1" x14ac:dyDescent="0.25">
      <c r="A61" s="20" t="s">
        <v>890</v>
      </c>
      <c r="B61" s="135" t="str">
        <f>ITE_LUC_Rates!C61</f>
        <v>Small Office Building</v>
      </c>
      <c r="C61" s="232" t="str">
        <f>ITE_LUC_Rates!D61</f>
        <v>1000 GSF</v>
      </c>
      <c r="D61" s="233">
        <f>ITE_LUC_Rates!H61</f>
        <v>16.190000000000001</v>
      </c>
      <c r="E61" s="136" t="s">
        <v>71</v>
      </c>
      <c r="F61" s="137">
        <f>ITE_LUC_Rates!Q61</f>
        <v>0</v>
      </c>
      <c r="G61" s="104">
        <f>FEE_1_Out!$H78</f>
        <v>18692.874263361584</v>
      </c>
      <c r="H61" s="104">
        <f>FEE_1_Out!$H78</f>
        <v>18692.874263361584</v>
      </c>
      <c r="I61" s="104">
        <f>FEE_2_In!$H78</f>
        <v>23471.375843766906</v>
      </c>
      <c r="J61" s="104">
        <f>FEE_2_Out!$H78</f>
        <v>20466.542529914514</v>
      </c>
      <c r="K61" s="104">
        <f>FEE_3_In!$H78</f>
        <v>23347.496557165072</v>
      </c>
      <c r="L61" s="104">
        <f>FEE_3_Out!$H78</f>
        <v>22567.995221468904</v>
      </c>
      <c r="M61" s="104">
        <f>FEE_4_In!$H78</f>
        <v>21916.330790025651</v>
      </c>
      <c r="N61" s="104">
        <f>FEE_4_Out!$H78</f>
        <v>23646.375797051969</v>
      </c>
      <c r="O61" s="752">
        <f t="shared" si="16"/>
        <v>18.692874263361585</v>
      </c>
      <c r="P61" s="752">
        <f t="shared" si="17"/>
        <v>18.692874263361585</v>
      </c>
      <c r="Q61" s="752">
        <f t="shared" si="18"/>
        <v>23.471375843766907</v>
      </c>
      <c r="R61" s="752">
        <f t="shared" si="19"/>
        <v>20.466542529914513</v>
      </c>
      <c r="S61" s="752">
        <f t="shared" si="20"/>
        <v>23.347496557165073</v>
      </c>
      <c r="T61" s="752">
        <f t="shared" si="21"/>
        <v>22.567995221468905</v>
      </c>
      <c r="U61" s="752">
        <f t="shared" si="22"/>
        <v>21.916330790025651</v>
      </c>
      <c r="V61" s="752">
        <f t="shared" si="23"/>
        <v>23.64637579705197</v>
      </c>
      <c r="W61" s="20" t="s">
        <v>946</v>
      </c>
    </row>
    <row r="62" spans="1:23" s="20" customFormat="1" x14ac:dyDescent="0.25">
      <c r="A62" s="20" t="s">
        <v>891</v>
      </c>
      <c r="B62" s="135" t="str">
        <f>ITE_LUC_Rates!C62</f>
        <v>Corporate Headquarters Buildings</v>
      </c>
      <c r="C62" s="232" t="str">
        <f>ITE_LUC_Rates!D62</f>
        <v>1000 GSF</v>
      </c>
      <c r="D62" s="233">
        <f>ITE_LUC_Rates!H62</f>
        <v>7.95</v>
      </c>
      <c r="E62" s="136" t="s">
        <v>71</v>
      </c>
      <c r="F62" s="137">
        <f>ITE_LUC_Rates!Q62</f>
        <v>0</v>
      </c>
      <c r="G62" s="104">
        <f>FEE_1_Out!$H79</f>
        <v>9179.0210249366628</v>
      </c>
      <c r="H62" s="104">
        <f>FEE_1_Out!$H79</f>
        <v>9179.0210249366628</v>
      </c>
      <c r="I62" s="104">
        <f>FEE_2_In!$H79</f>
        <v>11525.474858427851</v>
      </c>
      <c r="J62" s="104">
        <f>FEE_2_Out!$H79</f>
        <v>10049.969926672044</v>
      </c>
      <c r="K62" s="104">
        <f>FEE_3_In!$H79</f>
        <v>11464.6446960755</v>
      </c>
      <c r="L62" s="104">
        <f>FEE_3_Out!$H79</f>
        <v>11081.875355817034</v>
      </c>
      <c r="M62" s="104">
        <f>FEE_4_In!$H79</f>
        <v>10761.879541735882</v>
      </c>
      <c r="N62" s="104">
        <f>FEE_4_Out!$H79</f>
        <v>11611.407509979197</v>
      </c>
      <c r="O62" s="752">
        <f t="shared" si="16"/>
        <v>9.1790210249366631</v>
      </c>
      <c r="P62" s="752">
        <f t="shared" si="17"/>
        <v>9.1790210249366631</v>
      </c>
      <c r="Q62" s="752">
        <f t="shared" si="18"/>
        <v>11.525474858427851</v>
      </c>
      <c r="R62" s="752">
        <f t="shared" si="19"/>
        <v>10.049969926672043</v>
      </c>
      <c r="S62" s="752">
        <f t="shared" si="20"/>
        <v>11.464644696075499</v>
      </c>
      <c r="T62" s="752">
        <f t="shared" si="21"/>
        <v>11.081875355817035</v>
      </c>
      <c r="U62" s="752">
        <f t="shared" si="22"/>
        <v>10.761879541735881</v>
      </c>
      <c r="V62" s="752">
        <f t="shared" si="23"/>
        <v>11.611407509979196</v>
      </c>
      <c r="W62" s="20" t="s">
        <v>946</v>
      </c>
    </row>
    <row r="63" spans="1:23" s="20" customFormat="1" x14ac:dyDescent="0.25">
      <c r="A63" s="20" t="s">
        <v>892</v>
      </c>
      <c r="B63" s="135" t="str">
        <f>ITE_LUC_Rates!C63</f>
        <v>Single Tenant Office Building</v>
      </c>
      <c r="C63" s="232" t="str">
        <f>ITE_LUC_Rates!D63</f>
        <v>1000 GSF</v>
      </c>
      <c r="D63" s="233">
        <f>ITE_LUC_Rates!H63</f>
        <v>11.25</v>
      </c>
      <c r="E63" s="136" t="s">
        <v>71</v>
      </c>
      <c r="F63" s="137">
        <f>ITE_LUC_Rates!Q63</f>
        <v>0</v>
      </c>
      <c r="G63" s="104">
        <f>FEE_1_Out!$H80</f>
        <v>12989.180695665093</v>
      </c>
      <c r="H63" s="104">
        <f>FEE_1_Out!$H80</f>
        <v>12989.180695665093</v>
      </c>
      <c r="I63" s="104">
        <f>FEE_2_In!$H80</f>
        <v>16309.634233624314</v>
      </c>
      <c r="J63" s="104">
        <f>FEE_2_Out!$H80</f>
        <v>14221.655556611378</v>
      </c>
      <c r="K63" s="104">
        <f>FEE_3_In!$H80</f>
        <v>16223.553815201176</v>
      </c>
      <c r="L63" s="104">
        <f>FEE_3_Out!$H80</f>
        <v>15681.89908842033</v>
      </c>
      <c r="M63" s="104">
        <f>FEE_4_In!$H80</f>
        <v>15229.074823211151</v>
      </c>
      <c r="N63" s="104">
        <f>FEE_4_Out!$H80</f>
        <v>16431.237042423389</v>
      </c>
      <c r="O63" s="752">
        <f t="shared" si="16"/>
        <v>12.989180695665093</v>
      </c>
      <c r="P63" s="752">
        <f t="shared" si="17"/>
        <v>12.989180695665093</v>
      </c>
      <c r="Q63" s="752">
        <f t="shared" si="18"/>
        <v>16.309634233624315</v>
      </c>
      <c r="R63" s="752">
        <f t="shared" si="19"/>
        <v>14.221655556611378</v>
      </c>
      <c r="S63" s="752">
        <f t="shared" si="20"/>
        <v>16.223553815201175</v>
      </c>
      <c r="T63" s="752">
        <f t="shared" si="21"/>
        <v>15.68189908842033</v>
      </c>
      <c r="U63" s="752">
        <f t="shared" si="22"/>
        <v>15.229074823211151</v>
      </c>
      <c r="V63" s="752">
        <f t="shared" si="23"/>
        <v>16.431237042423387</v>
      </c>
      <c r="W63" s="20" t="s">
        <v>946</v>
      </c>
    </row>
    <row r="64" spans="1:23" s="20" customFormat="1" x14ac:dyDescent="0.25">
      <c r="A64" s="20" t="s">
        <v>893</v>
      </c>
      <c r="B64" s="56" t="str">
        <f>ITE_LUC_Rates!C64</f>
        <v>Medical Office Building</v>
      </c>
      <c r="C64" s="57" t="str">
        <f>ITE_LUC_Rates!D64</f>
        <v>1000 GSF</v>
      </c>
      <c r="D64" s="129">
        <f>ITE_LUC_Rates!H64</f>
        <v>34.799999999999997</v>
      </c>
      <c r="E64" s="58" t="s">
        <v>71</v>
      </c>
      <c r="F64" s="104">
        <f>ITE_LUC_Rates!Q64</f>
        <v>35910.699999999997</v>
      </c>
      <c r="G64" s="104">
        <f>FEE_1_Out!$H81</f>
        <v>11699.524636395952</v>
      </c>
      <c r="H64" s="104">
        <f>FEE_1_Out!$H81</f>
        <v>11699.524636395952</v>
      </c>
      <c r="I64" s="104">
        <f>FEE_2_In!$H81</f>
        <v>14690.300489127512</v>
      </c>
      <c r="J64" s="104">
        <f>FEE_2_Out!$H81</f>
        <v>12809.630834563786</v>
      </c>
      <c r="K64" s="104">
        <f>FEE_3_In!$H81</f>
        <v>14612.766732407286</v>
      </c>
      <c r="L64" s="104">
        <f>FEE_3_Out!$H81</f>
        <v>14124.89124827396</v>
      </c>
      <c r="M64" s="104">
        <f>FEE_4_In!$H81</f>
        <v>13717.026520628688</v>
      </c>
      <c r="N64" s="104">
        <f>FEE_4_Out!$H81</f>
        <v>14799.829726631653</v>
      </c>
      <c r="O64" s="752">
        <f t="shared" si="16"/>
        <v>11.699524636395953</v>
      </c>
      <c r="P64" s="752">
        <f t="shared" si="17"/>
        <v>11.699524636395953</v>
      </c>
      <c r="Q64" s="752">
        <f t="shared" si="18"/>
        <v>14.690300489127512</v>
      </c>
      <c r="R64" s="752">
        <f t="shared" si="19"/>
        <v>12.809630834563785</v>
      </c>
      <c r="S64" s="752">
        <f t="shared" si="20"/>
        <v>14.612766732407286</v>
      </c>
      <c r="T64" s="752">
        <f t="shared" si="21"/>
        <v>14.124891248273959</v>
      </c>
      <c r="U64" s="752">
        <f t="shared" si="22"/>
        <v>13.717026520628687</v>
      </c>
      <c r="V64" s="752">
        <f t="shared" si="23"/>
        <v>14.799829726631653</v>
      </c>
      <c r="W64" s="20" t="s">
        <v>946</v>
      </c>
    </row>
    <row r="65" spans="1:23" s="20" customFormat="1" x14ac:dyDescent="0.25">
      <c r="A65" s="20" t="s">
        <v>894</v>
      </c>
      <c r="B65" s="135" t="str">
        <f>ITE_LUC_Rates!C65</f>
        <v>Government Office Building</v>
      </c>
      <c r="C65" s="232" t="str">
        <f>ITE_LUC_Rates!D65</f>
        <v>1000 GSF</v>
      </c>
      <c r="D65" s="233">
        <f>ITE_LUC_Rates!H65</f>
        <v>22.59</v>
      </c>
      <c r="E65" s="136" t="s">
        <v>71</v>
      </c>
      <c r="F65" s="137">
        <f>ITE_LUC_Rates!Q65</f>
        <v>0</v>
      </c>
      <c r="G65" s="104">
        <f>FEE_1_Out!$H82</f>
        <v>26082.274836895496</v>
      </c>
      <c r="H65" s="104">
        <f>FEE_1_Out!$H82</f>
        <v>26082.274836895496</v>
      </c>
      <c r="I65" s="104">
        <f>FEE_2_In!$H82</f>
        <v>32749.745541117623</v>
      </c>
      <c r="J65" s="104">
        <f>FEE_2_Out!$H82</f>
        <v>28557.084357675649</v>
      </c>
      <c r="K65" s="104">
        <f>FEE_3_In!$H82</f>
        <v>32576.896060923966</v>
      </c>
      <c r="L65" s="104">
        <f>FEE_3_Out!$H82</f>
        <v>31489.253369548016</v>
      </c>
      <c r="M65" s="104">
        <f>FEE_4_In!$H82</f>
        <v>30579.982245007992</v>
      </c>
      <c r="N65" s="104">
        <f>FEE_4_Out!$H82</f>
        <v>32993.923981186163</v>
      </c>
      <c r="O65" s="752">
        <f t="shared" si="16"/>
        <v>26.082274836895497</v>
      </c>
      <c r="P65" s="752">
        <f t="shared" si="17"/>
        <v>26.082274836895497</v>
      </c>
      <c r="Q65" s="752">
        <f t="shared" si="18"/>
        <v>32.749745541117626</v>
      </c>
      <c r="R65" s="752">
        <f t="shared" si="19"/>
        <v>28.557084357675649</v>
      </c>
      <c r="S65" s="752">
        <f t="shared" si="20"/>
        <v>32.576896060923964</v>
      </c>
      <c r="T65" s="752">
        <f t="shared" si="21"/>
        <v>31.489253369548017</v>
      </c>
      <c r="U65" s="752">
        <f t="shared" si="22"/>
        <v>30.57998224500799</v>
      </c>
      <c r="V65" s="752">
        <f t="shared" si="23"/>
        <v>32.993923981186164</v>
      </c>
      <c r="W65" s="20" t="s">
        <v>946</v>
      </c>
    </row>
    <row r="66" spans="1:23" s="20" customFormat="1" x14ac:dyDescent="0.25">
      <c r="A66" s="20" t="s">
        <v>895</v>
      </c>
      <c r="B66" s="135" t="str">
        <f>ITE_LUC_Rates!C66</f>
        <v>State Motor Vehicles Department</v>
      </c>
      <c r="C66" s="232" t="str">
        <f>ITE_LUC_Rates!D66</f>
        <v>1000 GSF</v>
      </c>
      <c r="D66" s="233">
        <f>ITE_LUC_Rates!H66</f>
        <v>11.21</v>
      </c>
      <c r="E66" s="136" t="s">
        <v>71</v>
      </c>
      <c r="F66" s="137">
        <f>ITE_LUC_Rates!Q66</f>
        <v>0</v>
      </c>
      <c r="G66" s="104">
        <f>FEE_1_Out!$H83</f>
        <v>3768.7261831608807</v>
      </c>
      <c r="H66" s="104">
        <f>FEE_1_Out!$H83</f>
        <v>3768.7261831608807</v>
      </c>
      <c r="I66" s="104">
        <f>FEE_2_In!$H83</f>
        <v>4732.134151813777</v>
      </c>
      <c r="J66" s="104">
        <f>FEE_2_Out!$H83</f>
        <v>4126.3207372258639</v>
      </c>
      <c r="K66" s="104">
        <f>FEE_3_In!$H83</f>
        <v>4707.158479031199</v>
      </c>
      <c r="L66" s="104">
        <f>FEE_3_Out!$H83</f>
        <v>4550.000887734227</v>
      </c>
      <c r="M66" s="104">
        <f>FEE_4_In!$H83</f>
        <v>4418.6168763289543</v>
      </c>
      <c r="N66" s="104">
        <f>FEE_4_Out!$H83</f>
        <v>4767.4164148143927</v>
      </c>
      <c r="O66" s="752">
        <f t="shared" si="16"/>
        <v>3.7687261831608807</v>
      </c>
      <c r="P66" s="752">
        <f t="shared" si="17"/>
        <v>3.7687261831608807</v>
      </c>
      <c r="Q66" s="752">
        <f t="shared" si="18"/>
        <v>4.7321341518137769</v>
      </c>
      <c r="R66" s="752">
        <f t="shared" si="19"/>
        <v>4.1263207372258641</v>
      </c>
      <c r="S66" s="752">
        <f t="shared" si="20"/>
        <v>4.7071584790311993</v>
      </c>
      <c r="T66" s="752">
        <f t="shared" si="21"/>
        <v>4.5500008877342273</v>
      </c>
      <c r="U66" s="752">
        <f t="shared" si="22"/>
        <v>4.4186168763289544</v>
      </c>
      <c r="V66" s="752">
        <f t="shared" si="23"/>
        <v>4.7674164148143925</v>
      </c>
      <c r="W66" s="20" t="s">
        <v>946</v>
      </c>
    </row>
    <row r="67" spans="1:23" s="20" customFormat="1" x14ac:dyDescent="0.25">
      <c r="A67" s="20" t="s">
        <v>896</v>
      </c>
      <c r="B67" s="135" t="str">
        <f>ITE_LUC_Rates!C67</f>
        <v>Government Office Complex</v>
      </c>
      <c r="C67" s="232" t="str">
        <f>ITE_LUC_Rates!D67</f>
        <v>1000 GSF</v>
      </c>
      <c r="D67" s="233">
        <f>ITE_LUC_Rates!H67</f>
        <v>33.979999999999997</v>
      </c>
      <c r="E67" s="136" t="s">
        <v>71</v>
      </c>
      <c r="F67" s="137">
        <f>ITE_LUC_Rates!Q67</f>
        <v>0</v>
      </c>
      <c r="G67" s="104">
        <f>FEE_1_Out!$H84</f>
        <v>39233.098670106643</v>
      </c>
      <c r="H67" s="104">
        <f>FEE_1_Out!$H84</f>
        <v>39233.098670106643</v>
      </c>
      <c r="I67" s="104">
        <f>FEE_2_In!$H84</f>
        <v>49262.344111871491</v>
      </c>
      <c r="J67" s="104">
        <f>FEE_2_Out!$H84</f>
        <v>42955.72051676931</v>
      </c>
      <c r="K67" s="104">
        <f>FEE_3_In!$H84</f>
        <v>49002.342990269863</v>
      </c>
      <c r="L67" s="104">
        <f>FEE_3_Out!$H84</f>
        <v>47366.304979957582</v>
      </c>
      <c r="M67" s="104">
        <f>FEE_4_In!$H84</f>
        <v>45998.574443796882</v>
      </c>
      <c r="N67" s="104">
        <f>FEE_4_Out!$H84</f>
        <v>49629.638640137491</v>
      </c>
      <c r="O67" s="752">
        <f t="shared" si="16"/>
        <v>39.233098670106642</v>
      </c>
      <c r="P67" s="752">
        <f t="shared" si="17"/>
        <v>39.233098670106642</v>
      </c>
      <c r="Q67" s="752">
        <f t="shared" si="18"/>
        <v>49.262344111871492</v>
      </c>
      <c r="R67" s="752">
        <f t="shared" si="19"/>
        <v>42.955720516769311</v>
      </c>
      <c r="S67" s="752">
        <f t="shared" si="20"/>
        <v>49.00234299026986</v>
      </c>
      <c r="T67" s="752">
        <f t="shared" si="21"/>
        <v>47.366304979957583</v>
      </c>
      <c r="U67" s="752">
        <f t="shared" si="22"/>
        <v>45.998574443796883</v>
      </c>
      <c r="V67" s="752">
        <f t="shared" si="23"/>
        <v>49.629638640137493</v>
      </c>
      <c r="W67" s="20" t="s">
        <v>946</v>
      </c>
    </row>
    <row r="68" spans="1:23" s="20" customFormat="1" x14ac:dyDescent="0.25">
      <c r="A68" s="20" t="s">
        <v>897</v>
      </c>
      <c r="B68" s="56" t="str">
        <f>ITE_LUC_Rates!C68</f>
        <v>Office Park</v>
      </c>
      <c r="C68" s="57" t="str">
        <f>ITE_LUC_Rates!D68</f>
        <v>1000 GSF</v>
      </c>
      <c r="D68" s="129">
        <f>ITE_LUC_Rates!H68</f>
        <v>11.07</v>
      </c>
      <c r="E68" s="58" t="s">
        <v>71</v>
      </c>
      <c r="F68" s="104">
        <f>ITE_LUC_Rates!Q68</f>
        <v>11350.1</v>
      </c>
      <c r="G68" s="104">
        <f>FEE_1_Out!$H85</f>
        <v>12781.35380453445</v>
      </c>
      <c r="H68" s="104">
        <f>FEE_1_Out!$H85</f>
        <v>12781.35380453445</v>
      </c>
      <c r="I68" s="104">
        <f>FEE_2_In!$H85</f>
        <v>16048.680085886324</v>
      </c>
      <c r="J68" s="104">
        <f>FEE_2_Out!$H85</f>
        <v>13994.109067705598</v>
      </c>
      <c r="K68" s="104">
        <f>FEE_3_In!$H85</f>
        <v>15963.976954157957</v>
      </c>
      <c r="L68" s="104">
        <f>FEE_3_Out!$H85</f>
        <v>15430.988703005603</v>
      </c>
      <c r="M68" s="104">
        <f>FEE_4_In!$H85</f>
        <v>14985.409626039773</v>
      </c>
      <c r="N68" s="104">
        <f>FEE_4_Out!$H85</f>
        <v>16168.337249744613</v>
      </c>
      <c r="O68" s="752">
        <f t="shared" si="16"/>
        <v>12.781353804534451</v>
      </c>
      <c r="P68" s="752">
        <f t="shared" si="17"/>
        <v>12.781353804534451</v>
      </c>
      <c r="Q68" s="752">
        <f t="shared" si="18"/>
        <v>16.048680085886325</v>
      </c>
      <c r="R68" s="752">
        <f t="shared" si="19"/>
        <v>13.994109067705597</v>
      </c>
      <c r="S68" s="752">
        <f t="shared" si="20"/>
        <v>15.963976954157957</v>
      </c>
      <c r="T68" s="752">
        <f t="shared" si="21"/>
        <v>15.430988703005603</v>
      </c>
      <c r="U68" s="752">
        <f t="shared" si="22"/>
        <v>14.985409626039774</v>
      </c>
      <c r="V68" s="752">
        <f t="shared" si="23"/>
        <v>16.168337249744614</v>
      </c>
      <c r="W68" s="20" t="s">
        <v>946</v>
      </c>
    </row>
    <row r="69" spans="1:23" s="20" customFormat="1" x14ac:dyDescent="0.25">
      <c r="A69" s="20" t="s">
        <v>898</v>
      </c>
      <c r="B69" s="56" t="str">
        <f>ITE_LUC_Rates!C69</f>
        <v>Research Center</v>
      </c>
      <c r="C69" s="57" t="str">
        <f>ITE_LUC_Rates!D69</f>
        <v>1000 GSF</v>
      </c>
      <c r="D69" s="129">
        <f>ITE_LUC_Rates!H69</f>
        <v>11.26</v>
      </c>
      <c r="E69" s="58" t="s">
        <v>71</v>
      </c>
      <c r="F69" s="104">
        <f>ITE_LUC_Rates!Q69</f>
        <v>8060.1</v>
      </c>
      <c r="G69" s="104">
        <f>FEE_1_Out!$H86</f>
        <v>13000.726634061237</v>
      </c>
      <c r="H69" s="104">
        <f>FEE_1_Out!$H86</f>
        <v>13000.726634061237</v>
      </c>
      <c r="I69" s="104">
        <f>FEE_2_In!$H86</f>
        <v>16324.131686276427</v>
      </c>
      <c r="J69" s="104">
        <f>FEE_2_Out!$H86</f>
        <v>14234.297028217254</v>
      </c>
      <c r="K69" s="104">
        <f>FEE_3_In!$H86</f>
        <v>16237.974751925804</v>
      </c>
      <c r="L69" s="104">
        <f>FEE_3_Out!$H86</f>
        <v>15695.838554276705</v>
      </c>
      <c r="M69" s="104">
        <f>FEE_4_In!$H86</f>
        <v>15242.611778609566</v>
      </c>
      <c r="N69" s="104">
        <f>FEE_4_Out!$H86</f>
        <v>16445.842586461098</v>
      </c>
      <c r="O69" s="752">
        <f t="shared" si="16"/>
        <v>13.000726634061238</v>
      </c>
      <c r="P69" s="752">
        <f t="shared" si="17"/>
        <v>13.000726634061238</v>
      </c>
      <c r="Q69" s="752">
        <f t="shared" si="18"/>
        <v>16.324131686276427</v>
      </c>
      <c r="R69" s="752">
        <f t="shared" si="19"/>
        <v>14.234297028217254</v>
      </c>
      <c r="S69" s="752">
        <f t="shared" si="20"/>
        <v>16.237974751925805</v>
      </c>
      <c r="T69" s="752">
        <f t="shared" si="21"/>
        <v>15.695838554276705</v>
      </c>
      <c r="U69" s="752">
        <f t="shared" si="22"/>
        <v>15.242611778609566</v>
      </c>
      <c r="V69" s="752">
        <f t="shared" si="23"/>
        <v>16.445842586461097</v>
      </c>
      <c r="W69" s="20" t="s">
        <v>946</v>
      </c>
    </row>
    <row r="70" spans="1:23" s="20" customFormat="1" x14ac:dyDescent="0.25">
      <c r="A70" s="20" t="s">
        <v>899</v>
      </c>
      <c r="B70" s="56" t="str">
        <f>ITE_LUC_Rates!C70</f>
        <v>Business Park</v>
      </c>
      <c r="C70" s="57" t="str">
        <f>ITE_LUC_Rates!D70</f>
        <v>1000 GSF</v>
      </c>
      <c r="D70" s="129">
        <f>ITE_LUC_Rates!H70</f>
        <v>12.44</v>
      </c>
      <c r="E70" s="58" t="s">
        <v>71</v>
      </c>
      <c r="F70" s="104">
        <f>ITE_LUC_Rates!Q70</f>
        <v>12682.3</v>
      </c>
      <c r="G70" s="104">
        <f>FEE_1_Out!$H87</f>
        <v>14363.147364806551</v>
      </c>
      <c r="H70" s="104">
        <f>FEE_1_Out!$H87</f>
        <v>14363.147364806551</v>
      </c>
      <c r="I70" s="104">
        <f>FEE_2_In!$H87</f>
        <v>18034.831099225463</v>
      </c>
      <c r="J70" s="104">
        <f>FEE_2_Out!$H87</f>
        <v>15725.990677710717</v>
      </c>
      <c r="K70" s="104">
        <f>FEE_3_In!$H87</f>
        <v>17939.645285431347</v>
      </c>
      <c r="L70" s="104">
        <f>FEE_3_Out!$H87</f>
        <v>17340.695525328789</v>
      </c>
      <c r="M70" s="104">
        <f>FEE_4_In!$H87</f>
        <v>16839.972515621928</v>
      </c>
      <c r="N70" s="104">
        <f>FEE_4_Out!$H87</f>
        <v>18169.296782910842</v>
      </c>
      <c r="O70" s="752">
        <f t="shared" si="16"/>
        <v>14.363147364806551</v>
      </c>
      <c r="P70" s="752">
        <f t="shared" si="17"/>
        <v>14.363147364806551</v>
      </c>
      <c r="Q70" s="752">
        <f t="shared" si="18"/>
        <v>18.034831099225464</v>
      </c>
      <c r="R70" s="752">
        <f t="shared" si="19"/>
        <v>15.725990677710717</v>
      </c>
      <c r="S70" s="752">
        <f t="shared" si="20"/>
        <v>17.939645285431347</v>
      </c>
      <c r="T70" s="752">
        <f t="shared" si="21"/>
        <v>17.34069552532879</v>
      </c>
      <c r="U70" s="752">
        <f t="shared" si="22"/>
        <v>16.839972515621927</v>
      </c>
      <c r="V70" s="752">
        <f t="shared" si="23"/>
        <v>18.169296782910841</v>
      </c>
      <c r="W70" s="20" t="s">
        <v>946</v>
      </c>
    </row>
    <row r="71" spans="1:23" s="20" customFormat="1" x14ac:dyDescent="0.25">
      <c r="A71" s="20" t="s">
        <v>900</v>
      </c>
      <c r="B71" s="135" t="str">
        <f>ITE_LUC_Rates!C71</f>
        <v>Building Materials and Lumber Store</v>
      </c>
      <c r="C71" s="232" t="str">
        <f>ITE_LUC_Rates!D71</f>
        <v>1000 GSF</v>
      </c>
      <c r="D71" s="233">
        <f>ITE_LUC_Rates!H71</f>
        <v>18.05</v>
      </c>
      <c r="E71" s="136" t="s">
        <v>71</v>
      </c>
      <c r="F71" s="137">
        <f>ITE_LUC_Rates!Q71</f>
        <v>0</v>
      </c>
      <c r="G71" s="104">
        <f>FEE_1_Out!$H89</f>
        <v>7399.2563759930235</v>
      </c>
      <c r="H71" s="104">
        <f>FEE_1_Out!$H89</f>
        <v>7399.2563759930235</v>
      </c>
      <c r="I71" s="104">
        <f>FEE_2_In!$H89</f>
        <v>9290.7449608067564</v>
      </c>
      <c r="J71" s="104">
        <f>FEE_2_Out!$H89</f>
        <v>8101.3327953434291</v>
      </c>
      <c r="K71" s="104">
        <f>FEE_3_In!$H89</f>
        <v>9241.7094519637612</v>
      </c>
      <c r="L71" s="104">
        <f>FEE_3_Out!$H89</f>
        <v>8933.1571048509431</v>
      </c>
      <c r="M71" s="104">
        <f>FEE_4_In!$H89</f>
        <v>8675.2068222229136</v>
      </c>
      <c r="N71" s="104">
        <f>FEE_4_Out!$H89</f>
        <v>9360.0157161705229</v>
      </c>
      <c r="O71" s="752">
        <f t="shared" si="16"/>
        <v>7.3992563759930237</v>
      </c>
      <c r="P71" s="752">
        <f t="shared" si="17"/>
        <v>7.3992563759930237</v>
      </c>
      <c r="Q71" s="752">
        <f t="shared" si="18"/>
        <v>9.2907449608067569</v>
      </c>
      <c r="R71" s="752">
        <f t="shared" si="19"/>
        <v>8.1013327953434295</v>
      </c>
      <c r="S71" s="752">
        <f t="shared" si="20"/>
        <v>9.2417094519637608</v>
      </c>
      <c r="T71" s="752">
        <f t="shared" si="21"/>
        <v>8.9331571048509435</v>
      </c>
      <c r="U71" s="752">
        <f t="shared" si="22"/>
        <v>8.6752068222229131</v>
      </c>
      <c r="V71" s="752">
        <f t="shared" si="23"/>
        <v>9.3600157161705226</v>
      </c>
      <c r="W71" s="20" t="s">
        <v>946</v>
      </c>
    </row>
    <row r="72" spans="1:23" s="20" customFormat="1" x14ac:dyDescent="0.25">
      <c r="A72" s="20" t="s">
        <v>901</v>
      </c>
      <c r="B72" s="56" t="str">
        <f>ITE_LUC_Rates!C72</f>
        <v>Discount Superstore (Free standing)</v>
      </c>
      <c r="C72" s="57" t="str">
        <f>ITE_LUC_Rates!D72</f>
        <v>1000 GSF</v>
      </c>
      <c r="D72" s="129">
        <f>ITE_LUC_Rates!H72</f>
        <v>50.7</v>
      </c>
      <c r="E72" s="58" t="s">
        <v>71</v>
      </c>
      <c r="F72" s="104">
        <f>ITE_LUC_Rates!Q72</f>
        <v>20592.7</v>
      </c>
      <c r="G72" s="104">
        <f>FEE_1_Out!$H90</f>
        <v>20783.506828966551</v>
      </c>
      <c r="H72" s="104">
        <f>FEE_1_Out!$H90</f>
        <v>20783.506828966551</v>
      </c>
      <c r="I72" s="104">
        <f>FEE_2_In!$H90</f>
        <v>26096.441524260525</v>
      </c>
      <c r="J72" s="104">
        <f>FEE_2_Out!$H90</f>
        <v>22755.54419523057</v>
      </c>
      <c r="K72" s="104">
        <f>FEE_3_In!$H90</f>
        <v>25958.707435709839</v>
      </c>
      <c r="L72" s="104">
        <f>FEE_3_Out!$H90</f>
        <v>25092.025773736437</v>
      </c>
      <c r="M72" s="104">
        <f>FEE_4_In!$H90</f>
        <v>24367.478442476542</v>
      </c>
      <c r="N72" s="104">
        <f>FEE_4_Out!$H90</f>
        <v>26291.01367367565</v>
      </c>
      <c r="O72" s="752">
        <f t="shared" si="16"/>
        <v>20.783506828966551</v>
      </c>
      <c r="P72" s="752">
        <f t="shared" si="17"/>
        <v>20.783506828966551</v>
      </c>
      <c r="Q72" s="752">
        <f t="shared" si="18"/>
        <v>26.096441524260523</v>
      </c>
      <c r="R72" s="752">
        <f t="shared" si="19"/>
        <v>22.75554419523057</v>
      </c>
      <c r="S72" s="752">
        <f t="shared" si="20"/>
        <v>25.95870743570984</v>
      </c>
      <c r="T72" s="752">
        <f t="shared" si="21"/>
        <v>25.092025773736438</v>
      </c>
      <c r="U72" s="752">
        <f t="shared" si="22"/>
        <v>24.367478442476543</v>
      </c>
      <c r="V72" s="752">
        <f t="shared" si="23"/>
        <v>26.29101367367565</v>
      </c>
      <c r="W72" s="20" t="s">
        <v>946</v>
      </c>
    </row>
    <row r="73" spans="1:23" s="20" customFormat="1" x14ac:dyDescent="0.25">
      <c r="A73" s="20" t="s">
        <v>902</v>
      </c>
      <c r="B73" s="56" t="str">
        <f>ITE_LUC_Rates!C73</f>
        <v>Hardware/Paint Store/Pool Suply</v>
      </c>
      <c r="C73" s="57" t="str">
        <f>ITE_LUC_Rates!D73</f>
        <v>1000 GSF</v>
      </c>
      <c r="D73" s="129">
        <f>ITE_LUC_Rates!H73</f>
        <v>9.14</v>
      </c>
      <c r="E73" s="58" t="s">
        <v>71</v>
      </c>
      <c r="F73" s="104">
        <f>ITE_LUC_Rates!Q73</f>
        <v>14865.5</v>
      </c>
      <c r="G73" s="104">
        <f>FEE_1_Out!$H91</f>
        <v>3746.7702646302628</v>
      </c>
      <c r="H73" s="104">
        <f>FEE_1_Out!$H91</f>
        <v>3746.7702646302628</v>
      </c>
      <c r="I73" s="104">
        <f>FEE_2_In!$H91</f>
        <v>4704.5655923420354</v>
      </c>
      <c r="J73" s="104">
        <f>FEE_2_Out!$H91</f>
        <v>4102.2815373650383</v>
      </c>
      <c r="K73" s="104">
        <f>FEE_3_In!$H91</f>
        <v>4679.7354233212609</v>
      </c>
      <c r="L73" s="104">
        <f>FEE_3_Out!$H91</f>
        <v>4523.4934037860176</v>
      </c>
      <c r="M73" s="104">
        <f>FEE_4_In!$H91</f>
        <v>4392.8748119178626</v>
      </c>
      <c r="N73" s="104">
        <f>FEE_4_Out!$H91</f>
        <v>4739.6423072464595</v>
      </c>
      <c r="O73" s="752">
        <f t="shared" si="16"/>
        <v>3.7467702646302627</v>
      </c>
      <c r="P73" s="752">
        <f t="shared" si="17"/>
        <v>3.7467702646302627</v>
      </c>
      <c r="Q73" s="752">
        <f t="shared" si="18"/>
        <v>4.7045655923420355</v>
      </c>
      <c r="R73" s="752">
        <f t="shared" si="19"/>
        <v>4.1022815373650383</v>
      </c>
      <c r="S73" s="752">
        <f t="shared" si="20"/>
        <v>4.6797354233212607</v>
      </c>
      <c r="T73" s="752">
        <f t="shared" si="21"/>
        <v>4.5234934037860173</v>
      </c>
      <c r="U73" s="752">
        <f t="shared" si="22"/>
        <v>4.3928748119178627</v>
      </c>
      <c r="V73" s="752">
        <f t="shared" si="23"/>
        <v>4.7396423072464593</v>
      </c>
      <c r="W73" s="20" t="s">
        <v>946</v>
      </c>
    </row>
    <row r="74" spans="1:23" s="20" customFormat="1" x14ac:dyDescent="0.25">
      <c r="A74" s="20" t="s">
        <v>903</v>
      </c>
      <c r="B74" s="56" t="str">
        <f>ITE_LUC_Rates!C74</f>
        <v>Nursery Garden Center</v>
      </c>
      <c r="C74" s="57" t="str">
        <f>ITE_LUC_Rates!D74</f>
        <v>1000 GSF</v>
      </c>
      <c r="D74" s="129">
        <f>ITE_LUC_Rates!H74</f>
        <v>68.099999999999994</v>
      </c>
      <c r="E74" s="58" t="s">
        <v>71</v>
      </c>
      <c r="F74" s="104">
        <f>ITE_LUC_Rates!Q74</f>
        <v>17723.2</v>
      </c>
      <c r="G74" s="104">
        <f>FEE_1_Out!$H92</f>
        <v>27916.307989203597</v>
      </c>
      <c r="H74" s="104">
        <f>FEE_1_Out!$H92</f>
        <v>27916.307989203597</v>
      </c>
      <c r="I74" s="104">
        <f>FEE_2_In!$H92</f>
        <v>35052.616721935738</v>
      </c>
      <c r="J74" s="104">
        <f>FEE_2_Out!$H92</f>
        <v>30565.139244481299</v>
      </c>
      <c r="K74" s="104">
        <f>FEE_3_In!$H92</f>
        <v>34867.612946190136</v>
      </c>
      <c r="L74" s="104">
        <f>FEE_3_Out!$H92</f>
        <v>33703.490240462561</v>
      </c>
      <c r="M74" s="104">
        <f>FEE_4_In!$H92</f>
        <v>32730.281694924117</v>
      </c>
      <c r="N74" s="104">
        <f>FEE_4_Out!$H92</f>
        <v>35313.965111978541</v>
      </c>
      <c r="O74" s="752">
        <f t="shared" si="16"/>
        <v>27.916307989203595</v>
      </c>
      <c r="P74" s="752">
        <f t="shared" si="17"/>
        <v>27.916307989203595</v>
      </c>
      <c r="Q74" s="752">
        <f t="shared" si="18"/>
        <v>35.052616721935735</v>
      </c>
      <c r="R74" s="752">
        <f t="shared" si="19"/>
        <v>30.565139244481298</v>
      </c>
      <c r="S74" s="752">
        <f t="shared" si="20"/>
        <v>34.867612946190135</v>
      </c>
      <c r="T74" s="752">
        <f t="shared" si="21"/>
        <v>33.703490240462564</v>
      </c>
      <c r="U74" s="752">
        <f t="shared" si="22"/>
        <v>32.730281694924116</v>
      </c>
      <c r="V74" s="752">
        <f t="shared" si="23"/>
        <v>35.31396511197854</v>
      </c>
      <c r="W74" s="20" t="s">
        <v>946</v>
      </c>
    </row>
    <row r="75" spans="1:23" s="20" customFormat="1" x14ac:dyDescent="0.25">
      <c r="A75" s="20" t="s">
        <v>904</v>
      </c>
      <c r="B75" s="56" t="str">
        <f>ITE_LUC_Rates!C76</f>
        <v>1 - 10,000</v>
      </c>
      <c r="C75" s="57" t="str">
        <f>ITE_LUC_Rates!D76</f>
        <v>1000 GSF</v>
      </c>
      <c r="D75" s="129">
        <f>ITE_LUC_Rates!H76</f>
        <v>156.80137359044605</v>
      </c>
      <c r="E75" s="58" t="s">
        <v>71</v>
      </c>
      <c r="F75" s="104">
        <f>ITE_LUC_Rates!Q76</f>
        <v>18799.7</v>
      </c>
      <c r="G75" s="104">
        <f>FEE_1_Out!$H94</f>
        <v>15020.90943270676</v>
      </c>
      <c r="H75" s="104">
        <f>FEE_1_Out!$H94</f>
        <v>15020.90943270676</v>
      </c>
      <c r="I75" s="104">
        <f>FEE_2_In!$H94</f>
        <v>18860.738367093789</v>
      </c>
      <c r="J75" s="104">
        <f>FEE_2_Out!$H94</f>
        <v>16446.16431968669</v>
      </c>
      <c r="K75" s="104">
        <f>FEE_3_In!$H94</f>
        <v>18761.19350746342</v>
      </c>
      <c r="L75" s="104">
        <f>FEE_3_Out!$H94</f>
        <v>18134.814770774665</v>
      </c>
      <c r="M75" s="104">
        <f>FEE_4_In!$H94</f>
        <v>17611.161090376714</v>
      </c>
      <c r="N75" s="104">
        <f>FEE_4_Out!$H94</f>
        <v>19001.361923000066</v>
      </c>
      <c r="O75" s="752">
        <f t="shared" si="16"/>
        <v>15.020909432706759</v>
      </c>
      <c r="P75" s="752">
        <f t="shared" si="17"/>
        <v>15.020909432706759</v>
      </c>
      <c r="Q75" s="752">
        <f t="shared" si="18"/>
        <v>18.860738367093788</v>
      </c>
      <c r="R75" s="752">
        <f t="shared" si="19"/>
        <v>16.446164319686691</v>
      </c>
      <c r="S75" s="752">
        <f t="shared" si="20"/>
        <v>18.761193507463421</v>
      </c>
      <c r="T75" s="752">
        <f t="shared" si="21"/>
        <v>18.134814770774664</v>
      </c>
      <c r="U75" s="752">
        <f t="shared" si="22"/>
        <v>17.611161090376715</v>
      </c>
      <c r="V75" s="752">
        <f t="shared" si="23"/>
        <v>19.001361923000065</v>
      </c>
      <c r="W75" s="20" t="s">
        <v>946</v>
      </c>
    </row>
    <row r="76" spans="1:23" s="20" customFormat="1" x14ac:dyDescent="0.25">
      <c r="A76" s="20" t="s">
        <v>905</v>
      </c>
      <c r="B76" s="56" t="str">
        <f>ITE_LUC_Rates!C77</f>
        <v>10,001 - 50,000</v>
      </c>
      <c r="C76" s="57" t="str">
        <f>ITE_LUC_Rates!D77</f>
        <v>1000 GSF</v>
      </c>
      <c r="D76" s="129">
        <f>ITE_LUC_Rates!H77</f>
        <v>88.3774492278785</v>
      </c>
      <c r="E76" s="58" t="s">
        <v>71</v>
      </c>
      <c r="F76" s="104">
        <f>ITE_LUC_Rates!Q77</f>
        <v>14048.1</v>
      </c>
      <c r="G76" s="104">
        <f>FEE_1_Out!$H95</f>
        <v>8017.4970157077887</v>
      </c>
      <c r="H76" s="104">
        <f>FEE_1_Out!$H95</f>
        <v>8017.4970157077887</v>
      </c>
      <c r="I76" s="104">
        <f>FEE_2_In!$H95</f>
        <v>10067.02784872399</v>
      </c>
      <c r="J76" s="104">
        <f>FEE_2_Out!$H95</f>
        <v>8778.2350292200244</v>
      </c>
      <c r="K76" s="104">
        <f>FEE_3_In!$H95</f>
        <v>10013.895205950861</v>
      </c>
      <c r="L76" s="104">
        <f>FEE_3_Out!$H95</f>
        <v>9679.56194373373</v>
      </c>
      <c r="M76" s="104">
        <f>FEE_4_In!$H95</f>
        <v>9400.0587725932892</v>
      </c>
      <c r="N76" s="104">
        <f>FEE_4_Out!$H95</f>
        <v>10142.086482481671</v>
      </c>
      <c r="O76" s="752">
        <f t="shared" si="16"/>
        <v>8.0174970157077894</v>
      </c>
      <c r="P76" s="752">
        <f t="shared" si="17"/>
        <v>8.0174970157077894</v>
      </c>
      <c r="Q76" s="752">
        <f t="shared" si="18"/>
        <v>10.06702784872399</v>
      </c>
      <c r="R76" s="752">
        <f t="shared" si="19"/>
        <v>8.7782350292200242</v>
      </c>
      <c r="S76" s="752">
        <f t="shared" si="20"/>
        <v>10.013895205950861</v>
      </c>
      <c r="T76" s="752">
        <f t="shared" si="21"/>
        <v>9.6795619437337308</v>
      </c>
      <c r="U76" s="752">
        <f t="shared" si="22"/>
        <v>9.4000587725932885</v>
      </c>
      <c r="V76" s="752">
        <f t="shared" si="23"/>
        <v>10.142086482481671</v>
      </c>
      <c r="W76" s="20" t="s">
        <v>946</v>
      </c>
    </row>
    <row r="77" spans="1:23" s="20" customFormat="1" x14ac:dyDescent="0.25">
      <c r="A77" s="20" t="s">
        <v>906</v>
      </c>
      <c r="B77" s="56" t="str">
        <f>ITE_LUC_Rates!C78</f>
        <v>50,001 - 100,000</v>
      </c>
      <c r="C77" s="57" t="str">
        <f>ITE_LUC_Rates!D78</f>
        <v>1000 GSF</v>
      </c>
      <c r="D77" s="129">
        <f>ITE_LUC_Rates!H78</f>
        <v>65.917489686786567</v>
      </c>
      <c r="E77" s="58" t="s">
        <v>71</v>
      </c>
      <c r="F77" s="104">
        <f>ITE_LUC_Rates!Q78</f>
        <v>13383.7</v>
      </c>
      <c r="G77" s="104">
        <f>FEE_1_Out!$H96</f>
        <v>5979.9562157995379</v>
      </c>
      <c r="H77" s="104">
        <f>FEE_1_Out!$H96</f>
        <v>5979.9562157995379</v>
      </c>
      <c r="I77" s="104">
        <f>FEE_2_In!$H96</f>
        <v>7508.6259016573622</v>
      </c>
      <c r="J77" s="104">
        <f>FEE_2_Out!$H96</f>
        <v>6547.3627272812128</v>
      </c>
      <c r="K77" s="104">
        <f>FEE_3_In!$H96</f>
        <v>7468.9962171323123</v>
      </c>
      <c r="L77" s="104">
        <f>FEE_3_Out!$H96</f>
        <v>7219.6293304809205</v>
      </c>
      <c r="M77" s="104">
        <f>FEE_4_In!$H96</f>
        <v>7011.1581926280023</v>
      </c>
      <c r="N77" s="104">
        <f>FEE_4_Out!$H96</f>
        <v>7564.6093766258309</v>
      </c>
      <c r="O77" s="752">
        <f t="shared" ref="O77:O117" si="24">IF($W77="sf",G77/1000,G77)</f>
        <v>5.9799562157995378</v>
      </c>
      <c r="P77" s="752">
        <f t="shared" si="17"/>
        <v>5.9799562157995378</v>
      </c>
      <c r="Q77" s="752">
        <f t="shared" si="18"/>
        <v>7.5086259016573624</v>
      </c>
      <c r="R77" s="752">
        <f t="shared" si="19"/>
        <v>6.5473627272812127</v>
      </c>
      <c r="S77" s="752">
        <f t="shared" si="20"/>
        <v>7.4689962171323119</v>
      </c>
      <c r="T77" s="752">
        <f t="shared" si="21"/>
        <v>7.2196293304809203</v>
      </c>
      <c r="U77" s="752">
        <f t="shared" si="22"/>
        <v>7.0111581926280024</v>
      </c>
      <c r="V77" s="752">
        <f t="shared" si="23"/>
        <v>7.5646093766258309</v>
      </c>
      <c r="W77" s="20" t="s">
        <v>946</v>
      </c>
    </row>
    <row r="78" spans="1:23" s="20" customFormat="1" x14ac:dyDescent="0.25">
      <c r="A78" s="20" t="s">
        <v>907</v>
      </c>
      <c r="B78" s="56" t="str">
        <f>ITE_LUC_Rates!C79</f>
        <v>100,001 - 200,000</v>
      </c>
      <c r="C78" s="57" t="str">
        <f>ITE_LUC_Rates!D79</f>
        <v>1000 GSF</v>
      </c>
      <c r="D78" s="129">
        <f>ITE_LUC_Rates!H79</f>
        <v>52.804515394409307</v>
      </c>
      <c r="E78" s="58" t="s">
        <v>71</v>
      </c>
      <c r="F78" s="104">
        <f>ITE_LUC_Rates!Q79</f>
        <v>20241.2</v>
      </c>
      <c r="G78" s="104">
        <f>FEE_1_Out!$H97</f>
        <v>21646.213142011351</v>
      </c>
      <c r="H78" s="104">
        <f>FEE_1_Out!$H97</f>
        <v>21646.213142011351</v>
      </c>
      <c r="I78" s="104">
        <f>FEE_2_In!$H97</f>
        <v>27179.683396590084</v>
      </c>
      <c r="J78" s="104">
        <f>FEE_2_Out!$H97</f>
        <v>23700.108161049589</v>
      </c>
      <c r="K78" s="104">
        <f>FEE_3_In!$H97</f>
        <v>27036.232079051435</v>
      </c>
      <c r="L78" s="104">
        <f>FEE_3_Out!$H97</f>
        <v>26133.575172508503</v>
      </c>
      <c r="M78" s="104">
        <f>FEE_4_In!$H97</f>
        <v>25378.952476108276</v>
      </c>
      <c r="N78" s="104">
        <f>FEE_4_Out!$H97</f>
        <v>27382.332076257037</v>
      </c>
      <c r="O78" s="752">
        <f t="shared" si="24"/>
        <v>21.646213142011351</v>
      </c>
      <c r="P78" s="752">
        <f t="shared" ref="P78:P117" si="25">IF($W78="sf",H78/1000,H78)</f>
        <v>21.646213142011351</v>
      </c>
      <c r="Q78" s="752">
        <f t="shared" ref="Q78:Q117" si="26">IF($W78="sf",I78/1000,I78)</f>
        <v>27.179683396590086</v>
      </c>
      <c r="R78" s="752">
        <f t="shared" ref="R78:R117" si="27">IF($W78="sf",J78/1000,J78)</f>
        <v>23.700108161049588</v>
      </c>
      <c r="S78" s="752">
        <f t="shared" ref="S78:S117" si="28">IF($W78="sf",K78/1000,K78)</f>
        <v>27.036232079051434</v>
      </c>
      <c r="T78" s="752">
        <f t="shared" ref="T78:T117" si="29">IF($W78="sf",L78/1000,L78)</f>
        <v>26.133575172508504</v>
      </c>
      <c r="U78" s="752">
        <f t="shared" ref="U78:U117" si="30">IF($W78="sf",M78/1000,M78)</f>
        <v>25.378952476108275</v>
      </c>
      <c r="V78" s="752">
        <f t="shared" ref="V78:V117" si="31">IF($W78="sf",N78/1000,N78)</f>
        <v>27.382332076257036</v>
      </c>
      <c r="W78" s="20" t="s">
        <v>946</v>
      </c>
    </row>
    <row r="79" spans="1:23" s="20" customFormat="1" x14ac:dyDescent="0.25">
      <c r="A79" s="20" t="s">
        <v>908</v>
      </c>
      <c r="B79" s="56" t="str">
        <f>ITE_LUC_Rates!C80</f>
        <v>200,001 - 300,000</v>
      </c>
      <c r="C79" s="57" t="str">
        <f>ITE_LUC_Rates!D80</f>
        <v>1000 GSF</v>
      </c>
      <c r="D79" s="129">
        <f>ITE_LUC_Rates!H80</f>
        <v>44.841430781139344</v>
      </c>
      <c r="E79" s="58" t="s">
        <v>71</v>
      </c>
      <c r="F79" s="104">
        <f>ITE_LUC_Rates!Q80</f>
        <v>18774.5</v>
      </c>
      <c r="G79" s="104">
        <f>FEE_1_Out!$H98</f>
        <v>18381.897097839061</v>
      </c>
      <c r="H79" s="104">
        <f>FEE_1_Out!$H98</f>
        <v>18381.897097839061</v>
      </c>
      <c r="I79" s="104">
        <f>FEE_2_In!$H98</f>
        <v>23080.902884500567</v>
      </c>
      <c r="J79" s="104">
        <f>FEE_2_Out!$H98</f>
        <v>20126.058381017527</v>
      </c>
      <c r="K79" s="104">
        <f>FEE_3_In!$H98</f>
        <v>22959.08447033984</v>
      </c>
      <c r="L79" s="104">
        <f>FEE_3_Out!$H98</f>
        <v>22192.551023502307</v>
      </c>
      <c r="M79" s="104">
        <f>FEE_4_In!$H98</f>
        <v>21551.727769018089</v>
      </c>
      <c r="N79" s="104">
        <f>FEE_4_Out!$H98</f>
        <v>23252.991515071288</v>
      </c>
      <c r="O79" s="752">
        <f t="shared" si="24"/>
        <v>18.381897097839062</v>
      </c>
      <c r="P79" s="752">
        <f t="shared" si="25"/>
        <v>18.381897097839062</v>
      </c>
      <c r="Q79" s="752">
        <f t="shared" si="26"/>
        <v>23.080902884500567</v>
      </c>
      <c r="R79" s="752">
        <f t="shared" si="27"/>
        <v>20.126058381017526</v>
      </c>
      <c r="S79" s="752">
        <f t="shared" si="28"/>
        <v>22.959084470339839</v>
      </c>
      <c r="T79" s="752">
        <f t="shared" si="29"/>
        <v>22.192551023502308</v>
      </c>
      <c r="U79" s="752">
        <f t="shared" si="30"/>
        <v>21.55172776901809</v>
      </c>
      <c r="V79" s="752">
        <f t="shared" si="31"/>
        <v>23.252991515071287</v>
      </c>
      <c r="W79" s="20" t="s">
        <v>946</v>
      </c>
    </row>
    <row r="80" spans="1:23" s="20" customFormat="1" x14ac:dyDescent="0.25">
      <c r="A80" s="20" t="s">
        <v>909</v>
      </c>
      <c r="B80" s="56" t="str">
        <f>ITE_LUC_Rates!C81</f>
        <v>300,001 - 400,000</v>
      </c>
      <c r="C80" s="57" t="str">
        <f>ITE_LUC_Rates!D81</f>
        <v>1000 GSF</v>
      </c>
      <c r="D80" s="129">
        <f>ITE_LUC_Rates!H81</f>
        <v>40.264145799881483</v>
      </c>
      <c r="E80" s="58" t="s">
        <v>71</v>
      </c>
      <c r="F80" s="104">
        <f>ITE_LUC_Rates!Q81</f>
        <v>25847.3</v>
      </c>
      <c r="G80" s="104">
        <f>FEE_1_Out!$H99</f>
        <v>16505.525625134949</v>
      </c>
      <c r="H80" s="104">
        <f>FEE_1_Out!$H99</f>
        <v>16505.525625134949</v>
      </c>
      <c r="I80" s="104">
        <f>FEE_2_In!$H99</f>
        <v>20724.870343015915</v>
      </c>
      <c r="J80" s="104">
        <f>FEE_2_Out!$H99</f>
        <v>18071.647913854253</v>
      </c>
      <c r="K80" s="104">
        <f>FEE_3_In!$H99</f>
        <v>20615.486804100368</v>
      </c>
      <c r="L80" s="104">
        <f>FEE_3_Out!$H99</f>
        <v>19927.19889877925</v>
      </c>
      <c r="M80" s="104">
        <f>FEE_4_In!$H99</f>
        <v>19351.789048981154</v>
      </c>
      <c r="N80" s="104">
        <f>FEE_4_Out!$H99</f>
        <v>20879.392658452743</v>
      </c>
      <c r="O80" s="752">
        <f t="shared" si="24"/>
        <v>16.50552562513495</v>
      </c>
      <c r="P80" s="752">
        <f t="shared" si="25"/>
        <v>16.50552562513495</v>
      </c>
      <c r="Q80" s="752">
        <f t="shared" si="26"/>
        <v>20.724870343015915</v>
      </c>
      <c r="R80" s="752">
        <f t="shared" si="27"/>
        <v>18.071647913854253</v>
      </c>
      <c r="S80" s="752">
        <f t="shared" si="28"/>
        <v>20.615486804100367</v>
      </c>
      <c r="T80" s="752">
        <f t="shared" si="29"/>
        <v>19.927198898779249</v>
      </c>
      <c r="U80" s="752">
        <f t="shared" si="30"/>
        <v>19.351789048981153</v>
      </c>
      <c r="V80" s="752">
        <f t="shared" si="31"/>
        <v>20.879392658452744</v>
      </c>
      <c r="W80" s="20" t="s">
        <v>946</v>
      </c>
    </row>
    <row r="81" spans="1:23" s="20" customFormat="1" x14ac:dyDescent="0.25">
      <c r="A81" s="20" t="s">
        <v>910</v>
      </c>
      <c r="B81" s="56" t="str">
        <f>ITE_LUC_Rates!C82</f>
        <v>400,001 - 500,000</v>
      </c>
      <c r="C81" s="57" t="str">
        <f>ITE_LUC_Rates!D82</f>
        <v>1000 GSF</v>
      </c>
      <c r="D81" s="129">
        <f>ITE_LUC_Rates!H82</f>
        <v>37.152860747503944</v>
      </c>
      <c r="E81" s="58" t="s">
        <v>71</v>
      </c>
      <c r="F81" s="104">
        <f>ITE_LUC_Rates!Q82</f>
        <v>24653.1</v>
      </c>
      <c r="G81" s="104">
        <f>FEE_1_Out!$H100</f>
        <v>15230.113117581692</v>
      </c>
      <c r="H81" s="104">
        <f>FEE_1_Out!$H100</f>
        <v>15230.113117581692</v>
      </c>
      <c r="I81" s="104">
        <f>FEE_2_In!$H100</f>
        <v>19123.421261464115</v>
      </c>
      <c r="J81" s="104">
        <f>FEE_2_Out!$H100</f>
        <v>16675.218239034974</v>
      </c>
      <c r="K81" s="104">
        <f>FEE_3_In!$H100</f>
        <v>19022.489991008337</v>
      </c>
      <c r="L81" s="104">
        <f>FEE_3_Out!$H100</f>
        <v>18387.387365767456</v>
      </c>
      <c r="M81" s="104">
        <f>FEE_4_In!$H100</f>
        <v>17856.440499825156</v>
      </c>
      <c r="N81" s="104">
        <f>FEE_4_Out!$H100</f>
        <v>19266.003351652733</v>
      </c>
      <c r="O81" s="752">
        <f t="shared" si="24"/>
        <v>15.230113117581691</v>
      </c>
      <c r="P81" s="752">
        <f t="shared" si="25"/>
        <v>15.230113117581691</v>
      </c>
      <c r="Q81" s="752">
        <f t="shared" si="26"/>
        <v>19.123421261464113</v>
      </c>
      <c r="R81" s="752">
        <f t="shared" si="27"/>
        <v>16.675218239034972</v>
      </c>
      <c r="S81" s="752">
        <f t="shared" si="28"/>
        <v>19.022489991008335</v>
      </c>
      <c r="T81" s="752">
        <f t="shared" si="29"/>
        <v>18.387387365767456</v>
      </c>
      <c r="U81" s="752">
        <f t="shared" si="30"/>
        <v>17.856440499825155</v>
      </c>
      <c r="V81" s="752">
        <f t="shared" si="31"/>
        <v>19.266003351652731</v>
      </c>
      <c r="W81" s="20" t="s">
        <v>946</v>
      </c>
    </row>
    <row r="82" spans="1:23" s="20" customFormat="1" x14ac:dyDescent="0.25">
      <c r="A82" s="20" t="s">
        <v>911</v>
      </c>
      <c r="B82" s="56" t="str">
        <f>ITE_LUC_Rates!C83</f>
        <v>500,001 - 600,000</v>
      </c>
      <c r="C82" s="57" t="str">
        <f>ITE_LUC_Rates!D83</f>
        <v>1000 GSF</v>
      </c>
      <c r="D82" s="129">
        <f>ITE_LUC_Rates!H83</f>
        <v>34.84209042728628</v>
      </c>
      <c r="E82" s="58" t="s">
        <v>71</v>
      </c>
      <c r="F82" s="104">
        <f>ITE_LUC_Rates!Q83</f>
        <v>23479</v>
      </c>
      <c r="G82" s="104">
        <f>FEE_1_Out!$H101</f>
        <v>14282.856495679975</v>
      </c>
      <c r="H82" s="104">
        <f>FEE_1_Out!$H101</f>
        <v>14282.856495679975</v>
      </c>
      <c r="I82" s="104">
        <f>FEE_2_In!$H101</f>
        <v>17934.015294253921</v>
      </c>
      <c r="J82" s="104">
        <f>FEE_2_Out!$H101</f>
        <v>15638.081431406963</v>
      </c>
      <c r="K82" s="104">
        <f>FEE_3_In!$H101</f>
        <v>17839.361574959981</v>
      </c>
      <c r="L82" s="104">
        <f>FEE_3_Out!$H101</f>
        <v>17243.759980519193</v>
      </c>
      <c r="M82" s="104">
        <f>FEE_4_In!$H101</f>
        <v>16745.836042952997</v>
      </c>
      <c r="N82" s="104">
        <f>FEE_4_Out!$H101</f>
        <v>18067.729306572528</v>
      </c>
      <c r="O82" s="752">
        <f t="shared" si="24"/>
        <v>14.282856495679974</v>
      </c>
      <c r="P82" s="752">
        <f t="shared" si="25"/>
        <v>14.282856495679974</v>
      </c>
      <c r="Q82" s="752">
        <f t="shared" si="26"/>
        <v>17.934015294253921</v>
      </c>
      <c r="R82" s="752">
        <f t="shared" si="27"/>
        <v>15.638081431406963</v>
      </c>
      <c r="S82" s="752">
        <f t="shared" si="28"/>
        <v>17.83936157495998</v>
      </c>
      <c r="T82" s="752">
        <f t="shared" si="29"/>
        <v>17.243759980519194</v>
      </c>
      <c r="U82" s="752">
        <f t="shared" si="30"/>
        <v>16.745836042952998</v>
      </c>
      <c r="V82" s="752">
        <f t="shared" si="31"/>
        <v>18.067729306572527</v>
      </c>
      <c r="W82" s="20" t="s">
        <v>946</v>
      </c>
    </row>
    <row r="83" spans="1:23" s="20" customFormat="1" x14ac:dyDescent="0.25">
      <c r="A83" s="20" t="s">
        <v>912</v>
      </c>
      <c r="B83" s="56" t="str">
        <f>ITE_LUC_Rates!C84</f>
        <v>600,001 - 800,000</v>
      </c>
      <c r="C83" s="57" t="str">
        <f>ITE_LUC_Rates!D84</f>
        <v>1000 GSF</v>
      </c>
      <c r="D83" s="129">
        <f>ITE_LUC_Rates!H84</f>
        <v>32.254394347161764</v>
      </c>
      <c r="E83" s="58" t="s">
        <v>71</v>
      </c>
      <c r="F83" s="104">
        <f>ITE_LUC_Rates!Q84</f>
        <v>21864.3</v>
      </c>
      <c r="G83" s="104">
        <f>FEE_1_Out!$H102</f>
        <v>13222.079392079224</v>
      </c>
      <c r="H83" s="104">
        <f>FEE_1_Out!$H102</f>
        <v>13222.079392079224</v>
      </c>
      <c r="I83" s="104">
        <f>FEE_2_In!$H102</f>
        <v>16602.069348740555</v>
      </c>
      <c r="J83" s="104">
        <f>FEE_2_Out!$H102</f>
        <v>14476.65278219398</v>
      </c>
      <c r="K83" s="104">
        <f>FEE_3_In!$H102</f>
        <v>16514.445490611153</v>
      </c>
      <c r="L83" s="104">
        <f>FEE_3_Out!$H102</f>
        <v>15963.078782549152</v>
      </c>
      <c r="M83" s="104">
        <f>FEE_4_In!$H102</f>
        <v>15502.135284607526</v>
      </c>
      <c r="N83" s="104">
        <f>FEE_4_Out!$H102</f>
        <v>16725.852521052395</v>
      </c>
      <c r="O83" s="752">
        <f t="shared" si="24"/>
        <v>13.222079392079223</v>
      </c>
      <c r="P83" s="752">
        <f t="shared" si="25"/>
        <v>13.222079392079223</v>
      </c>
      <c r="Q83" s="752">
        <f t="shared" si="26"/>
        <v>16.602069348740557</v>
      </c>
      <c r="R83" s="752">
        <f t="shared" si="27"/>
        <v>14.47665278219398</v>
      </c>
      <c r="S83" s="752">
        <f t="shared" si="28"/>
        <v>16.514445490611152</v>
      </c>
      <c r="T83" s="752">
        <f t="shared" si="29"/>
        <v>15.963078782549152</v>
      </c>
      <c r="U83" s="752">
        <f t="shared" si="30"/>
        <v>15.502135284607526</v>
      </c>
      <c r="V83" s="752">
        <f t="shared" si="31"/>
        <v>16.725852521052396</v>
      </c>
      <c r="W83" s="20" t="s">
        <v>946</v>
      </c>
    </row>
    <row r="84" spans="1:23" s="20" customFormat="1" x14ac:dyDescent="0.25">
      <c r="A84" s="20" t="s">
        <v>913</v>
      </c>
      <c r="B84" s="56" t="str">
        <f>ITE_LUC_Rates!C85</f>
        <v>800,001 - 1,000,000</v>
      </c>
      <c r="C84" s="57" t="str">
        <f>ITE_LUC_Rates!D85</f>
        <v>1000 GSF</v>
      </c>
      <c r="D84" s="129">
        <f>ITE_LUC_Rates!H85</f>
        <v>29.762037611107274</v>
      </c>
      <c r="E84" s="58" t="s">
        <v>71</v>
      </c>
      <c r="F84" s="104">
        <f>ITE_LUC_Rates!Q85</f>
        <v>20513.7</v>
      </c>
      <c r="G84" s="104">
        <f>FEE_1_Out!$H103</f>
        <v>12200.384850777269</v>
      </c>
      <c r="H84" s="104">
        <f>FEE_1_Out!$H103</f>
        <v>12200.384850777269</v>
      </c>
      <c r="I84" s="104">
        <f>FEE_2_In!$H103</f>
        <v>15319.196729015843</v>
      </c>
      <c r="J84" s="104">
        <f>FEE_2_Out!$H103</f>
        <v>13358.015033523985</v>
      </c>
      <c r="K84" s="104">
        <f>FEE_3_In!$H103</f>
        <v>15238.34372854687</v>
      </c>
      <c r="L84" s="104">
        <f>FEE_3_Out!$H103</f>
        <v>14729.582146288305</v>
      </c>
      <c r="M84" s="104">
        <f>FEE_4_In!$H103</f>
        <v>14304.256605381315</v>
      </c>
      <c r="N84" s="104">
        <f>FEE_4_Out!$H103</f>
        <v>15433.414946549708</v>
      </c>
      <c r="O84" s="752">
        <f t="shared" si="24"/>
        <v>12.200384850777269</v>
      </c>
      <c r="P84" s="752">
        <f t="shared" si="25"/>
        <v>12.200384850777269</v>
      </c>
      <c r="Q84" s="752">
        <f t="shared" si="26"/>
        <v>15.319196729015843</v>
      </c>
      <c r="R84" s="752">
        <f t="shared" si="27"/>
        <v>13.358015033523985</v>
      </c>
      <c r="S84" s="752">
        <f t="shared" si="28"/>
        <v>15.238343728546869</v>
      </c>
      <c r="T84" s="752">
        <f t="shared" si="29"/>
        <v>14.729582146288305</v>
      </c>
      <c r="U84" s="752">
        <f t="shared" si="30"/>
        <v>14.304256605381315</v>
      </c>
      <c r="V84" s="752">
        <f t="shared" si="31"/>
        <v>15.433414946549709</v>
      </c>
      <c r="W84" s="20" t="s">
        <v>946</v>
      </c>
    </row>
    <row r="85" spans="1:23" s="20" customFormat="1" x14ac:dyDescent="0.25">
      <c r="A85" s="20" t="s">
        <v>914</v>
      </c>
      <c r="B85" s="56" t="str">
        <f>ITE_LUC_Rates!C86</f>
        <v>1,000,001 - 1,200,000</v>
      </c>
      <c r="C85" s="57" t="str">
        <f>ITE_LUC_Rates!D86</f>
        <v>1000 GSF</v>
      </c>
      <c r="D85" s="129">
        <f>ITE_LUC_Rates!H86</f>
        <v>27.910949113552771</v>
      </c>
      <c r="E85" s="58" t="s">
        <v>71</v>
      </c>
      <c r="F85" s="104">
        <f>ITE_LUC_Rates!Q86</f>
        <v>19521.3</v>
      </c>
      <c r="G85" s="104">
        <f>FEE_1_Out!$H104</f>
        <v>11441.566104624497</v>
      </c>
      <c r="H85" s="104">
        <f>FEE_1_Out!$H104</f>
        <v>11441.566104624497</v>
      </c>
      <c r="I85" s="104">
        <f>FEE_2_In!$H104</f>
        <v>14366.399436458403</v>
      </c>
      <c r="J85" s="104">
        <f>FEE_2_Out!$H104</f>
        <v>12527.195977993722</v>
      </c>
      <c r="K85" s="104">
        <f>FEE_3_In!$H104</f>
        <v>14290.5751931302</v>
      </c>
      <c r="L85" s="104">
        <f>FEE_3_Out!$H104</f>
        <v>13813.456696779338</v>
      </c>
      <c r="M85" s="104">
        <f>FEE_4_In!$H104</f>
        <v>13414.584829064243</v>
      </c>
      <c r="N85" s="104">
        <f>FEE_4_Out!$H104</f>
        <v>14473.513703938484</v>
      </c>
      <c r="O85" s="752">
        <f t="shared" si="24"/>
        <v>11.441566104624497</v>
      </c>
      <c r="P85" s="752">
        <f t="shared" si="25"/>
        <v>11.441566104624497</v>
      </c>
      <c r="Q85" s="752">
        <f t="shared" si="26"/>
        <v>14.366399436458403</v>
      </c>
      <c r="R85" s="752">
        <f t="shared" si="27"/>
        <v>12.527195977993722</v>
      </c>
      <c r="S85" s="752">
        <f t="shared" si="28"/>
        <v>14.2905751931302</v>
      </c>
      <c r="T85" s="752">
        <f t="shared" si="29"/>
        <v>13.813456696779339</v>
      </c>
      <c r="U85" s="752">
        <f t="shared" si="30"/>
        <v>13.414584829064243</v>
      </c>
      <c r="V85" s="752">
        <f t="shared" si="31"/>
        <v>14.473513703938485</v>
      </c>
      <c r="W85" s="20" t="s">
        <v>946</v>
      </c>
    </row>
    <row r="86" spans="1:23" s="20" customFormat="1" x14ac:dyDescent="0.25">
      <c r="A86" s="20" t="s">
        <v>915</v>
      </c>
      <c r="B86" s="56" t="str">
        <f>ITE_LUC_Rates!C87</f>
        <v>1,200,001 - more</v>
      </c>
      <c r="C86" s="57" t="str">
        <f>ITE_LUC_Rates!D87</f>
        <v>1000 GSF</v>
      </c>
      <c r="D86" s="129">
        <f>ITE_LUC_Rates!H87</f>
        <v>26.458084032221276</v>
      </c>
      <c r="E86" s="58" t="s">
        <v>71</v>
      </c>
      <c r="F86" s="104">
        <f>ITE_LUC_Rates!Q87</f>
        <v>19248.8</v>
      </c>
      <c r="G86" s="104">
        <f>FEE_1_Out!$H105</f>
        <v>10845.991521992933</v>
      </c>
      <c r="H86" s="104">
        <f>FEE_1_Out!$H105</f>
        <v>10845.991521992933</v>
      </c>
      <c r="I86" s="104">
        <f>FEE_2_In!$H105</f>
        <v>13618.576780884296</v>
      </c>
      <c r="J86" s="104">
        <f>FEE_2_Out!$H105</f>
        <v>11875.110463833047</v>
      </c>
      <c r="K86" s="104">
        <f>FEE_3_In!$H105</f>
        <v>13546.699461575112</v>
      </c>
      <c r="L86" s="104">
        <f>FEE_3_Out!$H105</f>
        <v>13094.416695467078</v>
      </c>
      <c r="M86" s="104">
        <f>FEE_4_In!$H105</f>
        <v>12716.307540125936</v>
      </c>
      <c r="N86" s="104">
        <f>FEE_4_Out!$H105</f>
        <v>13720.115366279862</v>
      </c>
      <c r="O86" s="752">
        <f t="shared" si="24"/>
        <v>10.845991521992934</v>
      </c>
      <c r="P86" s="752">
        <f t="shared" si="25"/>
        <v>10.845991521992934</v>
      </c>
      <c r="Q86" s="752">
        <f t="shared" si="26"/>
        <v>13.618576780884295</v>
      </c>
      <c r="R86" s="752">
        <f t="shared" si="27"/>
        <v>11.875110463833048</v>
      </c>
      <c r="S86" s="752">
        <f t="shared" si="28"/>
        <v>13.546699461575113</v>
      </c>
      <c r="T86" s="752">
        <f t="shared" si="29"/>
        <v>13.094416695467078</v>
      </c>
      <c r="U86" s="752">
        <f t="shared" si="30"/>
        <v>12.716307540125936</v>
      </c>
      <c r="V86" s="752">
        <f t="shared" si="31"/>
        <v>13.720115366279863</v>
      </c>
      <c r="W86" s="20" t="s">
        <v>946</v>
      </c>
    </row>
    <row r="87" spans="1:23" s="20" customFormat="1" x14ac:dyDescent="0.25">
      <c r="A87" s="20" t="s">
        <v>916</v>
      </c>
      <c r="B87" s="135" t="str">
        <f>ITE_LUC_Rates!C88</f>
        <v>Factory Outlet Center</v>
      </c>
      <c r="C87" s="232" t="str">
        <f>ITE_LUC_Rates!D88</f>
        <v>1000 GSF</v>
      </c>
      <c r="D87" s="233">
        <f>ITE_LUC_Rates!H88</f>
        <v>26.59</v>
      </c>
      <c r="E87" s="136" t="s">
        <v>71</v>
      </c>
      <c r="F87" s="137">
        <f>ITE_LUC_Rates!Q88</f>
        <v>0</v>
      </c>
      <c r="G87" s="104">
        <f>FEE_1_Out!$H106</f>
        <v>10900.067979925456</v>
      </c>
      <c r="H87" s="104">
        <f>FEE_1_Out!$H106</f>
        <v>10900.067979925456</v>
      </c>
      <c r="I87" s="104">
        <f>FEE_2_In!$H106</f>
        <v>13686.47692564275</v>
      </c>
      <c r="J87" s="104">
        <f>FEE_2_Out!$H106</f>
        <v>11934.317951699823</v>
      </c>
      <c r="K87" s="104">
        <f>FEE_3_In!$H106</f>
        <v>13614.241236992597</v>
      </c>
      <c r="L87" s="104">
        <f>FEE_3_Out!$H106</f>
        <v>13159.703458060196</v>
      </c>
      <c r="M87" s="104">
        <f>FEE_4_In!$H106</f>
        <v>12779.709108194305</v>
      </c>
      <c r="N87" s="104">
        <f>FEE_4_Out!$H106</f>
        <v>13788.521766923781</v>
      </c>
      <c r="O87" s="752">
        <f t="shared" si="24"/>
        <v>10.900067979925456</v>
      </c>
      <c r="P87" s="752">
        <f t="shared" si="25"/>
        <v>10.900067979925456</v>
      </c>
      <c r="Q87" s="752">
        <f t="shared" si="26"/>
        <v>13.686476925642749</v>
      </c>
      <c r="R87" s="752">
        <f t="shared" si="27"/>
        <v>11.934317951699823</v>
      </c>
      <c r="S87" s="752">
        <f t="shared" si="28"/>
        <v>13.614241236992596</v>
      </c>
      <c r="T87" s="752">
        <f t="shared" si="29"/>
        <v>13.159703458060196</v>
      </c>
      <c r="U87" s="752">
        <f t="shared" si="30"/>
        <v>12.779709108194306</v>
      </c>
      <c r="V87" s="752">
        <f t="shared" si="31"/>
        <v>13.788521766923781</v>
      </c>
      <c r="W87" s="20" t="s">
        <v>946</v>
      </c>
    </row>
    <row r="88" spans="1:23" s="20" customFormat="1" x14ac:dyDescent="0.25">
      <c r="A88" s="20" t="s">
        <v>917</v>
      </c>
      <c r="B88" s="56" t="str">
        <f>ITE_LUC_Rates!C89</f>
        <v>Car Sales (New &amp; Used Car Sales Area)</v>
      </c>
      <c r="C88" s="57" t="str">
        <f>ITE_LUC_Rates!D89</f>
        <v>1000 GSF</v>
      </c>
      <c r="D88" s="129">
        <f>ITE_LUC_Rates!H89</f>
        <v>27.84</v>
      </c>
      <c r="E88" s="58" t="s">
        <v>71</v>
      </c>
      <c r="F88" s="104">
        <f>ITE_LUC_Rates!Q89</f>
        <v>24316.7</v>
      </c>
      <c r="G88" s="104">
        <f>FEE_1_Out!$H107</f>
        <v>11412.481856379267</v>
      </c>
      <c r="H88" s="104">
        <f>FEE_1_Out!$H107</f>
        <v>11412.481856379267</v>
      </c>
      <c r="I88" s="104">
        <f>FEE_2_In!$H107</f>
        <v>14329.880316280334</v>
      </c>
      <c r="J88" s="104">
        <f>FEE_2_Out!$H107</f>
        <v>12495.352078801168</v>
      </c>
      <c r="K88" s="104">
        <f>FEE_3_In!$H107</f>
        <v>14254.248816768479</v>
      </c>
      <c r="L88" s="104">
        <f>FEE_3_Out!$H107</f>
        <v>13778.343146761785</v>
      </c>
      <c r="M88" s="104">
        <f>FEE_4_In!$H107</f>
        <v>13380.485203916116</v>
      </c>
      <c r="N88" s="104">
        <f>FEE_4_Out!$H107</f>
        <v>14436.722301284617</v>
      </c>
      <c r="O88" s="752">
        <f t="shared" si="24"/>
        <v>11.412481856379268</v>
      </c>
      <c r="P88" s="752">
        <f t="shared" si="25"/>
        <v>11.412481856379268</v>
      </c>
      <c r="Q88" s="752">
        <f t="shared" si="26"/>
        <v>14.329880316280335</v>
      </c>
      <c r="R88" s="752">
        <f t="shared" si="27"/>
        <v>12.495352078801169</v>
      </c>
      <c r="S88" s="752">
        <f t="shared" si="28"/>
        <v>14.254248816768479</v>
      </c>
      <c r="T88" s="752">
        <f t="shared" si="29"/>
        <v>13.778343146761785</v>
      </c>
      <c r="U88" s="752">
        <f t="shared" si="30"/>
        <v>13.380485203916116</v>
      </c>
      <c r="V88" s="752">
        <f t="shared" si="31"/>
        <v>14.436722301284616</v>
      </c>
      <c r="W88" s="20" t="s">
        <v>946</v>
      </c>
    </row>
    <row r="89" spans="1:23" s="20" customFormat="1" x14ac:dyDescent="0.25">
      <c r="A89" s="20" t="s">
        <v>918</v>
      </c>
      <c r="B89" s="56" t="str">
        <f>ITE_LUC_Rates!C90</f>
        <v>Car Sales (Parts Sales)</v>
      </c>
      <c r="C89" s="57" t="str">
        <f>ITE_LUC_Rates!D90</f>
        <v>1000 GSF</v>
      </c>
      <c r="D89" s="129">
        <f>ITE_LUC_Rates!H90</f>
        <v>55.34</v>
      </c>
      <c r="E89" s="58" t="s">
        <v>71</v>
      </c>
      <c r="F89" s="104">
        <f>ITE_LUC_Rates!Q90</f>
        <v>15535</v>
      </c>
      <c r="G89" s="104">
        <f>FEE_1_Out!$H108</f>
        <v>22685.587138363098</v>
      </c>
      <c r="H89" s="104">
        <f>FEE_1_Out!$H108</f>
        <v>22685.587138363098</v>
      </c>
      <c r="I89" s="104">
        <f>FEE_2_In!$H108</f>
        <v>28484.754910307252</v>
      </c>
      <c r="J89" s="104">
        <f>FEE_2_Out!$H108</f>
        <v>24838.102875030771</v>
      </c>
      <c r="K89" s="104">
        <f>FEE_3_In!$H108</f>
        <v>28334.415571837922</v>
      </c>
      <c r="L89" s="104">
        <f>FEE_3_Out!$H108</f>
        <v>27388.416298196742</v>
      </c>
      <c r="M89" s="104">
        <f>FEE_4_In!$H108</f>
        <v>26597.559309795903</v>
      </c>
      <c r="N89" s="104">
        <f>FEE_4_Out!$H108</f>
        <v>28697.134057223095</v>
      </c>
      <c r="O89" s="752">
        <f t="shared" si="24"/>
        <v>22.685587138363097</v>
      </c>
      <c r="P89" s="752">
        <f t="shared" si="25"/>
        <v>22.685587138363097</v>
      </c>
      <c r="Q89" s="752">
        <f t="shared" si="26"/>
        <v>28.484754910307252</v>
      </c>
      <c r="R89" s="752">
        <f t="shared" si="27"/>
        <v>24.838102875030771</v>
      </c>
      <c r="S89" s="752">
        <f t="shared" si="28"/>
        <v>28.334415571837923</v>
      </c>
      <c r="T89" s="752">
        <f t="shared" si="29"/>
        <v>27.388416298196741</v>
      </c>
      <c r="U89" s="752">
        <f t="shared" si="30"/>
        <v>26.597559309795901</v>
      </c>
      <c r="V89" s="752">
        <f t="shared" si="31"/>
        <v>28.697134057223096</v>
      </c>
      <c r="W89" s="20" t="s">
        <v>946</v>
      </c>
    </row>
    <row r="90" spans="1:23" s="20" customFormat="1" x14ac:dyDescent="0.25">
      <c r="A90" s="20" t="s">
        <v>919</v>
      </c>
      <c r="B90" s="56" t="str">
        <f>ITE_LUC_Rates!C91</f>
        <v>Tire Stores</v>
      </c>
      <c r="C90" s="57" t="str">
        <f>ITE_LUC_Rates!D91</f>
        <v>1000 GSF</v>
      </c>
      <c r="D90" s="129">
        <f>ITE_LUC_Rates!H91</f>
        <v>28.52</v>
      </c>
      <c r="E90" s="58" t="s">
        <v>71</v>
      </c>
      <c r="F90" s="104">
        <f>ITE_LUC_Rates!Q91</f>
        <v>24027.4</v>
      </c>
      <c r="G90" s="104">
        <f>FEE_1_Out!$H109</f>
        <v>11691.23500517014</v>
      </c>
      <c r="H90" s="104">
        <f>FEE_1_Out!$H109</f>
        <v>11691.23500517014</v>
      </c>
      <c r="I90" s="104">
        <f>FEE_2_In!$H109</f>
        <v>14679.891760787183</v>
      </c>
      <c r="J90" s="104">
        <f>FEE_2_Out!$H109</f>
        <v>12800.554643944297</v>
      </c>
      <c r="K90" s="104">
        <f>FEE_3_In!$H109</f>
        <v>14602.412940166558</v>
      </c>
      <c r="L90" s="104">
        <f>FEE_3_Out!$H109</f>
        <v>14114.883137415449</v>
      </c>
      <c r="M90" s="104">
        <f>FEE_4_In!$H109</f>
        <v>13707.307399988777</v>
      </c>
      <c r="N90" s="104">
        <f>FEE_4_Out!$H109</f>
        <v>14789.343391976912</v>
      </c>
      <c r="O90" s="752">
        <f t="shared" si="24"/>
        <v>11.691235005170139</v>
      </c>
      <c r="P90" s="752">
        <f t="shared" si="25"/>
        <v>11.691235005170139</v>
      </c>
      <c r="Q90" s="752">
        <f t="shared" si="26"/>
        <v>14.679891760787182</v>
      </c>
      <c r="R90" s="752">
        <f t="shared" si="27"/>
        <v>12.800554643944297</v>
      </c>
      <c r="S90" s="752">
        <f t="shared" si="28"/>
        <v>14.602412940166557</v>
      </c>
      <c r="T90" s="752">
        <f t="shared" si="29"/>
        <v>14.114883137415449</v>
      </c>
      <c r="U90" s="752">
        <f t="shared" si="30"/>
        <v>13.707307399988776</v>
      </c>
      <c r="V90" s="752">
        <f t="shared" si="31"/>
        <v>14.789343391976912</v>
      </c>
      <c r="W90" s="20" t="s">
        <v>946</v>
      </c>
    </row>
    <row r="91" spans="1:23" s="20" customFormat="1" x14ac:dyDescent="0.25">
      <c r="A91" s="20" t="s">
        <v>920</v>
      </c>
      <c r="B91" s="56" t="str">
        <f>ITE_LUC_Rates!C92</f>
        <v>Supermarket (free standing)</v>
      </c>
      <c r="C91" s="57" t="str">
        <f>ITE_LUC_Rates!D92</f>
        <v>1000 GSF</v>
      </c>
      <c r="D91" s="129">
        <f>ITE_LUC_Rates!H92</f>
        <v>106.78</v>
      </c>
      <c r="E91" s="58" t="s">
        <v>71</v>
      </c>
      <c r="F91" s="104">
        <f>ITE_LUC_Rates!Q92</f>
        <v>19750</v>
      </c>
      <c r="G91" s="104">
        <f>FEE_1_Out!$H110</f>
        <v>9686.9545208283726</v>
      </c>
      <c r="H91" s="104">
        <f>FEE_1_Out!$H110</f>
        <v>9686.9545208283726</v>
      </c>
      <c r="I91" s="104">
        <f>FEE_2_In!$H110</f>
        <v>12163.252538721774</v>
      </c>
      <c r="J91" s="104">
        <f>FEE_2_Out!$H110</f>
        <v>10606.098553525939</v>
      </c>
      <c r="K91" s="104">
        <f>FEE_3_In!$H110</f>
        <v>12099.056257375321</v>
      </c>
      <c r="L91" s="104">
        <f>FEE_3_Out!$H110</f>
        <v>11695.105859944259</v>
      </c>
      <c r="M91" s="104">
        <f>FEE_4_In!$H110</f>
        <v>11357.402646340284</v>
      </c>
      <c r="N91" s="104">
        <f>FEE_4_Out!$H110</f>
        <v>12253.940389329222</v>
      </c>
      <c r="O91" s="752">
        <f t="shared" si="24"/>
        <v>9.6869545208283725</v>
      </c>
      <c r="P91" s="752">
        <f t="shared" si="25"/>
        <v>9.6869545208283725</v>
      </c>
      <c r="Q91" s="752">
        <f t="shared" si="26"/>
        <v>12.163252538721775</v>
      </c>
      <c r="R91" s="752">
        <f t="shared" si="27"/>
        <v>10.606098553525939</v>
      </c>
      <c r="S91" s="752">
        <f t="shared" si="28"/>
        <v>12.099056257375322</v>
      </c>
      <c r="T91" s="752">
        <f t="shared" si="29"/>
        <v>11.695105859944258</v>
      </c>
      <c r="U91" s="752">
        <f t="shared" si="30"/>
        <v>11.357402646340285</v>
      </c>
      <c r="V91" s="752">
        <f t="shared" si="31"/>
        <v>12.253940389329221</v>
      </c>
      <c r="W91" s="20" t="s">
        <v>946</v>
      </c>
    </row>
    <row r="92" spans="1:23" s="20" customFormat="1" x14ac:dyDescent="0.25">
      <c r="A92" s="20" t="s">
        <v>921</v>
      </c>
      <c r="B92" s="56" t="str">
        <f>ITE_LUC_Rates!C93</f>
        <v>Convenience market</v>
      </c>
      <c r="C92" s="57" t="str">
        <f>ITE_LUC_Rates!D93</f>
        <v>1000 GSF</v>
      </c>
      <c r="D92" s="129">
        <f>ITE_LUC_Rates!H93</f>
        <v>762.28</v>
      </c>
      <c r="E92" s="58" t="s">
        <v>71</v>
      </c>
      <c r="F92" s="104">
        <f>ITE_LUC_Rates!Q93</f>
        <v>52868.6</v>
      </c>
      <c r="G92" s="104">
        <f>FEE_1_Out!$H111</f>
        <v>73023.204964202989</v>
      </c>
      <c r="H92" s="104">
        <f>FEE_1_Out!$H111</f>
        <v>73023.204964202989</v>
      </c>
      <c r="I92" s="104">
        <f>FEE_2_In!$H111</f>
        <v>91690.291438520027</v>
      </c>
      <c r="J92" s="104">
        <f>FEE_2_Out!$H111</f>
        <v>79951.991813256871</v>
      </c>
      <c r="K92" s="104">
        <f>FEE_3_In!$H111</f>
        <v>91206.360374260126</v>
      </c>
      <c r="L92" s="104">
        <f>FEE_3_Out!$H111</f>
        <v>88161.259604605933</v>
      </c>
      <c r="M92" s="104">
        <f>FEE_4_In!$H111</f>
        <v>85615.550224939681</v>
      </c>
      <c r="N92" s="104">
        <f>FEE_4_Out!$H111</f>
        <v>92373.923996970829</v>
      </c>
      <c r="O92" s="752">
        <f t="shared" si="24"/>
        <v>73.023204964202989</v>
      </c>
      <c r="P92" s="752">
        <f t="shared" si="25"/>
        <v>73.023204964202989</v>
      </c>
      <c r="Q92" s="752">
        <f t="shared" si="26"/>
        <v>91.690291438520021</v>
      </c>
      <c r="R92" s="752">
        <f t="shared" si="27"/>
        <v>79.951991813256868</v>
      </c>
      <c r="S92" s="752">
        <f t="shared" si="28"/>
        <v>91.206360374260129</v>
      </c>
      <c r="T92" s="752">
        <f t="shared" si="29"/>
        <v>88.161259604605931</v>
      </c>
      <c r="U92" s="752">
        <f t="shared" si="30"/>
        <v>85.615550224939682</v>
      </c>
      <c r="V92" s="752">
        <f t="shared" si="31"/>
        <v>92.373923996970831</v>
      </c>
      <c r="W92" s="20" t="s">
        <v>946</v>
      </c>
    </row>
    <row r="93" spans="1:23" s="20" customFormat="1" x14ac:dyDescent="0.25">
      <c r="A93" s="20" t="s">
        <v>922</v>
      </c>
      <c r="B93" s="56" t="str">
        <f>ITE_LUC_Rates!C94</f>
        <v>Convenience market with Gasoline Pump</v>
      </c>
      <c r="C93" s="57" t="str">
        <f>ITE_LUC_Rates!D94</f>
        <v>1000 GSF</v>
      </c>
      <c r="D93" s="129">
        <f>ITE_LUC_Rates!H94</f>
        <v>624.20000000000005</v>
      </c>
      <c r="E93" s="58" t="s">
        <v>71</v>
      </c>
      <c r="F93" s="104">
        <f>ITE_LUC_Rates!Q94</f>
        <v>60577.2</v>
      </c>
      <c r="G93" s="104">
        <f>FEE_1_Out!$H112</f>
        <v>59795.724062884394</v>
      </c>
      <c r="H93" s="104">
        <f>FEE_1_Out!$H112</f>
        <v>59795.724062884394</v>
      </c>
      <c r="I93" s="104">
        <f>FEE_2_In!$H112</f>
        <v>75081.43978055859</v>
      </c>
      <c r="J93" s="104">
        <f>FEE_2_Out!$H112</f>
        <v>65469.425001095311</v>
      </c>
      <c r="K93" s="104">
        <f>FEE_3_In!$H112</f>
        <v>74685.168370694737</v>
      </c>
      <c r="L93" s="104">
        <f>FEE_3_Out!$H112</f>
        <v>72191.659554487895</v>
      </c>
      <c r="M93" s="104">
        <f>FEE_4_In!$H112</f>
        <v>70107.08197828535</v>
      </c>
      <c r="N93" s="104">
        <f>FEE_4_Out!$H112</f>
        <v>75641.238598558528</v>
      </c>
      <c r="O93" s="752">
        <f t="shared" si="24"/>
        <v>59.795724062884396</v>
      </c>
      <c r="P93" s="752">
        <f t="shared" si="25"/>
        <v>59.795724062884396</v>
      </c>
      <c r="Q93" s="752">
        <f t="shared" si="26"/>
        <v>75.081439780558597</v>
      </c>
      <c r="R93" s="752">
        <f t="shared" si="27"/>
        <v>65.469425001095317</v>
      </c>
      <c r="S93" s="752">
        <f t="shared" si="28"/>
        <v>74.68516837069474</v>
      </c>
      <c r="T93" s="752">
        <f t="shared" si="29"/>
        <v>72.191659554487899</v>
      </c>
      <c r="U93" s="752">
        <f t="shared" si="30"/>
        <v>70.10708197828535</v>
      </c>
      <c r="V93" s="752">
        <f t="shared" si="31"/>
        <v>75.64123859855853</v>
      </c>
      <c r="W93" s="20" t="s">
        <v>946</v>
      </c>
    </row>
    <row r="94" spans="1:23" s="20" customFormat="1" x14ac:dyDescent="0.25">
      <c r="A94" s="20" t="s">
        <v>923</v>
      </c>
      <c r="B94" s="135" t="str">
        <f>ITE_LUC_Rates!C95</f>
        <v>Discount Club</v>
      </c>
      <c r="C94" s="232" t="str">
        <f>ITE_LUC_Rates!D95</f>
        <v>1000 GSF</v>
      </c>
      <c r="D94" s="233">
        <f>ITE_LUC_Rates!H95</f>
        <v>41.8</v>
      </c>
      <c r="E94" s="136" t="s">
        <v>71</v>
      </c>
      <c r="F94" s="137">
        <f>ITE_LUC_Rates!Q95</f>
        <v>0</v>
      </c>
      <c r="G94" s="104">
        <f>FEE_1_Out!$H113</f>
        <v>17135.120028615424</v>
      </c>
      <c r="H94" s="104">
        <f>FEE_1_Out!$H113</f>
        <v>17135.120028615424</v>
      </c>
      <c r="I94" s="104">
        <f>FEE_2_In!$H113</f>
        <v>21515.409382920909</v>
      </c>
      <c r="J94" s="104">
        <f>FEE_2_Out!$H113</f>
        <v>18760.981210268998</v>
      </c>
      <c r="K94" s="104">
        <f>FEE_3_In!$H113</f>
        <v>21401.853467705547</v>
      </c>
      <c r="L94" s="104">
        <f>FEE_3_Out!$H113</f>
        <v>20687.311190181132</v>
      </c>
      <c r="M94" s="104">
        <f>FEE_4_In!$H113</f>
        <v>20089.952640937274</v>
      </c>
      <c r="N94" s="104">
        <f>FEE_4_Out!$H113</f>
        <v>21675.825869026474</v>
      </c>
      <c r="O94" s="752">
        <f t="shared" si="24"/>
        <v>17.135120028615425</v>
      </c>
      <c r="P94" s="752">
        <f t="shared" si="25"/>
        <v>17.135120028615425</v>
      </c>
      <c r="Q94" s="752">
        <f t="shared" si="26"/>
        <v>21.515409382920907</v>
      </c>
      <c r="R94" s="752">
        <f t="shared" si="27"/>
        <v>18.760981210268998</v>
      </c>
      <c r="S94" s="752">
        <f t="shared" si="28"/>
        <v>21.401853467705546</v>
      </c>
      <c r="T94" s="752">
        <f t="shared" si="29"/>
        <v>20.687311190181131</v>
      </c>
      <c r="U94" s="752">
        <f t="shared" si="30"/>
        <v>20.089952640937273</v>
      </c>
      <c r="V94" s="752">
        <f t="shared" si="31"/>
        <v>21.675825869026475</v>
      </c>
      <c r="W94" s="20" t="s">
        <v>946</v>
      </c>
    </row>
    <row r="95" spans="1:23" s="20" customFormat="1" x14ac:dyDescent="0.25">
      <c r="A95" s="20" t="s">
        <v>924</v>
      </c>
      <c r="B95" s="135" t="str">
        <f>ITE_LUC_Rates!C96</f>
        <v>Sporting Goods Store</v>
      </c>
      <c r="C95" s="232" t="str">
        <f>ITE_LUC_Rates!D96</f>
        <v>1000 GSF</v>
      </c>
      <c r="D95" s="233">
        <f>ITE_LUC_Rates!H96</f>
        <v>28.75</v>
      </c>
      <c r="E95" s="136" t="s">
        <v>71</v>
      </c>
      <c r="F95" s="137">
        <f>ITE_LUC_Rates!Q96</f>
        <v>0</v>
      </c>
      <c r="G95" s="104">
        <f>FEE_1_Out!$H114</f>
        <v>11785.519158437643</v>
      </c>
      <c r="H95" s="104">
        <f>FEE_1_Out!$H114</f>
        <v>11785.519158437643</v>
      </c>
      <c r="I95" s="104">
        <f>FEE_2_In!$H114</f>
        <v>14798.277984664495</v>
      </c>
      <c r="J95" s="104">
        <f>FEE_2_Out!$H114</f>
        <v>12903.784923330946</v>
      </c>
      <c r="K95" s="104">
        <f>FEE_3_In!$H114</f>
        <v>14720.174334845322</v>
      </c>
      <c r="L95" s="104">
        <f>FEE_3_Out!$H114</f>
        <v>14228.712840136544</v>
      </c>
      <c r="M95" s="104">
        <f>FEE_4_In!$H114</f>
        <v>13817.85020160159</v>
      </c>
      <c r="N95" s="104">
        <f>FEE_4_Out!$H114</f>
        <v>14908.61229029931</v>
      </c>
      <c r="O95" s="752">
        <f t="shared" si="24"/>
        <v>11.785519158437642</v>
      </c>
      <c r="P95" s="752">
        <f t="shared" si="25"/>
        <v>11.785519158437642</v>
      </c>
      <c r="Q95" s="752">
        <f t="shared" si="26"/>
        <v>14.798277984664495</v>
      </c>
      <c r="R95" s="752">
        <f t="shared" si="27"/>
        <v>12.903784923330946</v>
      </c>
      <c r="S95" s="752">
        <f t="shared" si="28"/>
        <v>14.720174334845321</v>
      </c>
      <c r="T95" s="752">
        <f t="shared" si="29"/>
        <v>14.228712840136545</v>
      </c>
      <c r="U95" s="752">
        <f t="shared" si="30"/>
        <v>13.81785020160159</v>
      </c>
      <c r="V95" s="752">
        <f t="shared" si="31"/>
        <v>14.90861229029931</v>
      </c>
      <c r="W95" s="20" t="s">
        <v>946</v>
      </c>
    </row>
    <row r="96" spans="1:23" s="20" customFormat="1" x14ac:dyDescent="0.25">
      <c r="A96" s="20" t="s">
        <v>925</v>
      </c>
      <c r="B96" s="56" t="str">
        <f>ITE_LUC_Rates!C97</f>
        <v>Home Improvements Superstore</v>
      </c>
      <c r="C96" s="57" t="str">
        <f>ITE_LUC_Rates!D97</f>
        <v>1000 GSF</v>
      </c>
      <c r="D96" s="129">
        <f>ITE_LUC_Rates!H97</f>
        <v>30.74</v>
      </c>
      <c r="E96" s="58" t="s">
        <v>71</v>
      </c>
      <c r="F96" s="104">
        <f>ITE_LUC_Rates!Q97</f>
        <v>22273</v>
      </c>
      <c r="G96" s="104">
        <f>FEE_1_Out!$H115</f>
        <v>12601.282049752108</v>
      </c>
      <c r="H96" s="104">
        <f>FEE_1_Out!$H115</f>
        <v>12601.282049752108</v>
      </c>
      <c r="I96" s="104">
        <f>FEE_2_In!$H115</f>
        <v>15822.576182559535</v>
      </c>
      <c r="J96" s="104">
        <f>FEE_2_Out!$H115</f>
        <v>13796.951253676285</v>
      </c>
      <c r="K96" s="104">
        <f>FEE_3_In!$H115</f>
        <v>15739.066401848529</v>
      </c>
      <c r="L96" s="104">
        <f>FEE_3_Out!$H115</f>
        <v>15213.587224549472</v>
      </c>
      <c r="M96" s="104">
        <f>FEE_4_In!$H115</f>
        <v>14774.28574599071</v>
      </c>
      <c r="N96" s="104">
        <f>FEE_4_Out!$H115</f>
        <v>15940.547541001766</v>
      </c>
      <c r="O96" s="752">
        <f t="shared" si="24"/>
        <v>12.601282049752108</v>
      </c>
      <c r="P96" s="752">
        <f t="shared" si="25"/>
        <v>12.601282049752108</v>
      </c>
      <c r="Q96" s="752">
        <f t="shared" si="26"/>
        <v>15.822576182559535</v>
      </c>
      <c r="R96" s="752">
        <f t="shared" si="27"/>
        <v>13.796951253676285</v>
      </c>
      <c r="S96" s="752">
        <f t="shared" si="28"/>
        <v>15.739066401848529</v>
      </c>
      <c r="T96" s="752">
        <f t="shared" si="29"/>
        <v>15.213587224549473</v>
      </c>
      <c r="U96" s="752">
        <f t="shared" si="30"/>
        <v>14.77428574599071</v>
      </c>
      <c r="V96" s="752">
        <f t="shared" si="31"/>
        <v>15.940547541001767</v>
      </c>
      <c r="W96" s="20" t="s">
        <v>946</v>
      </c>
    </row>
    <row r="97" spans="1:23" s="20" customFormat="1" x14ac:dyDescent="0.25">
      <c r="A97" s="20" t="s">
        <v>926</v>
      </c>
      <c r="B97" s="135" t="str">
        <f>ITE_LUC_Rates!C98</f>
        <v>Electronics Superstore</v>
      </c>
      <c r="C97" s="232" t="str">
        <f>ITE_LUC_Rates!D98</f>
        <v>1000 GSF</v>
      </c>
      <c r="D97" s="233">
        <f>ITE_LUC_Rates!H98</f>
        <v>41.05</v>
      </c>
      <c r="E97" s="136" t="s">
        <v>71</v>
      </c>
      <c r="F97" s="137">
        <f>ITE_LUC_Rates!Q98</f>
        <v>0</v>
      </c>
      <c r="G97" s="104">
        <f>FEE_1_Out!$H116</f>
        <v>16827.671702743133</v>
      </c>
      <c r="H97" s="104">
        <f>FEE_1_Out!$H116</f>
        <v>16827.671702743133</v>
      </c>
      <c r="I97" s="104">
        <f>FEE_2_In!$H116</f>
        <v>21129.367348538355</v>
      </c>
      <c r="J97" s="104">
        <f>FEE_2_Out!$H116</f>
        <v>18424.360734008183</v>
      </c>
      <c r="K97" s="104">
        <f>FEE_3_In!$H116</f>
        <v>21017.848919840017</v>
      </c>
      <c r="L97" s="104">
        <f>FEE_3_Out!$H116</f>
        <v>20316.127376960176</v>
      </c>
      <c r="M97" s="104">
        <f>FEE_4_In!$H116</f>
        <v>19729.486983504186</v>
      </c>
      <c r="N97" s="104">
        <f>FEE_4_Out!$H116</f>
        <v>21286.90554840997</v>
      </c>
      <c r="O97" s="752">
        <f t="shared" si="24"/>
        <v>16.827671702743132</v>
      </c>
      <c r="P97" s="752">
        <f t="shared" si="25"/>
        <v>16.827671702743132</v>
      </c>
      <c r="Q97" s="752">
        <f t="shared" si="26"/>
        <v>21.129367348538356</v>
      </c>
      <c r="R97" s="752">
        <f t="shared" si="27"/>
        <v>18.424360734008182</v>
      </c>
      <c r="S97" s="752">
        <f t="shared" si="28"/>
        <v>21.017848919840016</v>
      </c>
      <c r="T97" s="752">
        <f t="shared" si="29"/>
        <v>20.316127376960175</v>
      </c>
      <c r="U97" s="752">
        <f t="shared" si="30"/>
        <v>19.729486983504188</v>
      </c>
      <c r="V97" s="752">
        <f t="shared" si="31"/>
        <v>21.286905548409969</v>
      </c>
      <c r="W97" s="20" t="s">
        <v>946</v>
      </c>
    </row>
    <row r="98" spans="1:23" s="20" customFormat="1" x14ac:dyDescent="0.25">
      <c r="A98" s="20" t="s">
        <v>927</v>
      </c>
      <c r="B98" s="135" t="str">
        <f>ITE_LUC_Rates!C99</f>
        <v>Book Superstore</v>
      </c>
      <c r="C98" s="232" t="str">
        <f>ITE_LUC_Rates!D99</f>
        <v>1000 GSF</v>
      </c>
      <c r="D98" s="233">
        <f>ITE_LUC_Rates!H99</f>
        <v>143.6</v>
      </c>
      <c r="E98" s="136" t="s">
        <v>71</v>
      </c>
      <c r="F98" s="137">
        <f>ITE_LUC_Rates!Q99</f>
        <v>0</v>
      </c>
      <c r="G98" s="104">
        <f>FEE_1_Out!$H117</f>
        <v>58866.106127013743</v>
      </c>
      <c r="H98" s="104">
        <f>FEE_1_Out!$H117</f>
        <v>58866.106127013743</v>
      </c>
      <c r="I98" s="104">
        <f>FEE_2_In!$H117</f>
        <v>73914.181516445984</v>
      </c>
      <c r="J98" s="104">
        <f>FEE_2_Out!$H117</f>
        <v>64451.600521402564</v>
      </c>
      <c r="K98" s="104">
        <f>FEE_3_In!$H117</f>
        <v>73524.070764653501</v>
      </c>
      <c r="L98" s="104">
        <f>FEE_3_Out!$H117</f>
        <v>71069.327438038512</v>
      </c>
      <c r="M98" s="104">
        <f>FEE_4_In!$H117</f>
        <v>69017.157876521334</v>
      </c>
      <c r="N98" s="104">
        <f>FEE_4_Out!$H117</f>
        <v>74465.277387373237</v>
      </c>
      <c r="O98" s="752">
        <f t="shared" si="24"/>
        <v>58.866106127013744</v>
      </c>
      <c r="P98" s="752">
        <f t="shared" si="25"/>
        <v>58.866106127013744</v>
      </c>
      <c r="Q98" s="752">
        <f t="shared" si="26"/>
        <v>73.914181516445979</v>
      </c>
      <c r="R98" s="752">
        <f t="shared" si="27"/>
        <v>64.451600521402568</v>
      </c>
      <c r="S98" s="752">
        <f t="shared" si="28"/>
        <v>73.524070764653501</v>
      </c>
      <c r="T98" s="752">
        <f t="shared" si="29"/>
        <v>71.069327438038513</v>
      </c>
      <c r="U98" s="752">
        <f t="shared" si="30"/>
        <v>69.017157876521338</v>
      </c>
      <c r="V98" s="752">
        <f t="shared" si="31"/>
        <v>74.465277387373234</v>
      </c>
      <c r="W98" s="20" t="s">
        <v>946</v>
      </c>
    </row>
    <row r="99" spans="1:23" s="20" customFormat="1" x14ac:dyDescent="0.25">
      <c r="A99" s="20" t="s">
        <v>928</v>
      </c>
      <c r="B99" s="135" t="str">
        <f>ITE_LUC_Rates!C100</f>
        <v>Discount Home Furnishing Superstore</v>
      </c>
      <c r="C99" s="232" t="str">
        <f>ITE_LUC_Rates!D100</f>
        <v>1000 GSF</v>
      </c>
      <c r="D99" s="233">
        <f>ITE_LUC_Rates!H100</f>
        <v>20</v>
      </c>
      <c r="E99" s="136" t="s">
        <v>71</v>
      </c>
      <c r="F99" s="137">
        <f>ITE_LUC_Rates!Q100</f>
        <v>0</v>
      </c>
      <c r="G99" s="104">
        <f>FEE_1_Out!$H118</f>
        <v>8198.6220232609685</v>
      </c>
      <c r="H99" s="104">
        <f>FEE_1_Out!$H118</f>
        <v>8198.6220232609685</v>
      </c>
      <c r="I99" s="104">
        <f>FEE_2_In!$H118</f>
        <v>10294.45425020139</v>
      </c>
      <c r="J99" s="104">
        <f>FEE_2_Out!$H118</f>
        <v>8976.5460336215256</v>
      </c>
      <c r="K99" s="104">
        <f>FEE_3_In!$H118</f>
        <v>10240.121276414138</v>
      </c>
      <c r="L99" s="104">
        <f>FEE_3_Out!$H118</f>
        <v>9898.2350192254198</v>
      </c>
      <c r="M99" s="104">
        <f>FEE_4_In!$H118</f>
        <v>9612.4175315489338</v>
      </c>
      <c r="N99" s="104">
        <f>FEE_4_Out!$H118</f>
        <v>10371.208549773433</v>
      </c>
      <c r="O99" s="752">
        <f t="shared" si="24"/>
        <v>8.1986220232609686</v>
      </c>
      <c r="P99" s="752">
        <f t="shared" si="25"/>
        <v>8.1986220232609686</v>
      </c>
      <c r="Q99" s="752">
        <f t="shared" si="26"/>
        <v>10.29445425020139</v>
      </c>
      <c r="R99" s="752">
        <f t="shared" si="27"/>
        <v>8.9765460336215259</v>
      </c>
      <c r="S99" s="752">
        <f t="shared" si="28"/>
        <v>10.240121276414138</v>
      </c>
      <c r="T99" s="752">
        <f t="shared" si="29"/>
        <v>9.8982350192254192</v>
      </c>
      <c r="U99" s="752">
        <f t="shared" si="30"/>
        <v>9.6124175315489335</v>
      </c>
      <c r="V99" s="752">
        <f t="shared" si="31"/>
        <v>10.371208549773433</v>
      </c>
      <c r="W99" s="20" t="s">
        <v>946</v>
      </c>
    </row>
    <row r="100" spans="1:23" s="20" customFormat="1" x14ac:dyDescent="0.25">
      <c r="A100" s="20" t="s">
        <v>929</v>
      </c>
      <c r="B100" s="56" t="str">
        <f>ITE_LUC_Rates!C101</f>
        <v>Department Store (free standing)</v>
      </c>
      <c r="C100" s="57" t="str">
        <f>ITE_LUC_Rates!D101</f>
        <v>1000 GSF</v>
      </c>
      <c r="D100" s="129">
        <f>ITE_LUC_Rates!H101</f>
        <v>22.88</v>
      </c>
      <c r="E100" s="58" t="s">
        <v>71</v>
      </c>
      <c r="F100" s="104">
        <f>ITE_LUC_Rates!Q101</f>
        <v>9283</v>
      </c>
      <c r="G100" s="104">
        <f>FEE_1_Out!$H119</f>
        <v>9379.2235946105466</v>
      </c>
      <c r="H100" s="104">
        <f>FEE_1_Out!$H119</f>
        <v>9379.2235946105466</v>
      </c>
      <c r="I100" s="104">
        <f>FEE_2_In!$H119</f>
        <v>11776.855662230388</v>
      </c>
      <c r="J100" s="104">
        <f>FEE_2_Out!$H119</f>
        <v>10269.168662463026</v>
      </c>
      <c r="K100" s="104">
        <f>FEE_3_In!$H119</f>
        <v>11714.698740217775</v>
      </c>
      <c r="L100" s="104">
        <f>FEE_3_Out!$H119</f>
        <v>11323.580861993882</v>
      </c>
      <c r="M100" s="104">
        <f>FEE_4_In!$H119</f>
        <v>10996.605656091981</v>
      </c>
      <c r="N100" s="104">
        <f>FEE_4_Out!$H119</f>
        <v>11864.662580940803</v>
      </c>
      <c r="O100" s="752">
        <f t="shared" si="24"/>
        <v>9.3792235946105471</v>
      </c>
      <c r="P100" s="752">
        <f t="shared" si="25"/>
        <v>9.3792235946105471</v>
      </c>
      <c r="Q100" s="752">
        <f t="shared" si="26"/>
        <v>11.776855662230387</v>
      </c>
      <c r="R100" s="752">
        <f t="shared" si="27"/>
        <v>10.269168662463025</v>
      </c>
      <c r="S100" s="752">
        <f t="shared" si="28"/>
        <v>11.714698740217775</v>
      </c>
      <c r="T100" s="752">
        <f t="shared" si="29"/>
        <v>11.323580861993882</v>
      </c>
      <c r="U100" s="752">
        <f t="shared" si="30"/>
        <v>10.996605656091981</v>
      </c>
      <c r="V100" s="752">
        <f t="shared" si="31"/>
        <v>11.864662580940804</v>
      </c>
      <c r="W100" s="20" t="s">
        <v>946</v>
      </c>
    </row>
    <row r="101" spans="1:23" s="20" customFormat="1" x14ac:dyDescent="0.25">
      <c r="A101" s="20" t="s">
        <v>930</v>
      </c>
      <c r="B101" s="135" t="str">
        <f>ITE_LUC_Rates!C102</f>
        <v>Apparel Store</v>
      </c>
      <c r="C101" s="232" t="str">
        <f>ITE_LUC_Rates!D102</f>
        <v>1000 GSF</v>
      </c>
      <c r="D101" s="233">
        <f>ITE_LUC_Rates!H102</f>
        <v>66.400000000000006</v>
      </c>
      <c r="E101" s="136" t="s">
        <v>71</v>
      </c>
      <c r="F101" s="137">
        <f>ITE_LUC_Rates!Q102</f>
        <v>0</v>
      </c>
      <c r="G101" s="104">
        <f>FEE_1_Out!$H120</f>
        <v>27219.425117226412</v>
      </c>
      <c r="H101" s="104">
        <f>FEE_1_Out!$H120</f>
        <v>27219.425117226412</v>
      </c>
      <c r="I101" s="104">
        <f>FEE_2_In!$H120</f>
        <v>34177.588110668621</v>
      </c>
      <c r="J101" s="104">
        <f>FEE_2_Out!$H120</f>
        <v>29802.132831623472</v>
      </c>
      <c r="K101" s="104">
        <f>FEE_3_In!$H120</f>
        <v>33997.202637694943</v>
      </c>
      <c r="L101" s="104">
        <f>FEE_3_Out!$H120</f>
        <v>32862.140263828398</v>
      </c>
      <c r="M101" s="104">
        <f>FEE_4_In!$H120</f>
        <v>31913.226204742459</v>
      </c>
      <c r="N101" s="104">
        <f>FEE_4_Out!$H120</f>
        <v>34432.412385247793</v>
      </c>
      <c r="O101" s="752">
        <f t="shared" si="24"/>
        <v>27.219425117226411</v>
      </c>
      <c r="P101" s="752">
        <f t="shared" si="25"/>
        <v>27.219425117226411</v>
      </c>
      <c r="Q101" s="752">
        <f t="shared" si="26"/>
        <v>34.177588110668623</v>
      </c>
      <c r="R101" s="752">
        <f t="shared" si="27"/>
        <v>29.802132831623471</v>
      </c>
      <c r="S101" s="752">
        <f t="shared" si="28"/>
        <v>33.99720263769494</v>
      </c>
      <c r="T101" s="752">
        <f t="shared" si="29"/>
        <v>32.862140263828401</v>
      </c>
      <c r="U101" s="752">
        <f t="shared" si="30"/>
        <v>31.913226204742458</v>
      </c>
      <c r="V101" s="752">
        <f t="shared" si="31"/>
        <v>34.432412385247794</v>
      </c>
      <c r="W101" s="20" t="s">
        <v>946</v>
      </c>
    </row>
    <row r="102" spans="1:23" s="20" customFormat="1" x14ac:dyDescent="0.25">
      <c r="A102" s="20" t="s">
        <v>931</v>
      </c>
      <c r="B102" s="135" t="str">
        <f>ITE_LUC_Rates!C103</f>
        <v>Arts &amp; Crafts Store</v>
      </c>
      <c r="C102" s="232" t="str">
        <f>ITE_LUC_Rates!D103</f>
        <v>1000 GSF</v>
      </c>
      <c r="D102" s="233">
        <f>ITE_LUC_Rates!H103</f>
        <v>56.55</v>
      </c>
      <c r="E102" s="136" t="s">
        <v>71</v>
      </c>
      <c r="F102" s="137">
        <f>ITE_LUC_Rates!Q103</f>
        <v>0</v>
      </c>
      <c r="G102" s="104">
        <f>FEE_1_Out!$H121</f>
        <v>23181.603770770387</v>
      </c>
      <c r="H102" s="104">
        <f>FEE_1_Out!$H121</f>
        <v>23181.603770770387</v>
      </c>
      <c r="I102" s="104">
        <f>FEE_2_In!$H121</f>
        <v>29107.569392444428</v>
      </c>
      <c r="J102" s="104">
        <f>FEE_2_Out!$H121</f>
        <v>25381.183910064861</v>
      </c>
      <c r="K102" s="104">
        <f>FEE_3_In!$H121</f>
        <v>28953.942909060966</v>
      </c>
      <c r="L102" s="104">
        <f>FEE_3_Out!$H121</f>
        <v>27987.259516859878</v>
      </c>
      <c r="M102" s="104">
        <f>FEE_4_In!$H121</f>
        <v>27179.110570454606</v>
      </c>
      <c r="N102" s="104">
        <f>FEE_4_Out!$H121</f>
        <v>29324.592174484373</v>
      </c>
      <c r="O102" s="752">
        <f t="shared" si="24"/>
        <v>23.181603770770387</v>
      </c>
      <c r="P102" s="752">
        <f t="shared" si="25"/>
        <v>23.181603770770387</v>
      </c>
      <c r="Q102" s="752">
        <f t="shared" si="26"/>
        <v>29.107569392444429</v>
      </c>
      <c r="R102" s="752">
        <f t="shared" si="27"/>
        <v>25.381183910064863</v>
      </c>
      <c r="S102" s="752">
        <f t="shared" si="28"/>
        <v>28.953942909060967</v>
      </c>
      <c r="T102" s="752">
        <f t="shared" si="29"/>
        <v>27.987259516859879</v>
      </c>
      <c r="U102" s="752">
        <f t="shared" si="30"/>
        <v>27.179110570454608</v>
      </c>
      <c r="V102" s="752">
        <f t="shared" si="31"/>
        <v>29.324592174484373</v>
      </c>
      <c r="W102" s="20" t="s">
        <v>946</v>
      </c>
    </row>
    <row r="103" spans="1:23" s="20" customFormat="1" x14ac:dyDescent="0.25">
      <c r="A103" s="20" t="s">
        <v>932</v>
      </c>
      <c r="B103" s="56" t="str">
        <f>ITE_LUC_Rates!C104</f>
        <v>Pharmacy/Drugstore w/o Drive-Thru</v>
      </c>
      <c r="C103" s="57" t="str">
        <f>ITE_LUC_Rates!D104</f>
        <v>1000 GSF</v>
      </c>
      <c r="D103" s="129">
        <f>ITE_LUC_Rates!H104</f>
        <v>90.08</v>
      </c>
      <c r="E103" s="58" t="s">
        <v>71</v>
      </c>
      <c r="F103" s="104">
        <f>ITE_LUC_Rates!Q104</f>
        <v>11136.5</v>
      </c>
      <c r="G103" s="104">
        <f>FEE_1_Out!$H122</f>
        <v>8629.2836007443511</v>
      </c>
      <c r="H103" s="104">
        <f>FEE_1_Out!$H122</f>
        <v>8629.2836007443511</v>
      </c>
      <c r="I103" s="104">
        <f>FEE_2_In!$H122</f>
        <v>10835.206817418642</v>
      </c>
      <c r="J103" s="104">
        <f>FEE_2_Out!$H122</f>
        <v>9448.0708172038867</v>
      </c>
      <c r="K103" s="104">
        <f>FEE_3_In!$H122</f>
        <v>10778.019812291221</v>
      </c>
      <c r="L103" s="104">
        <f>FEE_3_Out!$H122</f>
        <v>10418.174771977361</v>
      </c>
      <c r="M103" s="104">
        <f>FEE_4_In!$H122</f>
        <v>10117.343711316795</v>
      </c>
      <c r="N103" s="104">
        <f>FEE_4_Out!$H122</f>
        <v>10915.992907654843</v>
      </c>
      <c r="O103" s="752">
        <f t="shared" si="24"/>
        <v>8.6292836007443512</v>
      </c>
      <c r="P103" s="752">
        <f t="shared" si="25"/>
        <v>8.6292836007443512</v>
      </c>
      <c r="Q103" s="752">
        <f t="shared" si="26"/>
        <v>10.835206817418642</v>
      </c>
      <c r="R103" s="752">
        <f t="shared" si="27"/>
        <v>9.4480708172038863</v>
      </c>
      <c r="S103" s="752">
        <f t="shared" si="28"/>
        <v>10.778019812291221</v>
      </c>
      <c r="T103" s="752">
        <f t="shared" si="29"/>
        <v>10.418174771977361</v>
      </c>
      <c r="U103" s="752">
        <f t="shared" si="30"/>
        <v>10.117343711316794</v>
      </c>
      <c r="V103" s="752">
        <f t="shared" si="31"/>
        <v>10.915992907654843</v>
      </c>
      <c r="W103" s="20" t="s">
        <v>946</v>
      </c>
    </row>
    <row r="104" spans="1:23" s="20" customFormat="1" x14ac:dyDescent="0.25">
      <c r="A104" s="20" t="s">
        <v>933</v>
      </c>
      <c r="B104" s="56" t="str">
        <f>ITE_LUC_Rates!C105</f>
        <v>Pharmacy/Drugstore w/ Drive-Thru</v>
      </c>
      <c r="C104" s="57" t="str">
        <f>ITE_LUC_Rates!D105</f>
        <v>1000 GSF</v>
      </c>
      <c r="D104" s="129">
        <f>ITE_LUC_Rates!H105</f>
        <v>109.16</v>
      </c>
      <c r="E104" s="58" t="s">
        <v>71</v>
      </c>
      <c r="F104" s="104">
        <f>ITE_LUC_Rates!Q105</f>
        <v>11984.3</v>
      </c>
      <c r="G104" s="104">
        <f>FEE_1_Out!$H123</f>
        <v>10457.06702772262</v>
      </c>
      <c r="H104" s="104">
        <f>FEE_1_Out!$H123</f>
        <v>10457.06702772262</v>
      </c>
      <c r="I104" s="104">
        <f>FEE_2_In!$H123</f>
        <v>13130.230641534406</v>
      </c>
      <c r="J104" s="104">
        <f>FEE_2_Out!$H123</f>
        <v>11449.282975199556</v>
      </c>
      <c r="K104" s="104">
        <f>FEE_3_In!$H123</f>
        <v>13060.930758322707</v>
      </c>
      <c r="L104" s="104">
        <f>FEE_3_Out!$H123</f>
        <v>12624.866320038283</v>
      </c>
      <c r="M104" s="104">
        <f>FEE_4_In!$H123</f>
        <v>12260.315714113471</v>
      </c>
      <c r="N104" s="104">
        <f>FEE_4_Out!$H123</f>
        <v>13228.128172730934</v>
      </c>
      <c r="O104" s="752">
        <f t="shared" si="24"/>
        <v>10.457067027722619</v>
      </c>
      <c r="P104" s="752">
        <f t="shared" si="25"/>
        <v>10.457067027722619</v>
      </c>
      <c r="Q104" s="752">
        <f t="shared" si="26"/>
        <v>13.130230641534407</v>
      </c>
      <c r="R104" s="752">
        <f t="shared" si="27"/>
        <v>11.449282975199555</v>
      </c>
      <c r="S104" s="752">
        <f t="shared" si="28"/>
        <v>13.060930758322707</v>
      </c>
      <c r="T104" s="752">
        <f t="shared" si="29"/>
        <v>12.624866320038283</v>
      </c>
      <c r="U104" s="752">
        <f t="shared" si="30"/>
        <v>12.260315714113471</v>
      </c>
      <c r="V104" s="752">
        <f t="shared" si="31"/>
        <v>13.228128172730933</v>
      </c>
      <c r="W104" s="20" t="s">
        <v>946</v>
      </c>
    </row>
    <row r="105" spans="1:23" s="20" customFormat="1" x14ac:dyDescent="0.25">
      <c r="A105" s="20" t="s">
        <v>934</v>
      </c>
      <c r="B105" s="135" t="str">
        <f>ITE_LUC_Rates!C106</f>
        <v>Marijuana Dispensary</v>
      </c>
      <c r="C105" s="232" t="str">
        <f>ITE_LUC_Rates!D106</f>
        <v>1000 GSF</v>
      </c>
      <c r="D105" s="233">
        <f>ITE_LUC_Rates!H106</f>
        <v>252.7</v>
      </c>
      <c r="E105" s="136" t="s">
        <v>71</v>
      </c>
      <c r="F105" s="137">
        <f>ITE_LUC_Rates!Q106</f>
        <v>0</v>
      </c>
      <c r="G105" s="104">
        <f>FEE_1_Out!$H124</f>
        <v>103589.58926390232</v>
      </c>
      <c r="H105" s="104">
        <f>FEE_1_Out!$H124</f>
        <v>103589.58926390232</v>
      </c>
      <c r="I105" s="104">
        <f>FEE_2_In!$H124</f>
        <v>130070.42945129455</v>
      </c>
      <c r="J105" s="104">
        <f>FEE_2_Out!$H124</f>
        <v>113418.659134808</v>
      </c>
      <c r="K105" s="104">
        <f>FEE_3_In!$H124</f>
        <v>129383.9323274926</v>
      </c>
      <c r="L105" s="104">
        <f>FEE_3_Out!$H124</f>
        <v>125064.19946791319</v>
      </c>
      <c r="M105" s="104">
        <f>FEE_4_In!$H124</f>
        <v>121452.89551112076</v>
      </c>
      <c r="N105" s="104">
        <f>FEE_4_Out!$H124</f>
        <v>131040.22002638729</v>
      </c>
      <c r="O105" s="752">
        <f t="shared" si="24"/>
        <v>103.58958926390233</v>
      </c>
      <c r="P105" s="752">
        <f t="shared" si="25"/>
        <v>103.58958926390233</v>
      </c>
      <c r="Q105" s="752">
        <f t="shared" si="26"/>
        <v>130.07042945129456</v>
      </c>
      <c r="R105" s="752">
        <f t="shared" si="27"/>
        <v>113.418659134808</v>
      </c>
      <c r="S105" s="752">
        <f t="shared" si="28"/>
        <v>129.3839323274926</v>
      </c>
      <c r="T105" s="752">
        <f t="shared" si="29"/>
        <v>125.06419946791318</v>
      </c>
      <c r="U105" s="752">
        <f t="shared" si="30"/>
        <v>121.45289551112076</v>
      </c>
      <c r="V105" s="752">
        <f t="shared" si="31"/>
        <v>131.04022002638729</v>
      </c>
      <c r="W105" s="20" t="s">
        <v>946</v>
      </c>
    </row>
    <row r="106" spans="1:23" s="20" customFormat="1" x14ac:dyDescent="0.25">
      <c r="A106" s="20" t="s">
        <v>935</v>
      </c>
      <c r="B106" s="56" t="str">
        <f>ITE_LUC_Rates!C107</f>
        <v>Furniture Store (free standing)</v>
      </c>
      <c r="C106" s="57" t="str">
        <f>ITE_LUC_Rates!D107</f>
        <v>1000 GSF</v>
      </c>
      <c r="D106" s="129">
        <f>ITE_LUC_Rates!H107</f>
        <v>6.3</v>
      </c>
      <c r="E106" s="58" t="s">
        <v>71</v>
      </c>
      <c r="F106" s="104">
        <f>ITE_LUC_Rates!Q107</f>
        <v>1656.8</v>
      </c>
      <c r="G106" s="104">
        <f>FEE_1_Out!$H125</f>
        <v>2582.5659373272056</v>
      </c>
      <c r="H106" s="104">
        <f>FEE_1_Out!$H125</f>
        <v>2582.5659373272056</v>
      </c>
      <c r="I106" s="104">
        <f>FEE_2_In!$H125</f>
        <v>3242.7530888134388</v>
      </c>
      <c r="J106" s="104">
        <f>FEE_2_Out!$H125</f>
        <v>2827.6120005907819</v>
      </c>
      <c r="K106" s="104">
        <f>FEE_3_In!$H125</f>
        <v>3225.6382020704536</v>
      </c>
      <c r="L106" s="104">
        <f>FEE_3_Out!$H125</f>
        <v>3117.9440310560076</v>
      </c>
      <c r="M106" s="104">
        <f>FEE_4_In!$H125</f>
        <v>3027.9115224379138</v>
      </c>
      <c r="N106" s="104">
        <f>FEE_4_Out!$H125</f>
        <v>3266.9306931786318</v>
      </c>
      <c r="O106" s="752">
        <f t="shared" si="24"/>
        <v>2.5825659373272054</v>
      </c>
      <c r="P106" s="752">
        <f t="shared" si="25"/>
        <v>2.5825659373272054</v>
      </c>
      <c r="Q106" s="752">
        <f t="shared" si="26"/>
        <v>3.2427530888134388</v>
      </c>
      <c r="R106" s="752">
        <f t="shared" si="27"/>
        <v>2.8276120005907819</v>
      </c>
      <c r="S106" s="752">
        <f t="shared" si="28"/>
        <v>3.2256382020704537</v>
      </c>
      <c r="T106" s="752">
        <f t="shared" si="29"/>
        <v>3.1179440310560076</v>
      </c>
      <c r="U106" s="752">
        <f t="shared" si="30"/>
        <v>3.0279115224379138</v>
      </c>
      <c r="V106" s="752">
        <f t="shared" si="31"/>
        <v>3.2669306931786317</v>
      </c>
      <c r="W106" s="20" t="s">
        <v>946</v>
      </c>
    </row>
    <row r="107" spans="1:23" s="20" customFormat="1" x14ac:dyDescent="0.25">
      <c r="A107" s="20" t="s">
        <v>936</v>
      </c>
      <c r="B107" s="135" t="str">
        <f>ITE_LUC_Rates!C108</f>
        <v>Liquor Store</v>
      </c>
      <c r="C107" s="232" t="str">
        <f>ITE_LUC_Rates!D108</f>
        <v>1000 GSF</v>
      </c>
      <c r="D107" s="233">
        <f>ITE_LUC_Rates!H108</f>
        <v>101.49</v>
      </c>
      <c r="E107" s="136" t="s">
        <v>71</v>
      </c>
      <c r="F107" s="137">
        <f>ITE_LUC_Rates!Q108</f>
        <v>0</v>
      </c>
      <c r="G107" s="104">
        <f>FEE_1_Out!$H126</f>
        <v>34120.251590454747</v>
      </c>
      <c r="H107" s="104">
        <f>FEE_1_Out!$H126</f>
        <v>34120.251590454747</v>
      </c>
      <c r="I107" s="104">
        <f>FEE_2_In!$H126</f>
        <v>42842.488409239988</v>
      </c>
      <c r="J107" s="104">
        <f>FEE_2_Out!$H126</f>
        <v>37357.742339076984</v>
      </c>
      <c r="K107" s="104">
        <f>FEE_3_In!$H126</f>
        <v>42616.370565287805</v>
      </c>
      <c r="L107" s="104">
        <f>FEE_3_Out!$H126</f>
        <v>41193.540597336905</v>
      </c>
      <c r="M107" s="104">
        <f>FEE_4_In!$H126</f>
        <v>40004.052344212803</v>
      </c>
      <c r="N107" s="104">
        <f>FEE_4_Out!$H126</f>
        <v>43161.917211374908</v>
      </c>
      <c r="O107" s="752">
        <f t="shared" si="24"/>
        <v>34.12025159045475</v>
      </c>
      <c r="P107" s="752">
        <f t="shared" si="25"/>
        <v>34.12025159045475</v>
      </c>
      <c r="Q107" s="752">
        <f t="shared" si="26"/>
        <v>42.842488409239991</v>
      </c>
      <c r="R107" s="752">
        <f t="shared" si="27"/>
        <v>37.357742339076985</v>
      </c>
      <c r="S107" s="752">
        <f t="shared" si="28"/>
        <v>42.616370565287802</v>
      </c>
      <c r="T107" s="752">
        <f t="shared" si="29"/>
        <v>41.193540597336906</v>
      </c>
      <c r="U107" s="752">
        <f t="shared" si="30"/>
        <v>40.004052344212802</v>
      </c>
      <c r="V107" s="752">
        <f t="shared" si="31"/>
        <v>43.161917211374906</v>
      </c>
      <c r="W107" s="20" t="s">
        <v>946</v>
      </c>
    </row>
    <row r="108" spans="1:23" s="20" customFormat="1" x14ac:dyDescent="0.25">
      <c r="A108" s="20" t="s">
        <v>937</v>
      </c>
      <c r="B108" s="56" t="str">
        <f>ITE_LUC_Rates!C109</f>
        <v>Bank (Walk-in)</v>
      </c>
      <c r="C108" s="57" t="str">
        <f>ITE_LUC_Rates!D109</f>
        <v>1000 GSF</v>
      </c>
      <c r="D108" s="129">
        <f>ITE_LUC_Rates!H109</f>
        <v>12.13</v>
      </c>
      <c r="E108" s="58" t="s">
        <v>71</v>
      </c>
      <c r="F108" s="104">
        <f>ITE_LUC_Rates!Q109</f>
        <v>16014.3</v>
      </c>
      <c r="G108" s="104">
        <f>FEE_1_Out!$H128</f>
        <v>1162.0027761659528</v>
      </c>
      <c r="H108" s="104">
        <f>FEE_1_Out!$H128</f>
        <v>1162.0027761659528</v>
      </c>
      <c r="I108" s="104">
        <f>FEE_2_In!$H128</f>
        <v>1459.0481649121687</v>
      </c>
      <c r="J108" s="104">
        <f>FEE_2_Out!$H128</f>
        <v>1272.2590920590933</v>
      </c>
      <c r="K108" s="104">
        <f>FEE_3_In!$H128</f>
        <v>1451.3474725032474</v>
      </c>
      <c r="L108" s="104">
        <f>FEE_3_Out!$H128</f>
        <v>1402.8914296634703</v>
      </c>
      <c r="M108" s="104">
        <f>FEE_4_In!$H128</f>
        <v>1362.3820961175925</v>
      </c>
      <c r="N108" s="104">
        <f>FEE_4_Out!$H128</f>
        <v>1469.9266648518344</v>
      </c>
      <c r="O108" s="752">
        <f t="shared" si="24"/>
        <v>1.1620027761659528</v>
      </c>
      <c r="P108" s="752">
        <f t="shared" si="25"/>
        <v>1.1620027761659528</v>
      </c>
      <c r="Q108" s="752">
        <f t="shared" si="26"/>
        <v>1.4590481649121687</v>
      </c>
      <c r="R108" s="752">
        <f t="shared" si="27"/>
        <v>1.2722590920590933</v>
      </c>
      <c r="S108" s="752">
        <f t="shared" si="28"/>
        <v>1.4513474725032474</v>
      </c>
      <c r="T108" s="752">
        <f t="shared" si="29"/>
        <v>1.4028914296634702</v>
      </c>
      <c r="U108" s="752">
        <f t="shared" si="30"/>
        <v>1.3623820961175925</v>
      </c>
      <c r="V108" s="752">
        <f t="shared" si="31"/>
        <v>1.4699266648518343</v>
      </c>
      <c r="W108" s="20" t="s">
        <v>946</v>
      </c>
    </row>
    <row r="109" spans="1:23" s="20" customFormat="1" x14ac:dyDescent="0.25">
      <c r="A109" s="20" t="s">
        <v>938</v>
      </c>
      <c r="B109" s="56" t="str">
        <f>ITE_LUC_Rates!C110</f>
        <v>Bank (Drive-in)</v>
      </c>
      <c r="C109" s="57" t="str">
        <f>ITE_LUC_Rates!D110</f>
        <v>1000 GSF</v>
      </c>
      <c r="D109" s="129">
        <f>ITE_LUC_Rates!H110</f>
        <v>100.03</v>
      </c>
      <c r="E109" s="58" t="s">
        <v>71</v>
      </c>
      <c r="F109" s="104">
        <f>ITE_LUC_Rates!Q110</f>
        <v>25226.6</v>
      </c>
      <c r="G109" s="104">
        <f>FEE_1_Out!$H129</f>
        <v>9582.4515828425592</v>
      </c>
      <c r="H109" s="104">
        <f>FEE_1_Out!$H129</f>
        <v>9582.4515828425592</v>
      </c>
      <c r="I109" s="104">
        <f>FEE_2_In!$H129</f>
        <v>12032.03527915616</v>
      </c>
      <c r="J109" s="104">
        <f>FEE_2_Out!$H129</f>
        <v>10491.67988282532</v>
      </c>
      <c r="K109" s="104">
        <f>FEE_3_In!$H129</f>
        <v>11968.531547774102</v>
      </c>
      <c r="L109" s="104">
        <f>FEE_3_Out!$H129</f>
        <v>11568.938970258609</v>
      </c>
      <c r="M109" s="104">
        <f>FEE_4_In!$H129</f>
        <v>11234.878901454475</v>
      </c>
      <c r="N109" s="104">
        <f>FEE_4_Out!$H129</f>
        <v>12121.744788551445</v>
      </c>
      <c r="O109" s="752">
        <f t="shared" si="24"/>
        <v>9.5824515828425589</v>
      </c>
      <c r="P109" s="752">
        <f t="shared" si="25"/>
        <v>9.5824515828425589</v>
      </c>
      <c r="Q109" s="752">
        <f t="shared" si="26"/>
        <v>12.03203527915616</v>
      </c>
      <c r="R109" s="752">
        <f t="shared" si="27"/>
        <v>10.49167988282532</v>
      </c>
      <c r="S109" s="752">
        <f t="shared" si="28"/>
        <v>11.968531547774102</v>
      </c>
      <c r="T109" s="752">
        <f t="shared" si="29"/>
        <v>11.568938970258609</v>
      </c>
      <c r="U109" s="752">
        <f t="shared" si="30"/>
        <v>11.234878901454474</v>
      </c>
      <c r="V109" s="752">
        <f t="shared" si="31"/>
        <v>12.121744788551444</v>
      </c>
      <c r="W109" s="20" t="s">
        <v>946</v>
      </c>
    </row>
    <row r="110" spans="1:23" s="20" customFormat="1" x14ac:dyDescent="0.25">
      <c r="A110" s="20" t="s">
        <v>939</v>
      </c>
      <c r="B110" s="56" t="str">
        <f>ITE_LUC_Rates!C111</f>
        <v>Quality Restaurant</v>
      </c>
      <c r="C110" s="57" t="str">
        <f>ITE_LUC_Rates!D111</f>
        <v>1000 GSF</v>
      </c>
      <c r="D110" s="129">
        <f>ITE_LUC_Rates!H111</f>
        <v>83.84</v>
      </c>
      <c r="E110" s="58" t="s">
        <v>71</v>
      </c>
      <c r="F110" s="104">
        <f>ITE_LUC_Rates!Q111</f>
        <v>68047</v>
      </c>
      <c r="G110" s="104">
        <f>FEE_1_Out!$H130</f>
        <v>28186.440963087269</v>
      </c>
      <c r="H110" s="104">
        <f>FEE_1_Out!$H130</f>
        <v>28186.440963087269</v>
      </c>
      <c r="I110" s="104">
        <f>FEE_2_In!$H130</f>
        <v>35391.80439679457</v>
      </c>
      <c r="J110" s="104">
        <f>FEE_2_Out!$H130</f>
        <v>30860.903711776664</v>
      </c>
      <c r="K110" s="104">
        <f>FEE_3_In!$H130</f>
        <v>35205.010426581233</v>
      </c>
      <c r="L110" s="104">
        <f>FEE_3_Out!$H130</f>
        <v>34029.623053312898</v>
      </c>
      <c r="M110" s="104">
        <f>FEE_4_In!$H130</f>
        <v>33046.997226710038</v>
      </c>
      <c r="N110" s="104">
        <f>FEE_4_Out!$H130</f>
        <v>35655.681732206824</v>
      </c>
      <c r="O110" s="752">
        <f t="shared" si="24"/>
        <v>28.186440963087268</v>
      </c>
      <c r="P110" s="752">
        <f t="shared" si="25"/>
        <v>28.186440963087268</v>
      </c>
      <c r="Q110" s="752">
        <f t="shared" si="26"/>
        <v>35.391804396794569</v>
      </c>
      <c r="R110" s="752">
        <f t="shared" si="27"/>
        <v>30.860903711776665</v>
      </c>
      <c r="S110" s="752">
        <f t="shared" si="28"/>
        <v>35.205010426581232</v>
      </c>
      <c r="T110" s="752">
        <f t="shared" si="29"/>
        <v>34.029623053312896</v>
      </c>
      <c r="U110" s="752">
        <f t="shared" si="30"/>
        <v>33.04699722671004</v>
      </c>
      <c r="V110" s="752">
        <f t="shared" si="31"/>
        <v>35.655681732206823</v>
      </c>
      <c r="W110" s="20" t="s">
        <v>946</v>
      </c>
    </row>
    <row r="111" spans="1:23" s="20" customFormat="1" x14ac:dyDescent="0.25">
      <c r="A111" s="20" t="s">
        <v>939</v>
      </c>
      <c r="B111" s="56" t="str">
        <f>ITE_LUC_Rates!C112</f>
        <v>Quality Restaurant / Seats</v>
      </c>
      <c r="C111" s="57" t="str">
        <f>ITE_LUC_Rates!D112</f>
        <v>Seat</v>
      </c>
      <c r="D111" s="129">
        <f>ITE_LUC_Rates!H112</f>
        <v>2.6</v>
      </c>
      <c r="E111" s="58" t="s">
        <v>71</v>
      </c>
      <c r="F111" s="104">
        <f>ITE_LUC_Rates!Q112</f>
        <v>2163.0520000000001</v>
      </c>
      <c r="G111" s="104">
        <f>FEE_1_Out!$H131</f>
        <v>874.10241536291608</v>
      </c>
      <c r="H111" s="104">
        <f>FEE_1_Out!$H131</f>
        <v>874.10241536291608</v>
      </c>
      <c r="I111" s="104">
        <f>FEE_2_In!$H131</f>
        <v>1097.5511859692972</v>
      </c>
      <c r="J111" s="104">
        <f>FEE_2_Out!$H131</f>
        <v>957.04138419154731</v>
      </c>
      <c r="K111" s="104">
        <f>FEE_3_In!$H131</f>
        <v>1091.7584340304295</v>
      </c>
      <c r="L111" s="104">
        <f>FEE_3_Out!$H131</f>
        <v>1055.3079668250659</v>
      </c>
      <c r="M111" s="104">
        <f>FEE_4_In!$H131</f>
        <v>1024.8353147596149</v>
      </c>
      <c r="N111" s="104">
        <f>FEE_4_Out!$H131</f>
        <v>1105.7344048632847</v>
      </c>
      <c r="O111" s="752">
        <f t="shared" si="24"/>
        <v>874.10241536291608</v>
      </c>
      <c r="P111" s="752">
        <f t="shared" si="25"/>
        <v>874.10241536291608</v>
      </c>
      <c r="Q111" s="752">
        <f t="shared" si="26"/>
        <v>1097.5511859692972</v>
      </c>
      <c r="R111" s="752">
        <f t="shared" si="27"/>
        <v>957.04138419154731</v>
      </c>
      <c r="S111" s="752">
        <f t="shared" si="28"/>
        <v>1091.7584340304295</v>
      </c>
      <c r="T111" s="752">
        <f t="shared" si="29"/>
        <v>1055.3079668250659</v>
      </c>
      <c r="U111" s="752">
        <f t="shared" si="30"/>
        <v>1024.8353147596149</v>
      </c>
      <c r="V111" s="752">
        <f t="shared" si="31"/>
        <v>1105.7344048632847</v>
      </c>
    </row>
    <row r="112" spans="1:23" s="20" customFormat="1" x14ac:dyDescent="0.25">
      <c r="A112" s="20" t="s">
        <v>940</v>
      </c>
      <c r="B112" s="56" t="str">
        <f>ITE_LUC_Rates!C113</f>
        <v>High Turnover Rest</v>
      </c>
      <c r="C112" s="57" t="str">
        <f>ITE_LUC_Rates!D113</f>
        <v>1000 GSF</v>
      </c>
      <c r="D112" s="129">
        <f>ITE_LUC_Rates!H113</f>
        <v>112.18</v>
      </c>
      <c r="E112" s="58" t="s">
        <v>71</v>
      </c>
      <c r="F112" s="104">
        <f>ITE_LUC_Rates!Q113</f>
        <v>51864.5</v>
      </c>
      <c r="G112" s="104">
        <f>FEE_1_Out!$H132</f>
        <v>10746.37027455042</v>
      </c>
      <c r="H112" s="104">
        <f>FEE_1_Out!$H132</f>
        <v>10746.37027455042</v>
      </c>
      <c r="I112" s="104">
        <f>FEE_2_In!$H132</f>
        <v>13493.489129418553</v>
      </c>
      <c r="J112" s="104">
        <f>FEE_2_Out!$H132</f>
        <v>11766.036681548976</v>
      </c>
      <c r="K112" s="104">
        <f>FEE_3_In!$H132</f>
        <v>13422.272008690377</v>
      </c>
      <c r="L112" s="104">
        <f>FEE_3_Out!$H132</f>
        <v>12974.143493787969</v>
      </c>
      <c r="M112" s="104">
        <f>FEE_4_In!$H132</f>
        <v>12599.507299461791</v>
      </c>
      <c r="N112" s="104">
        <f>FEE_4_Out!$H132</f>
        <v>13594.095075274425</v>
      </c>
      <c r="O112" s="752">
        <f t="shared" si="24"/>
        <v>10.74637027455042</v>
      </c>
      <c r="P112" s="752">
        <f t="shared" si="25"/>
        <v>10.74637027455042</v>
      </c>
      <c r="Q112" s="752">
        <f t="shared" si="26"/>
        <v>13.493489129418553</v>
      </c>
      <c r="R112" s="752">
        <f t="shared" si="27"/>
        <v>11.766036681548975</v>
      </c>
      <c r="S112" s="752">
        <f t="shared" si="28"/>
        <v>13.422272008690378</v>
      </c>
      <c r="T112" s="752">
        <f t="shared" si="29"/>
        <v>12.97414349378797</v>
      </c>
      <c r="U112" s="752">
        <f t="shared" si="30"/>
        <v>12.599507299461791</v>
      </c>
      <c r="V112" s="752">
        <f t="shared" si="31"/>
        <v>13.594095075274424</v>
      </c>
      <c r="W112" s="20" t="s">
        <v>946</v>
      </c>
    </row>
    <row r="113" spans="1:23" s="20" customFormat="1" x14ac:dyDescent="0.25">
      <c r="A113" s="20" t="s">
        <v>945</v>
      </c>
      <c r="B113" s="56" t="str">
        <f>ITE_LUC_Rates!C114</f>
        <v>High Turnover Rest</v>
      </c>
      <c r="C113" s="57" t="str">
        <f>ITE_LUC_Rates!D114</f>
        <v>Seat</v>
      </c>
      <c r="D113" s="129">
        <f>ITE_LUC_Rates!H114</f>
        <v>4.37</v>
      </c>
      <c r="E113" s="58" t="s">
        <v>71</v>
      </c>
      <c r="F113" s="104">
        <f>ITE_LUC_Rates!Q114</f>
        <v>1581.08</v>
      </c>
      <c r="G113" s="104">
        <f>FEE_1_Out!$H133</f>
        <v>418.62754590644789</v>
      </c>
      <c r="H113" s="104">
        <f>FEE_1_Out!$H133</f>
        <v>418.62754590644789</v>
      </c>
      <c r="I113" s="104">
        <f>FEE_2_In!$H133</f>
        <v>525.64224902441674</v>
      </c>
      <c r="J113" s="104">
        <f>FEE_2_Out!$H133</f>
        <v>458.34890620760416</v>
      </c>
      <c r="K113" s="104">
        <f>FEE_3_In!$H133</f>
        <v>522.867968247254</v>
      </c>
      <c r="L113" s="104">
        <f>FEE_3_Out!$H133</f>
        <v>505.41100969739199</v>
      </c>
      <c r="M113" s="104">
        <f>FEE_4_In!$H133</f>
        <v>490.81696290468909</v>
      </c>
      <c r="N113" s="104">
        <f>FEE_4_Out!$H133</f>
        <v>529.56137884604414</v>
      </c>
      <c r="O113" s="752">
        <f t="shared" si="24"/>
        <v>418.62754590644789</v>
      </c>
      <c r="P113" s="752">
        <f t="shared" si="25"/>
        <v>418.62754590644789</v>
      </c>
      <c r="Q113" s="752">
        <f t="shared" si="26"/>
        <v>525.64224902441674</v>
      </c>
      <c r="R113" s="752">
        <f t="shared" si="27"/>
        <v>458.34890620760416</v>
      </c>
      <c r="S113" s="752">
        <f t="shared" si="28"/>
        <v>522.867968247254</v>
      </c>
      <c r="T113" s="752">
        <f t="shared" si="29"/>
        <v>505.41100969739199</v>
      </c>
      <c r="U113" s="752">
        <f t="shared" si="30"/>
        <v>490.81696290468909</v>
      </c>
      <c r="V113" s="752">
        <f t="shared" si="31"/>
        <v>529.56137884604414</v>
      </c>
    </row>
    <row r="114" spans="1:23" s="20" customFormat="1" x14ac:dyDescent="0.25">
      <c r="A114" s="20" t="s">
        <v>941</v>
      </c>
      <c r="B114" s="56" t="str">
        <f>ITE_LUC_Rates!C115</f>
        <v>Fast Food Rest. w/o Drive-Thru</v>
      </c>
      <c r="C114" s="57" t="str">
        <f>ITE_LUC_Rates!D115</f>
        <v>1000 GSF</v>
      </c>
      <c r="D114" s="129">
        <f>ITE_LUC_Rates!H115</f>
        <v>346.23</v>
      </c>
      <c r="E114" s="58" t="s">
        <v>71</v>
      </c>
      <c r="F114" s="104">
        <f>ITE_LUC_Rates!Q115</f>
        <v>73276.3</v>
      </c>
      <c r="G114" s="104">
        <f>FEE_1_Out!$H134</f>
        <v>31409.573550724923</v>
      </c>
      <c r="H114" s="104">
        <f>FEE_1_Out!$H134</f>
        <v>31409.573550724923</v>
      </c>
      <c r="I114" s="104">
        <f>FEE_2_In!$H134</f>
        <v>39438.873632530805</v>
      </c>
      <c r="J114" s="104">
        <f>FEE_2_Out!$H134</f>
        <v>34389.862354254401</v>
      </c>
      <c r="K114" s="104">
        <f>FEE_3_In!$H134</f>
        <v>39230.719685250588</v>
      </c>
      <c r="L114" s="104">
        <f>FEE_3_Out!$H134</f>
        <v>37920.926221094778</v>
      </c>
      <c r="M114" s="104">
        <f>FEE_4_In!$H134</f>
        <v>36825.936675804427</v>
      </c>
      <c r="N114" s="104">
        <f>FEE_4_Out!$H134</f>
        <v>39732.925463546133</v>
      </c>
      <c r="O114" s="752">
        <f t="shared" si="24"/>
        <v>31.409573550724922</v>
      </c>
      <c r="P114" s="752">
        <f t="shared" si="25"/>
        <v>31.409573550724922</v>
      </c>
      <c r="Q114" s="752">
        <f t="shared" si="26"/>
        <v>39.438873632530807</v>
      </c>
      <c r="R114" s="752">
        <f t="shared" si="27"/>
        <v>34.389862354254404</v>
      </c>
      <c r="S114" s="752">
        <f t="shared" si="28"/>
        <v>39.230719685250591</v>
      </c>
      <c r="T114" s="752">
        <f t="shared" si="29"/>
        <v>37.920926221094781</v>
      </c>
      <c r="U114" s="752">
        <f t="shared" si="30"/>
        <v>36.825936675804428</v>
      </c>
      <c r="V114" s="752">
        <f t="shared" si="31"/>
        <v>39.732925463546131</v>
      </c>
      <c r="W114" s="20" t="s">
        <v>946</v>
      </c>
    </row>
    <row r="115" spans="1:23" s="20" customFormat="1" x14ac:dyDescent="0.25">
      <c r="A115" s="20" t="s">
        <v>942</v>
      </c>
      <c r="B115" s="56" t="str">
        <f>ITE_LUC_Rates!C116</f>
        <v>Fast Food Rest. w/ Drive-Thru</v>
      </c>
      <c r="C115" s="57" t="str">
        <f>ITE_LUC_Rates!D116</f>
        <v>1000 GSF</v>
      </c>
      <c r="D115" s="129">
        <f>ITE_LUC_Rates!H116</f>
        <v>470.95</v>
      </c>
      <c r="E115" s="58" t="s">
        <v>71</v>
      </c>
      <c r="F115" s="104">
        <f>ITE_LUC_Rates!Q116</f>
        <v>50772.9</v>
      </c>
      <c r="G115" s="104">
        <f>FEE_1_Out!$H135</f>
        <v>42724.023521109964</v>
      </c>
      <c r="H115" s="104">
        <f>FEE_1_Out!$H135</f>
        <v>42724.023521109964</v>
      </c>
      <c r="I115" s="104">
        <f>FEE_2_In!$H135</f>
        <v>53645.66195084303</v>
      </c>
      <c r="J115" s="104">
        <f>FEE_2_Out!$H135</f>
        <v>46777.880818346508</v>
      </c>
      <c r="K115" s="104">
        <f>FEE_3_In!$H135</f>
        <v>53362.526169796845</v>
      </c>
      <c r="L115" s="104">
        <f>FEE_3_Out!$H135</f>
        <v>51580.915009746663</v>
      </c>
      <c r="M115" s="104">
        <f>FEE_4_In!$H135</f>
        <v>50091.485074863784</v>
      </c>
      <c r="N115" s="104">
        <f>FEE_4_Out!$H135</f>
        <v>54045.638006692221</v>
      </c>
      <c r="O115" s="752">
        <f t="shared" si="24"/>
        <v>42.724023521109963</v>
      </c>
      <c r="P115" s="752">
        <f t="shared" si="25"/>
        <v>42.724023521109963</v>
      </c>
      <c r="Q115" s="752">
        <f t="shared" si="26"/>
        <v>53.645661950843028</v>
      </c>
      <c r="R115" s="752">
        <f t="shared" si="27"/>
        <v>46.77788081834651</v>
      </c>
      <c r="S115" s="752">
        <f t="shared" si="28"/>
        <v>53.362526169796844</v>
      </c>
      <c r="T115" s="752">
        <f t="shared" si="29"/>
        <v>51.580915009746661</v>
      </c>
      <c r="U115" s="752">
        <f t="shared" si="30"/>
        <v>50.091485074863783</v>
      </c>
      <c r="V115" s="752">
        <f t="shared" si="31"/>
        <v>54.045638006692222</v>
      </c>
      <c r="W115" s="20" t="s">
        <v>946</v>
      </c>
    </row>
    <row r="116" spans="1:23" s="20" customFormat="1" x14ac:dyDescent="0.25">
      <c r="A116" s="20" t="s">
        <v>943</v>
      </c>
      <c r="B116" s="56" t="str">
        <f>ITE_LUC_Rates!C117</f>
        <v>Coffee/Donut Shop</v>
      </c>
      <c r="C116" s="57" t="str">
        <f>ITE_LUC_Rates!D117</f>
        <v>1000 GSF</v>
      </c>
      <c r="D116" s="129">
        <f>ITE_LUC_Rates!H117</f>
        <v>820.38</v>
      </c>
      <c r="E116" s="58" t="s">
        <v>71</v>
      </c>
      <c r="F116" s="104">
        <f>ITE_LUC_Rates!Q117</f>
        <v>58641.2</v>
      </c>
      <c r="G116" s="104">
        <f>FEE_1_Out!$H136</f>
        <v>74423.897263506093</v>
      </c>
      <c r="H116" s="104">
        <f>FEE_1_Out!$H136</f>
        <v>74423.897263506093</v>
      </c>
      <c r="I116" s="104">
        <f>FEE_2_In!$H136</f>
        <v>93449.045867358756</v>
      </c>
      <c r="J116" s="104">
        <f>FEE_2_Out!$H136</f>
        <v>81485.588418632775</v>
      </c>
      <c r="K116" s="104">
        <f>FEE_3_In!$H136</f>
        <v>92955.832294676598</v>
      </c>
      <c r="L116" s="104">
        <f>FEE_3_Out!$H136</f>
        <v>89852.322020800464</v>
      </c>
      <c r="M116" s="104">
        <f>FEE_4_In!$H136</f>
        <v>87257.782197084118</v>
      </c>
      <c r="N116" s="104">
        <f>FEE_4_Out!$H136</f>
        <v>94145.791502134365</v>
      </c>
      <c r="O116" s="752">
        <f t="shared" si="24"/>
        <v>74.423897263506092</v>
      </c>
      <c r="P116" s="752">
        <f t="shared" si="25"/>
        <v>74.423897263506092</v>
      </c>
      <c r="Q116" s="752">
        <f t="shared" si="26"/>
        <v>93.449045867358763</v>
      </c>
      <c r="R116" s="752">
        <f t="shared" si="27"/>
        <v>81.485588418632773</v>
      </c>
      <c r="S116" s="752">
        <f t="shared" si="28"/>
        <v>92.955832294676597</v>
      </c>
      <c r="T116" s="752">
        <f t="shared" si="29"/>
        <v>89.852322020800457</v>
      </c>
      <c r="U116" s="752">
        <f t="shared" si="30"/>
        <v>87.257782197084111</v>
      </c>
      <c r="V116" s="752">
        <f t="shared" si="31"/>
        <v>94.145791502134358</v>
      </c>
      <c r="W116" s="20" t="s">
        <v>946</v>
      </c>
    </row>
    <row r="117" spans="1:23" s="20" customFormat="1" x14ac:dyDescent="0.25">
      <c r="A117" s="102" t="s">
        <v>944</v>
      </c>
      <c r="B117" s="56" t="str">
        <f>ITE_LUC_Rates!C118</f>
        <v>Service Stations w/ Gasoline</v>
      </c>
      <c r="C117" s="57" t="str">
        <f>ITE_LUC_Rates!D118</f>
        <v>Pump</v>
      </c>
      <c r="D117" s="129">
        <f>ITE_LUC_Rates!H118</f>
        <v>172.01</v>
      </c>
      <c r="E117" s="58" t="s">
        <v>71</v>
      </c>
      <c r="F117" s="104">
        <f>ITE_LUC_Rates!Q118</f>
        <v>12075.078</v>
      </c>
      <c r="G117" s="104">
        <f>FEE_1_Out!$H137</f>
        <v>15604.542490425996</v>
      </c>
      <c r="H117" s="104">
        <f>FEE_1_Out!$H137</f>
        <v>15604.542490425996</v>
      </c>
      <c r="I117" s="104">
        <f>FEE_2_In!$H137</f>
        <v>19593.566858826856</v>
      </c>
      <c r="J117" s="104">
        <f>FEE_2_Out!$H137</f>
        <v>17085.175240606823</v>
      </c>
      <c r="K117" s="104">
        <f>FEE_3_In!$H137</f>
        <v>19490.15421269085</v>
      </c>
      <c r="L117" s="104">
        <f>FEE_3_Out!$H137</f>
        <v>18839.437712764673</v>
      </c>
      <c r="M117" s="104">
        <f>FEE_4_In!$H137</f>
        <v>18295.437621249224</v>
      </c>
      <c r="N117" s="104">
        <f>FEE_4_Out!$H137</f>
        <v>19739.654302008978</v>
      </c>
      <c r="O117" s="752">
        <f t="shared" si="24"/>
        <v>15604.542490425996</v>
      </c>
      <c r="P117" s="752">
        <f t="shared" si="25"/>
        <v>15604.542490425996</v>
      </c>
      <c r="Q117" s="752">
        <f t="shared" si="26"/>
        <v>19593.566858826856</v>
      </c>
      <c r="R117" s="752">
        <f t="shared" si="27"/>
        <v>17085.175240606823</v>
      </c>
      <c r="S117" s="752">
        <f t="shared" si="28"/>
        <v>19490.15421269085</v>
      </c>
      <c r="T117" s="752">
        <f t="shared" si="29"/>
        <v>18839.437712764673</v>
      </c>
      <c r="U117" s="752">
        <f t="shared" si="30"/>
        <v>18295.437621249224</v>
      </c>
      <c r="V117" s="752">
        <f t="shared" si="31"/>
        <v>19739.654302008978</v>
      </c>
    </row>
    <row r="118" spans="1:23" s="20" customFormat="1" x14ac:dyDescent="0.25">
      <c r="A118" s="102"/>
      <c r="B118" s="56"/>
      <c r="C118" s="119"/>
      <c r="D118" s="118"/>
      <c r="E118" s="100"/>
      <c r="F118" s="60"/>
      <c r="G118" s="60"/>
      <c r="H118" s="60"/>
      <c r="I118" s="60"/>
      <c r="J118" s="60"/>
      <c r="K118" s="60"/>
      <c r="L118" s="60"/>
      <c r="M118" s="60"/>
      <c r="N118" s="60"/>
      <c r="O118" s="752"/>
      <c r="P118" s="752"/>
      <c r="Q118" s="752"/>
      <c r="R118" s="752"/>
      <c r="S118" s="752"/>
      <c r="T118" s="752"/>
      <c r="U118" s="752"/>
      <c r="V118" s="752"/>
    </row>
    <row r="119" spans="1:23" s="20" customFormat="1" x14ac:dyDescent="0.25">
      <c r="B119" s="56"/>
      <c r="C119" s="119"/>
      <c r="D119" s="119"/>
      <c r="E119" s="100"/>
      <c r="F119" s="60"/>
      <c r="G119" s="60"/>
      <c r="H119" s="60"/>
      <c r="I119" s="60"/>
      <c r="J119" s="60"/>
      <c r="K119" s="60"/>
      <c r="L119" s="60"/>
      <c r="M119" s="60"/>
      <c r="N119" s="60"/>
      <c r="O119" s="752"/>
      <c r="P119" s="752"/>
      <c r="Q119" s="752"/>
      <c r="R119" s="752"/>
      <c r="S119" s="752"/>
      <c r="T119" s="752"/>
      <c r="U119" s="752"/>
      <c r="V119" s="752"/>
    </row>
    <row r="120" spans="1:23" s="20" customFormat="1" x14ac:dyDescent="0.25">
      <c r="B120" s="56"/>
      <c r="C120" s="119"/>
      <c r="D120" s="119"/>
      <c r="E120" s="100"/>
      <c r="F120" s="60"/>
      <c r="G120" s="60"/>
      <c r="H120" s="60"/>
      <c r="I120" s="60"/>
      <c r="J120" s="60"/>
      <c r="K120" s="60"/>
      <c r="L120" s="60"/>
      <c r="M120" s="60"/>
      <c r="N120" s="60"/>
      <c r="O120" s="752"/>
      <c r="P120" s="752"/>
      <c r="Q120" s="752"/>
      <c r="R120" s="752"/>
      <c r="S120" s="752"/>
      <c r="T120" s="752"/>
      <c r="U120" s="752"/>
      <c r="V120" s="752"/>
    </row>
    <row r="121" spans="1:23" x14ac:dyDescent="0.25">
      <c r="B121" s="33"/>
      <c r="C121" s="119"/>
      <c r="D121" s="119"/>
      <c r="E121" s="100"/>
      <c r="F121" s="60"/>
      <c r="G121" s="60"/>
      <c r="H121" s="60"/>
      <c r="I121" s="60"/>
      <c r="J121" s="60"/>
      <c r="K121" s="60"/>
      <c r="L121" s="60"/>
      <c r="M121" s="60"/>
      <c r="N121" s="60"/>
    </row>
    <row r="122" spans="1:23" x14ac:dyDescent="0.25">
      <c r="B122" s="33"/>
      <c r="C122" s="119"/>
      <c r="D122" s="119"/>
      <c r="E122" s="100"/>
      <c r="F122" s="60"/>
      <c r="G122" s="60"/>
      <c r="H122" s="60"/>
      <c r="I122" s="60"/>
      <c r="J122" s="60"/>
      <c r="K122" s="60"/>
      <c r="L122" s="60"/>
      <c r="M122" s="60"/>
      <c r="N122" s="60"/>
    </row>
    <row r="123" spans="1:23" x14ac:dyDescent="0.25">
      <c r="B123" s="33"/>
      <c r="C123" s="119"/>
      <c r="D123" s="119"/>
      <c r="E123" s="100"/>
      <c r="F123" s="60"/>
      <c r="G123" s="60"/>
      <c r="H123" s="60"/>
      <c r="I123" s="60"/>
      <c r="J123" s="60"/>
      <c r="K123" s="60"/>
      <c r="L123" s="60"/>
      <c r="M123" s="60"/>
      <c r="N123" s="60"/>
    </row>
    <row r="124" spans="1:23" x14ac:dyDescent="0.25">
      <c r="B124" s="33"/>
      <c r="C124" s="119"/>
      <c r="D124" s="119"/>
      <c r="E124" s="100"/>
      <c r="F124" s="60"/>
      <c r="G124" s="60"/>
      <c r="H124" s="60"/>
      <c r="I124" s="60"/>
      <c r="J124" s="60"/>
      <c r="K124" s="60"/>
      <c r="L124" s="60"/>
      <c r="M124" s="60"/>
      <c r="N124" s="60"/>
    </row>
    <row r="125" spans="1:23" x14ac:dyDescent="0.25">
      <c r="B125" s="33"/>
      <c r="E125" s="121"/>
      <c r="F125" s="60"/>
      <c r="G125" s="60"/>
      <c r="H125" s="60"/>
      <c r="I125" s="60"/>
      <c r="J125" s="60"/>
      <c r="K125" s="60"/>
      <c r="L125" s="60"/>
      <c r="M125" s="60"/>
      <c r="N125" s="60"/>
    </row>
    <row r="126" spans="1:23" x14ac:dyDescent="0.25">
      <c r="B126" s="33"/>
      <c r="E126" s="121"/>
      <c r="F126" s="60"/>
      <c r="G126" s="60"/>
      <c r="H126" s="60"/>
      <c r="I126" s="60"/>
      <c r="J126" s="60"/>
      <c r="K126" s="60"/>
      <c r="L126" s="60"/>
      <c r="M126" s="60"/>
      <c r="N126" s="60"/>
    </row>
    <row r="127" spans="1:23" x14ac:dyDescent="0.25">
      <c r="B127" s="33"/>
      <c r="E127" s="121"/>
      <c r="F127" s="122"/>
      <c r="G127" s="122"/>
      <c r="H127" s="122"/>
      <c r="I127" s="122"/>
      <c r="J127" s="122"/>
      <c r="K127" s="122"/>
      <c r="L127" s="122"/>
      <c r="M127" s="122"/>
      <c r="N127" s="122"/>
    </row>
    <row r="128" spans="1:23" x14ac:dyDescent="0.25">
      <c r="B128" s="33"/>
      <c r="E128" s="121"/>
      <c r="F128" s="122"/>
      <c r="G128" s="122"/>
      <c r="H128" s="122"/>
      <c r="I128" s="122"/>
      <c r="J128" s="122"/>
      <c r="K128" s="122"/>
      <c r="L128" s="122"/>
      <c r="M128" s="122"/>
      <c r="N128" s="122"/>
    </row>
    <row r="129" spans="1:27" x14ac:dyDescent="0.25">
      <c r="B129" s="33"/>
      <c r="E129" s="121"/>
      <c r="F129" s="122"/>
      <c r="G129" s="122"/>
      <c r="H129" s="122"/>
      <c r="I129" s="122"/>
      <c r="J129" s="122"/>
      <c r="K129" s="122"/>
      <c r="L129" s="122"/>
      <c r="M129" s="122"/>
      <c r="N129" s="122"/>
    </row>
    <row r="130" spans="1:27" x14ac:dyDescent="0.25">
      <c r="B130" s="33"/>
    </row>
    <row r="131" spans="1:27" x14ac:dyDescent="0.25">
      <c r="B131" s="33"/>
    </row>
    <row r="132" spans="1:27" x14ac:dyDescent="0.25">
      <c r="B132" s="33"/>
    </row>
    <row r="133" spans="1:27" x14ac:dyDescent="0.25">
      <c r="B133" s="33"/>
    </row>
    <row r="134" spans="1:27" x14ac:dyDescent="0.25">
      <c r="B134" s="33"/>
    </row>
    <row r="135" spans="1:27" x14ac:dyDescent="0.25">
      <c r="B135" s="33"/>
    </row>
    <row r="136" spans="1:27" x14ac:dyDescent="0.25">
      <c r="B136" s="33"/>
    </row>
    <row r="137" spans="1:27" x14ac:dyDescent="0.25">
      <c r="B137" s="33"/>
    </row>
    <row r="138" spans="1:27" x14ac:dyDescent="0.25">
      <c r="B138" s="33"/>
    </row>
    <row r="139" spans="1:27" x14ac:dyDescent="0.25">
      <c r="B139" s="33"/>
    </row>
    <row r="140" spans="1:27" s="34" customFormat="1" x14ac:dyDescent="0.25">
      <c r="A140" s="11"/>
      <c r="B140" s="33"/>
      <c r="E140" s="69"/>
      <c r="F140" s="13"/>
      <c r="G140" s="13"/>
      <c r="H140" s="13"/>
      <c r="I140" s="13"/>
      <c r="J140" s="13"/>
      <c r="K140" s="13"/>
      <c r="L140" s="13"/>
      <c r="M140" s="13"/>
      <c r="N140" s="13"/>
      <c r="O140" s="752"/>
      <c r="P140" s="752"/>
      <c r="Q140" s="752"/>
      <c r="R140" s="752"/>
      <c r="S140" s="752"/>
      <c r="T140" s="752"/>
      <c r="U140" s="752"/>
      <c r="V140" s="752"/>
      <c r="W140" s="11"/>
      <c r="X140" s="11"/>
      <c r="Y140" s="11"/>
      <c r="Z140" s="11"/>
      <c r="AA140" s="11"/>
    </row>
    <row r="141" spans="1:27" s="34" customFormat="1" x14ac:dyDescent="0.25">
      <c r="A141" s="11"/>
      <c r="B141" s="33"/>
      <c r="E141" s="69"/>
      <c r="F141" s="13"/>
      <c r="G141" s="13"/>
      <c r="H141" s="13"/>
      <c r="I141" s="13"/>
      <c r="J141" s="13"/>
      <c r="K141" s="13"/>
      <c r="L141" s="13"/>
      <c r="M141" s="13"/>
      <c r="N141" s="13"/>
      <c r="O141" s="752"/>
      <c r="P141" s="752"/>
      <c r="Q141" s="752"/>
      <c r="R141" s="752"/>
      <c r="S141" s="752"/>
      <c r="T141" s="752"/>
      <c r="U141" s="752"/>
      <c r="V141" s="752"/>
      <c r="W141" s="11"/>
      <c r="X141" s="11"/>
      <c r="Y141" s="11"/>
      <c r="Z141" s="11"/>
      <c r="AA141" s="1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8E183-F4FB-4747-BF0B-F0DCC7EEF9DA}">
  <sheetPr>
    <tabColor theme="9" tint="0.79998168889431442"/>
  </sheetPr>
  <dimension ref="A1:AJ161"/>
  <sheetViews>
    <sheetView zoomScaleNormal="100" workbookViewId="0">
      <selection activeCell="U5" sqref="U5"/>
    </sheetView>
  </sheetViews>
  <sheetFormatPr defaultColWidth="4.42578125" defaultRowHeight="15.75" x14ac:dyDescent="0.25"/>
  <cols>
    <col min="1" max="1" width="1.42578125" style="11" customWidth="1"/>
    <col min="2" max="2" width="12" style="10" customWidth="1"/>
    <col min="3" max="3" width="28" style="34" customWidth="1"/>
    <col min="4" max="4" width="13.5703125" style="69" customWidth="1"/>
    <col min="5" max="6" width="12.85546875" style="69" hidden="1" customWidth="1"/>
    <col min="7" max="7" width="12.85546875" style="13" customWidth="1"/>
    <col min="8" max="8" width="12.85546875" style="10" customWidth="1"/>
    <col min="9" max="9" width="11.5703125" style="11" hidden="1" customWidth="1"/>
    <col min="10" max="10" width="11.5703125" style="69" hidden="1" customWidth="1"/>
    <col min="11" max="12" width="11.5703125" style="12" hidden="1" customWidth="1"/>
    <col min="13" max="14" width="11.140625" style="12" hidden="1" customWidth="1"/>
    <col min="15" max="15" width="11" style="412" hidden="1" customWidth="1"/>
    <col min="16" max="16" width="9.140625" style="12" hidden="1" customWidth="1"/>
    <col min="17" max="17" width="10.5703125" style="11" hidden="1" customWidth="1"/>
    <col min="18" max="18" width="8.5703125" style="13" hidden="1" customWidth="1"/>
    <col min="19" max="19" width="8.5703125" style="420" hidden="1" customWidth="1"/>
    <col min="20" max="20" width="8.5703125" style="14" customWidth="1"/>
    <col min="21" max="21" width="8.5703125" style="11" customWidth="1"/>
    <col min="22" max="22" width="8.5703125" style="10" customWidth="1"/>
    <col min="23" max="24" width="8.5703125" style="11" customWidth="1"/>
    <col min="25" max="25" width="8.5703125" style="10" customWidth="1"/>
    <col min="26" max="27" width="8.5703125" style="11" customWidth="1"/>
    <col min="28" max="28" width="8.5703125" style="10" customWidth="1"/>
    <col min="29" max="30" width="4.42578125" style="11"/>
    <col min="31" max="31" width="5.42578125" style="11" customWidth="1"/>
    <col min="32" max="32" width="8.5703125" style="11" customWidth="1"/>
    <col min="33" max="16384" width="4.42578125" style="11"/>
  </cols>
  <sheetData>
    <row r="1" spans="1:36" ht="17.100000000000001" customHeight="1" thickBot="1" x14ac:dyDescent="0.3">
      <c r="B1" s="10" t="s">
        <v>52</v>
      </c>
      <c r="G1" s="11"/>
      <c r="I1" s="69"/>
    </row>
    <row r="2" spans="1:36" ht="17.100000000000001" customHeight="1" x14ac:dyDescent="0.25">
      <c r="A2" s="10"/>
      <c r="B2" s="810" t="str">
        <f>+HYPERLINK(ContextAreas_Map!A1,"Context Area")</f>
        <v>Context Area</v>
      </c>
      <c r="C2" s="811"/>
      <c r="E2" s="814" t="s">
        <v>57</v>
      </c>
      <c r="F2" s="815"/>
      <c r="G2" s="815"/>
      <c r="H2" s="815"/>
      <c r="I2" s="815"/>
      <c r="J2" s="816"/>
      <c r="L2" s="439" t="s">
        <v>65</v>
      </c>
      <c r="M2" s="440"/>
      <c r="O2" s="800" t="s">
        <v>58</v>
      </c>
      <c r="P2" s="801"/>
      <c r="Q2" s="801"/>
      <c r="R2" s="801"/>
      <c r="S2" s="802"/>
    </row>
    <row r="3" spans="1:36" ht="17.100000000000001" customHeight="1" thickBot="1" x14ac:dyDescent="0.3">
      <c r="A3" s="10"/>
      <c r="B3" s="812"/>
      <c r="C3" s="813"/>
      <c r="E3" s="437" t="s">
        <v>59</v>
      </c>
      <c r="F3" s="407" t="s">
        <v>60</v>
      </c>
      <c r="G3" s="408" t="s">
        <v>61</v>
      </c>
      <c r="H3" s="407" t="s">
        <v>62</v>
      </c>
      <c r="I3" s="408" t="s">
        <v>63</v>
      </c>
      <c r="J3" s="438" t="s">
        <v>64</v>
      </c>
      <c r="K3" s="69"/>
      <c r="L3" s="443" t="s">
        <v>68</v>
      </c>
      <c r="M3" s="441">
        <f>ITECountywide!B4</f>
        <v>1.67</v>
      </c>
      <c r="O3" s="535"/>
      <c r="P3" s="407"/>
      <c r="Q3" s="540" t="s">
        <v>60</v>
      </c>
      <c r="R3" s="541" t="s">
        <v>61</v>
      </c>
      <c r="S3" s="542" t="s">
        <v>66</v>
      </c>
      <c r="T3" s="10"/>
      <c r="U3" s="10"/>
    </row>
    <row r="4" spans="1:36" ht="17.100000000000001" customHeight="1" thickBot="1" x14ac:dyDescent="0.3">
      <c r="A4" s="10"/>
      <c r="B4" s="807" t="s">
        <v>53</v>
      </c>
      <c r="C4" s="809">
        <v>1</v>
      </c>
      <c r="E4" s="445" t="s">
        <v>67</v>
      </c>
      <c r="F4" s="432">
        <f>'2045_24hr_all_productions'!$Q$39</f>
        <v>0.72495177066528282</v>
      </c>
      <c r="G4" s="432">
        <f>'2045_24hr_all_productions'!$S$39</f>
        <v>7.9468405555116819E-2</v>
      </c>
      <c r="H4" s="433">
        <f>'2045_24hr_all_productions'!$T$39</f>
        <v>0.14022044472523382</v>
      </c>
      <c r="I4" s="432">
        <f>'2045_24hr_all_productions'!$R$39</f>
        <v>5.5359379054366588E-2</v>
      </c>
      <c r="J4" s="446">
        <f>+H4+I4</f>
        <v>0.1955798237796004</v>
      </c>
      <c r="K4" s="69"/>
      <c r="L4" s="444" t="s">
        <v>71</v>
      </c>
      <c r="M4" s="442">
        <f>ITECountywide!B4</f>
        <v>1.67</v>
      </c>
      <c r="O4" s="538" t="s">
        <v>120</v>
      </c>
      <c r="P4" s="680"/>
      <c r="Q4" s="681">
        <f>+RoadCapCost!L15</f>
        <v>261.71052631578948</v>
      </c>
      <c r="R4" s="681">
        <f>+TransitCapCost!AB13</f>
        <v>405.42115030277023</v>
      </c>
      <c r="S4" s="539">
        <f>+WalkBikeCapCost!$V$7</f>
        <v>37.9060089869281</v>
      </c>
      <c r="T4" s="11"/>
    </row>
    <row r="5" spans="1:36" ht="17.100000000000001" customHeight="1" thickBot="1" x14ac:dyDescent="0.3">
      <c r="B5" s="808"/>
      <c r="C5" s="806"/>
      <c r="E5" s="445" t="s">
        <v>70</v>
      </c>
      <c r="F5" s="432">
        <f>'2045_24hr_all_attractions'!$Q$35</f>
        <v>0.64373267284932234</v>
      </c>
      <c r="G5" s="432">
        <f>'2045_24hr_all_attractions'!$S$35</f>
        <v>0.10362046562246396</v>
      </c>
      <c r="H5" s="433">
        <f>'2045_24hr_all_attractions'!$T$35</f>
        <v>0.176430853234636</v>
      </c>
      <c r="I5" s="432">
        <f>'2045_24hr_all_attractions'!$R$35</f>
        <v>7.6216008293577636E-2</v>
      </c>
      <c r="J5" s="446">
        <f>+H5+I5</f>
        <v>0.25264686152821364</v>
      </c>
      <c r="K5" s="69"/>
      <c r="S5" s="428"/>
      <c r="T5" s="11"/>
    </row>
    <row r="6" spans="1:36" ht="17.100000000000001" customHeight="1" x14ac:dyDescent="0.25">
      <c r="B6" s="803" t="s">
        <v>54</v>
      </c>
      <c r="C6" s="805" t="s">
        <v>56</v>
      </c>
      <c r="E6" s="445" t="s">
        <v>72</v>
      </c>
      <c r="F6" s="434">
        <f>'2045_24hr_all_productions'!$M$39</f>
        <v>8.069603635288443</v>
      </c>
      <c r="G6" s="434">
        <f>'2045_24hr_all_productions'!$O$39</f>
        <v>5.7469378194207836</v>
      </c>
      <c r="H6" s="434">
        <f>'2045_24hr_all_productions'!$P$39</f>
        <v>0.83815592565773589</v>
      </c>
      <c r="I6" s="434">
        <f>'2045_24hr_all_productions'!$N$39</f>
        <v>4.0323313633584679</v>
      </c>
      <c r="J6" s="447">
        <f>+((H4/J4)*H6)+(I4/J4*I6)</f>
        <v>1.7422756114443934</v>
      </c>
      <c r="K6" s="69"/>
      <c r="O6" s="69"/>
      <c r="P6" s="11"/>
      <c r="S6" s="428"/>
      <c r="X6" s="20"/>
    </row>
    <row r="7" spans="1:36" ht="17.100000000000001" customHeight="1" thickBot="1" x14ac:dyDescent="0.3">
      <c r="B7" s="804"/>
      <c r="C7" s="806"/>
      <c r="E7" s="448" t="s">
        <v>73</v>
      </c>
      <c r="F7" s="449">
        <f>'2045_24hr_all_attractions'!$M$35</f>
        <v>7.4131598277332049</v>
      </c>
      <c r="G7" s="449">
        <f>'2045_24hr_all_attractions'!$O$35</f>
        <v>6.0539163403426963</v>
      </c>
      <c r="H7" s="449">
        <f>'2045_24hr_all_attractions'!$P$35</f>
        <v>0.8430772912179948</v>
      </c>
      <c r="I7" s="449">
        <f>'2045_24hr_all_attractions'!$N$35</f>
        <v>3.5791106324049857</v>
      </c>
      <c r="J7" s="450">
        <f>+((H5/J5)*H7)+(I5/J5*I7)</f>
        <v>1.6684567895503961</v>
      </c>
      <c r="K7" s="69"/>
      <c r="O7" s="69"/>
      <c r="P7" s="11"/>
      <c r="R7" s="11"/>
      <c r="X7" s="20"/>
      <c r="Y7" s="68"/>
      <c r="Z7" s="20"/>
      <c r="AA7" s="20"/>
      <c r="AB7" s="68"/>
    </row>
    <row r="8" spans="1:36" ht="17.100000000000001" customHeight="1" thickBot="1" x14ac:dyDescent="0.3">
      <c r="H8" s="430"/>
      <c r="K8" s="69"/>
      <c r="O8" s="69"/>
      <c r="P8" s="11"/>
      <c r="R8" s="11"/>
      <c r="W8" s="20"/>
      <c r="X8" s="20"/>
      <c r="Y8" s="68"/>
      <c r="AB8" s="11"/>
    </row>
    <row r="9" spans="1:36" s="453" customFormat="1" ht="26.1" customHeight="1" x14ac:dyDescent="0.25">
      <c r="B9" s="792" t="s">
        <v>121</v>
      </c>
      <c r="C9" s="793"/>
      <c r="D9" s="793"/>
      <c r="E9" s="793"/>
      <c r="F9" s="793"/>
      <c r="G9" s="793"/>
      <c r="H9" s="793"/>
      <c r="I9" s="797" t="s">
        <v>74</v>
      </c>
      <c r="J9" s="798"/>
      <c r="K9" s="798"/>
      <c r="L9" s="798"/>
      <c r="M9" s="798"/>
      <c r="N9" s="798"/>
      <c r="O9" s="799"/>
      <c r="P9" s="794" t="s">
        <v>75</v>
      </c>
      <c r="Q9" s="795"/>
      <c r="R9" s="795"/>
      <c r="S9" s="796"/>
      <c r="T9" s="794" t="s">
        <v>61</v>
      </c>
      <c r="U9" s="795"/>
      <c r="V9" s="796"/>
      <c r="W9" s="794" t="s">
        <v>66</v>
      </c>
      <c r="X9" s="795"/>
      <c r="Y9" s="796"/>
    </row>
    <row r="10" spans="1:36" s="9" customFormat="1" ht="99" customHeight="1" x14ac:dyDescent="0.3">
      <c r="B10" s="682" t="s">
        <v>76</v>
      </c>
      <c r="C10" s="683" t="s">
        <v>77</v>
      </c>
      <c r="D10" s="414" t="s">
        <v>78</v>
      </c>
      <c r="E10" s="414" t="s">
        <v>80</v>
      </c>
      <c r="F10" s="414" t="s">
        <v>81</v>
      </c>
      <c r="G10" s="684" t="s">
        <v>82</v>
      </c>
      <c r="H10" s="543" t="s">
        <v>83</v>
      </c>
      <c r="I10" s="685" t="s">
        <v>84</v>
      </c>
      <c r="J10" s="414" t="s">
        <v>85</v>
      </c>
      <c r="K10" s="686" t="s">
        <v>86</v>
      </c>
      <c r="L10" s="455" t="s">
        <v>122</v>
      </c>
      <c r="M10" s="455" t="s">
        <v>88</v>
      </c>
      <c r="N10" s="687" t="s">
        <v>89</v>
      </c>
      <c r="O10" s="545" t="s">
        <v>90</v>
      </c>
      <c r="P10" s="688" t="s">
        <v>91</v>
      </c>
      <c r="Q10" s="414" t="s">
        <v>92</v>
      </c>
      <c r="R10" s="689" t="s">
        <v>93</v>
      </c>
      <c r="S10" s="525" t="s">
        <v>94</v>
      </c>
      <c r="T10" s="685" t="s">
        <v>91</v>
      </c>
      <c r="U10" s="689" t="s">
        <v>95</v>
      </c>
      <c r="V10" s="525" t="s">
        <v>94</v>
      </c>
      <c r="W10" s="690" t="s">
        <v>91</v>
      </c>
      <c r="X10" s="691" t="s">
        <v>96</v>
      </c>
      <c r="Y10" s="525" t="s">
        <v>94</v>
      </c>
    </row>
    <row r="11" spans="1:36" s="20" customFormat="1" ht="17.100000000000001" hidden="1" customHeight="1" x14ac:dyDescent="0.25">
      <c r="A11" s="20" t="s">
        <v>123</v>
      </c>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hidden="1" customHeight="1" x14ac:dyDescent="0.25">
      <c r="B12" s="527">
        <v>30</v>
      </c>
      <c r="C12" s="411" t="str">
        <f>+CurrentFee_RIF!C5</f>
        <v>Truck Terminal</v>
      </c>
      <c r="D12" s="410" t="s">
        <v>110</v>
      </c>
      <c r="E12" s="409">
        <f>ITE_LUC_Rates!H2</f>
        <v>9.85</v>
      </c>
      <c r="F12" s="410" t="s">
        <v>71</v>
      </c>
      <c r="G12" s="417">
        <f>ITE_LUC_Rates!Q2</f>
        <v>10080.200000000001</v>
      </c>
      <c r="H12" s="552">
        <f>+S12+V12+Y12</f>
        <v>9088.9980417987063</v>
      </c>
      <c r="I12" s="553">
        <f>ITECountywide!$B$9*E12</f>
        <v>17.853918169193626</v>
      </c>
      <c r="J12" s="554">
        <f>IF(F12="Prod",$M$3,$M$4)</f>
        <v>1.67</v>
      </c>
      <c r="K12" s="416">
        <f>IF(F12="Prod",$F$4,$F$5)</f>
        <v>0.64373267284932234</v>
      </c>
      <c r="L12" s="554">
        <f>Passby_Length_Adj!H7</f>
        <v>1</v>
      </c>
      <c r="M12" s="554">
        <f>Passby_Length_Adj!J7</f>
        <v>1</v>
      </c>
      <c r="N12" s="416">
        <v>0.5</v>
      </c>
      <c r="O12" s="546">
        <f>L12*M12*N12</f>
        <v>0.5</v>
      </c>
      <c r="P12" s="555">
        <f>IF($F12="Prod",$I12*$O12*$F$4*$F$6,$I12*O12*$F$5*$F$7)</f>
        <v>42.600280656494228</v>
      </c>
      <c r="Q12" s="556">
        <f>+P12/J12</f>
        <v>25.50915009370912</v>
      </c>
      <c r="R12" s="557">
        <f>+$Q$4</f>
        <v>261.71052631578948</v>
      </c>
      <c r="S12" s="558">
        <f>+Q12*R12</f>
        <v>6676.0130968930844</v>
      </c>
      <c r="T12" s="555">
        <f>IF($F12="Prod",$I12*$O12*$G$4*$G$6,$I12*$O12*$G$5*$G$7)</f>
        <v>5.5999674006134637</v>
      </c>
      <c r="U12" s="559">
        <f>+$R$4</f>
        <v>405.42115030277023</v>
      </c>
      <c r="V12" s="558">
        <f>+T12*U12</f>
        <v>2270.3452252147245</v>
      </c>
      <c r="W12" s="555">
        <f>IF($F12="Prod",$I12*$O12*$J$4*$J$6,$I12*$O12*$J$5*$J$7)</f>
        <v>3.7629843790753164</v>
      </c>
      <c r="X12" s="559">
        <f>+$S$4</f>
        <v>37.9060089869281</v>
      </c>
      <c r="Y12" s="558">
        <f>+W12*X12</f>
        <v>142.639719690899</v>
      </c>
      <c r="Z12" s="551"/>
      <c r="AD12" s="65"/>
      <c r="AI12" s="65"/>
    </row>
    <row r="13" spans="1:36" s="20" customFormat="1" ht="17.100000000000001" hidden="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hidden="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52">
        <f t="shared" ref="H14:H76" si="0">+S14+V14+Y14</f>
        <v>4576.7949530275728</v>
      </c>
      <c r="I14" s="553">
        <f>ITECountywide!$B$9*E14</f>
        <v>8.9903994029645062</v>
      </c>
      <c r="J14" s="554">
        <f t="shared" ref="J14:J20" si="1">IF(F14="Prod",$M$3,$M$4)</f>
        <v>1.67</v>
      </c>
      <c r="K14" s="416">
        <f t="shared" ref="K14:K20" si="2">IF(F14="Prod",$F$4,$F$5)</f>
        <v>0.64373267284932234</v>
      </c>
      <c r="L14" s="554">
        <f>Passby_Length_Adj!H9</f>
        <v>1</v>
      </c>
      <c r="M14" s="554">
        <f>Passby_Length_Adj!J9</f>
        <v>1</v>
      </c>
      <c r="N14" s="416">
        <v>0.5</v>
      </c>
      <c r="O14" s="546">
        <f t="shared" ref="O14:O20" si="3">L14*M14*N14</f>
        <v>0.5</v>
      </c>
      <c r="P14" s="555">
        <f t="shared" ref="P14:P20" si="4">IF($F14="Prod",$I14*$O14*$F$4*$F$6,$I14*O14*$F$5*$F$7)</f>
        <v>21.451511883879327</v>
      </c>
      <c r="Q14" s="556">
        <f t="shared" ref="Q14:Q79" si="5">+P14/J14</f>
        <v>12.845216696933729</v>
      </c>
      <c r="R14" s="561">
        <f t="shared" ref="R14:R20" si="6">+$Q$4</f>
        <v>261.71052631578948</v>
      </c>
      <c r="S14" s="558">
        <f>+Q14*R14</f>
        <v>3361.7284223948932</v>
      </c>
      <c r="T14" s="555">
        <f t="shared" ref="T14:T20" si="7">IF($F14="Prod",$I14*$O14*$G$4*$G$6,$I14*$O14*$G$5*$G$7)</f>
        <v>2.8198820616287086</v>
      </c>
      <c r="U14" s="559">
        <f t="shared" ref="U14:U20" si="8">+$R$4</f>
        <v>405.42115030277023</v>
      </c>
      <c r="V14" s="558">
        <f t="shared" ref="V14:V20" si="9">+T14*U14</f>
        <v>1143.2398291436582</v>
      </c>
      <c r="W14" s="555">
        <f t="shared" ref="W14:W20" si="10">IF($F14="Prod",$I14*$O14*$J$4*$J$6,$I14*$O14*$J$5*$J$7)</f>
        <v>1.8948632000216821</v>
      </c>
      <c r="X14" s="559">
        <f t="shared" ref="X14:X20" si="11">+$S$4</f>
        <v>37.9060089869281</v>
      </c>
      <c r="Y14" s="558">
        <f t="shared" ref="Y14:Y20" si="12">+W14*X14</f>
        <v>71.826701489021218</v>
      </c>
      <c r="Z14" s="551"/>
      <c r="AA14" s="66"/>
    </row>
    <row r="15" spans="1:36" s="20" customFormat="1" ht="17.100000000000001" hidden="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52">
        <f t="shared" si="0"/>
        <v>3109.6368934884913</v>
      </c>
      <c r="I15" s="553">
        <f>ITECountywide!$B$9*E15</f>
        <v>6.1083963685464484</v>
      </c>
      <c r="J15" s="554">
        <f t="shared" si="1"/>
        <v>1.67</v>
      </c>
      <c r="K15" s="416">
        <f t="shared" si="2"/>
        <v>0.64373267284932234</v>
      </c>
      <c r="L15" s="554">
        <f>Passby_Length_Adj!H10</f>
        <v>1</v>
      </c>
      <c r="M15" s="554">
        <f>Passby_Length_Adj!J10</f>
        <v>1</v>
      </c>
      <c r="N15" s="416">
        <v>0.5</v>
      </c>
      <c r="O15" s="546">
        <f t="shared" si="3"/>
        <v>0.5</v>
      </c>
      <c r="P15" s="555">
        <f t="shared" si="4"/>
        <v>14.574918356587364</v>
      </c>
      <c r="Q15" s="556">
        <f t="shared" si="5"/>
        <v>8.7274960219086015</v>
      </c>
      <c r="R15" s="561">
        <f t="shared" si="6"/>
        <v>261.71052631578948</v>
      </c>
      <c r="S15" s="558">
        <f t="shared" ref="S15:S20" si="13">+Q15*R15</f>
        <v>2284.0775773126588</v>
      </c>
      <c r="T15" s="555">
        <f t="shared" si="7"/>
        <v>1.9159279330017633</v>
      </c>
      <c r="U15" s="559">
        <f t="shared" si="8"/>
        <v>405.42115030277023</v>
      </c>
      <c r="V15" s="558">
        <f t="shared" si="9"/>
        <v>776.75770649478375</v>
      </c>
      <c r="W15" s="555">
        <f t="shared" si="10"/>
        <v>1.287437295176022</v>
      </c>
      <c r="X15" s="559">
        <f t="shared" si="11"/>
        <v>37.9060089869281</v>
      </c>
      <c r="Y15" s="558">
        <f t="shared" si="12"/>
        <v>48.801609681048696</v>
      </c>
      <c r="Z15" s="551"/>
    </row>
    <row r="16" spans="1:36" s="20" customFormat="1" ht="17.100000000000001" hidden="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52">
        <f t="shared" si="0"/>
        <v>3626.371807539992</v>
      </c>
      <c r="I16" s="553">
        <f>ITECountywide!$B$9*E16</f>
        <v>7.1234414624295379</v>
      </c>
      <c r="J16" s="554">
        <f t="shared" si="1"/>
        <v>1.67</v>
      </c>
      <c r="K16" s="416">
        <f t="shared" si="2"/>
        <v>0.64373267284932234</v>
      </c>
      <c r="L16" s="554">
        <f>Passby_Length_Adj!H11</f>
        <v>1</v>
      </c>
      <c r="M16" s="554">
        <f>Passby_Length_Adj!J11</f>
        <v>1</v>
      </c>
      <c r="N16" s="416">
        <v>0.5</v>
      </c>
      <c r="O16" s="546">
        <f t="shared" si="3"/>
        <v>0.5</v>
      </c>
      <c r="P16" s="555">
        <f t="shared" si="4"/>
        <v>16.996863246702773</v>
      </c>
      <c r="Q16" s="556">
        <f t="shared" si="5"/>
        <v>10.177762423175313</v>
      </c>
      <c r="R16" s="561">
        <f t="shared" si="6"/>
        <v>261.71052631578948</v>
      </c>
      <c r="S16" s="558">
        <f t="shared" si="13"/>
        <v>2663.6275604862763</v>
      </c>
      <c r="T16" s="555">
        <f t="shared" si="7"/>
        <v>2.2343017141533918</v>
      </c>
      <c r="U16" s="559">
        <f t="shared" si="8"/>
        <v>405.42115030277023</v>
      </c>
      <c r="V16" s="558">
        <f t="shared" si="9"/>
        <v>905.83317107551943</v>
      </c>
      <c r="W16" s="555">
        <f t="shared" si="10"/>
        <v>1.5013734629204054</v>
      </c>
      <c r="X16" s="559">
        <f t="shared" si="11"/>
        <v>37.9060089869281</v>
      </c>
      <c r="Y16" s="558">
        <f t="shared" si="12"/>
        <v>56.911075978196251</v>
      </c>
      <c r="Z16" s="551"/>
      <c r="AD16" s="66"/>
    </row>
    <row r="17" spans="2:27" s="20" customFormat="1" ht="17.100000000000001" hidden="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52">
        <f t="shared" si="0"/>
        <v>1605.5691972314467</v>
      </c>
      <c r="I17" s="553">
        <f>ITECountywide!$B$9*E17</f>
        <v>3.1538901131367418</v>
      </c>
      <c r="J17" s="554">
        <f t="shared" si="1"/>
        <v>1.67</v>
      </c>
      <c r="K17" s="416">
        <f t="shared" si="2"/>
        <v>0.64373267284932234</v>
      </c>
      <c r="L17" s="554">
        <f>Passby_Length_Adj!H12</f>
        <v>1</v>
      </c>
      <c r="M17" s="554">
        <f>Passby_Length_Adj!J12</f>
        <v>1</v>
      </c>
      <c r="N17" s="416">
        <v>0.5</v>
      </c>
      <c r="O17" s="546">
        <f t="shared" si="3"/>
        <v>0.5</v>
      </c>
      <c r="P17" s="555">
        <f t="shared" si="4"/>
        <v>7.5253287657157308</v>
      </c>
      <c r="Q17" s="556">
        <f t="shared" si="5"/>
        <v>4.5061848896501386</v>
      </c>
      <c r="R17" s="561">
        <f t="shared" si="6"/>
        <v>261.71052631578948</v>
      </c>
      <c r="S17" s="558">
        <f t="shared" si="13"/>
        <v>1179.3160191465954</v>
      </c>
      <c r="T17" s="555">
        <f t="shared" si="7"/>
        <v>0.98923282000684531</v>
      </c>
      <c r="U17" s="559">
        <f t="shared" si="8"/>
        <v>405.42115030277023</v>
      </c>
      <c r="V17" s="558">
        <f t="shared" si="9"/>
        <v>401.0559078044285</v>
      </c>
      <c r="W17" s="555">
        <f t="shared" si="10"/>
        <v>0.66473023549147714</v>
      </c>
      <c r="X17" s="559">
        <f t="shared" si="11"/>
        <v>37.9060089869281</v>
      </c>
      <c r="Y17" s="558">
        <f t="shared" si="12"/>
        <v>25.197270280422764</v>
      </c>
      <c r="Z17" s="551"/>
    </row>
    <row r="18" spans="2:27" s="20" customFormat="1" ht="17.100000000000001" hidden="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52">
        <f t="shared" si="0"/>
        <v>1393.3387861031524</v>
      </c>
      <c r="I18" s="553">
        <f>ITECountywide!$B$9*E18</f>
        <v>2.736996592434759</v>
      </c>
      <c r="J18" s="562">
        <f t="shared" si="1"/>
        <v>1.67</v>
      </c>
      <c r="K18" s="416">
        <f t="shared" si="2"/>
        <v>0.64373267284932234</v>
      </c>
      <c r="L18" s="554">
        <f>Passby_Length_Adj!H13</f>
        <v>1</v>
      </c>
      <c r="M18" s="554">
        <f>Passby_Length_Adj!J13</f>
        <v>1</v>
      </c>
      <c r="N18" s="416">
        <v>0.5</v>
      </c>
      <c r="O18" s="546">
        <f t="shared" si="3"/>
        <v>0.5</v>
      </c>
      <c r="P18" s="555">
        <f t="shared" si="4"/>
        <v>6.5306014001326176</v>
      </c>
      <c r="Q18" s="556">
        <f>+P18/J18</f>
        <v>3.910539760558454</v>
      </c>
      <c r="R18" s="561">
        <f t="shared" si="6"/>
        <v>261.71052631578948</v>
      </c>
      <c r="S18" s="558">
        <f t="shared" si="13"/>
        <v>1023.4294189145744</v>
      </c>
      <c r="T18" s="555">
        <f t="shared" si="7"/>
        <v>0.85847215989099801</v>
      </c>
      <c r="U18" s="559">
        <f t="shared" si="8"/>
        <v>405.42115030277023</v>
      </c>
      <c r="V18" s="558">
        <f t="shared" si="9"/>
        <v>348.04277056591212</v>
      </c>
      <c r="W18" s="555">
        <f t="shared" si="10"/>
        <v>0.5768635951678911</v>
      </c>
      <c r="X18" s="559">
        <f t="shared" si="11"/>
        <v>37.9060089869281</v>
      </c>
      <c r="Y18" s="558">
        <f t="shared" si="12"/>
        <v>21.866596622665732</v>
      </c>
      <c r="Z18" s="551"/>
    </row>
    <row r="19" spans="2:27" s="20" customFormat="1" ht="17.100000000000001" hidden="1" customHeight="1" x14ac:dyDescent="0.25">
      <c r="B19" s="527">
        <f>ITE_LUC_Rates!B8</f>
        <v>160</v>
      </c>
      <c r="C19" s="411" t="str">
        <f>ITE_LUC_Rates!C8</f>
        <v>Data Center</v>
      </c>
      <c r="D19" s="410" t="str">
        <f>ITE_LUC_Rates!D8</f>
        <v>1000 GSF</v>
      </c>
      <c r="E19" s="409">
        <f>ITE_LUC_Rates!H8</f>
        <v>0.99</v>
      </c>
      <c r="F19" s="410" t="s">
        <v>71</v>
      </c>
      <c r="G19" s="417">
        <f>ITE_LUC_Rates!Q8</f>
        <v>0</v>
      </c>
      <c r="H19" s="552">
        <f t="shared" si="0"/>
        <v>913.51350876961624</v>
      </c>
      <c r="I19" s="553">
        <f>ITECountywide!$B$9*E19</f>
        <v>1.7944547195433187</v>
      </c>
      <c r="J19" s="554">
        <f t="shared" si="1"/>
        <v>1.67</v>
      </c>
      <c r="K19" s="416">
        <f t="shared" si="2"/>
        <v>0.64373267284932234</v>
      </c>
      <c r="L19" s="554">
        <f>Passby_Length_Adj!H14</f>
        <v>1</v>
      </c>
      <c r="M19" s="554">
        <f>Passby_Length_Adj!J14</f>
        <v>1</v>
      </c>
      <c r="N19" s="416">
        <v>0.5</v>
      </c>
      <c r="O19" s="546">
        <f t="shared" si="3"/>
        <v>0.5</v>
      </c>
      <c r="P19" s="555">
        <f t="shared" si="4"/>
        <v>4.2816525735968813</v>
      </c>
      <c r="Q19" s="556">
        <f t="shared" si="5"/>
        <v>2.5638638165250787</v>
      </c>
      <c r="R19" s="561">
        <f t="shared" si="6"/>
        <v>261.71052631578948</v>
      </c>
      <c r="S19" s="558">
        <f t="shared" si="13"/>
        <v>670.99014882478707</v>
      </c>
      <c r="T19" s="555">
        <f t="shared" si="7"/>
        <v>0.56283936310734295</v>
      </c>
      <c r="U19" s="559">
        <f t="shared" si="8"/>
        <v>405.42115030277023</v>
      </c>
      <c r="V19" s="558">
        <f t="shared" si="9"/>
        <v>228.18698202665755</v>
      </c>
      <c r="W19" s="555">
        <f t="shared" si="10"/>
        <v>0.37820858226239223</v>
      </c>
      <c r="X19" s="559">
        <f t="shared" si="11"/>
        <v>37.9060089869281</v>
      </c>
      <c r="Y19" s="558">
        <f t="shared" si="12"/>
        <v>14.336377918171575</v>
      </c>
      <c r="Z19" s="551"/>
    </row>
    <row r="20" spans="2:27" s="20" customFormat="1" ht="17.100000000000001" hidden="1" customHeight="1" x14ac:dyDescent="0.25">
      <c r="B20" s="527">
        <f>ITE_LUC_Rates!B9</f>
        <v>170</v>
      </c>
      <c r="C20" s="411" t="str">
        <f>ITE_LUC_Rates!C9</f>
        <v>Utility</v>
      </c>
      <c r="D20" s="410" t="str">
        <f>ITE_LUC_Rates!D9</f>
        <v>1000 GSF</v>
      </c>
      <c r="E20" s="409">
        <f>ITE_LUC_Rates!H9</f>
        <v>13.24</v>
      </c>
      <c r="F20" s="410" t="s">
        <v>71</v>
      </c>
      <c r="G20" s="417">
        <f>ITE_LUC_Rates!Q9</f>
        <v>0</v>
      </c>
      <c r="H20" s="552">
        <f t="shared" si="0"/>
        <v>12217.089753646182</v>
      </c>
      <c r="I20" s="553">
        <f>ITECountywide!$B$9*E20</f>
        <v>23.998566148235899</v>
      </c>
      <c r="J20" s="554">
        <f t="shared" si="1"/>
        <v>1.67</v>
      </c>
      <c r="K20" s="416">
        <f t="shared" si="2"/>
        <v>0.64373267284932234</v>
      </c>
      <c r="L20" s="554">
        <f>Passby_Length_Adj!H15</f>
        <v>1</v>
      </c>
      <c r="M20" s="554">
        <f>Passby_Length_Adj!J15</f>
        <v>1</v>
      </c>
      <c r="N20" s="416">
        <v>0.5</v>
      </c>
      <c r="O20" s="546">
        <f t="shared" si="3"/>
        <v>0.5</v>
      </c>
      <c r="P20" s="555">
        <f t="shared" si="4"/>
        <v>57.261697044871426</v>
      </c>
      <c r="Q20" s="556">
        <f t="shared" si="5"/>
        <v>34.288441344234386</v>
      </c>
      <c r="R20" s="561">
        <f t="shared" si="6"/>
        <v>261.71052631578948</v>
      </c>
      <c r="S20" s="558">
        <f t="shared" si="13"/>
        <v>8973.6460307476573</v>
      </c>
      <c r="T20" s="555">
        <f t="shared" si="7"/>
        <v>7.5272658257992138</v>
      </c>
      <c r="U20" s="559">
        <f t="shared" si="8"/>
        <v>405.42115030277023</v>
      </c>
      <c r="V20" s="558">
        <f t="shared" si="9"/>
        <v>3051.712769730249</v>
      </c>
      <c r="W20" s="555">
        <f t="shared" si="10"/>
        <v>5.0580622516707807</v>
      </c>
      <c r="X20" s="559">
        <f t="shared" si="11"/>
        <v>37.9060089869281</v>
      </c>
      <c r="Y20" s="558">
        <f t="shared" si="12"/>
        <v>191.7309531682744</v>
      </c>
      <c r="Z20" s="551"/>
    </row>
    <row r="21" spans="2:27"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7"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52">
        <f t="shared" si="0"/>
        <v>9538.0028840764662</v>
      </c>
      <c r="I22" s="553">
        <f>ITECountywide!$B$9*E22</f>
        <v>17.110760154029219</v>
      </c>
      <c r="J22" s="554">
        <f t="shared" ref="J22:J35" si="14">IF(F22="Prod",$M$3,$M$4)</f>
        <v>1.67</v>
      </c>
      <c r="K22" s="416">
        <f t="shared" ref="K22:K35" si="15">IF(F22="Prod",$F$4,$F$5)</f>
        <v>0.72495177066528282</v>
      </c>
      <c r="L22" s="554">
        <f>Passby_Length_Adj!H17</f>
        <v>1</v>
      </c>
      <c r="M22" s="554">
        <f>Passby_Length_Adj!J17</f>
        <v>1</v>
      </c>
      <c r="N22" s="416">
        <v>0.5</v>
      </c>
      <c r="O22" s="546">
        <f t="shared" ref="O22:O35" si="16">L22*M22*N22</f>
        <v>0.5</v>
      </c>
      <c r="P22" s="555">
        <f t="shared" ref="P22:P35" si="17">IF($F22="Prod",$I22*$O22*$F$4*$F$6,$I22*O22*$F$5*$F$7)</f>
        <v>50.049601791607707</v>
      </c>
      <c r="Q22" s="556">
        <f t="shared" si="5"/>
        <v>29.969821432100424</v>
      </c>
      <c r="R22" s="561">
        <f t="shared" ref="R22:R35" si="18">+$Q$4</f>
        <v>261.71052631578948</v>
      </c>
      <c r="S22" s="558">
        <f t="shared" ref="S22:S35" si="19">+Q22*R22</f>
        <v>7843.4177405852297</v>
      </c>
      <c r="T22" s="555">
        <f t="shared" ref="T22:T35" si="20">IF($F22="Prod",$I22*$O22*$G$4*$G$6,$I22*$O22*$G$5*$G$7)</f>
        <v>3.9072419556973963</v>
      </c>
      <c r="U22" s="559">
        <f t="shared" ref="U22:U35" si="21">+$R$4</f>
        <v>405.42115030277023</v>
      </c>
      <c r="V22" s="558">
        <f t="shared" ref="V22:V35" si="22">+T22*U22</f>
        <v>1584.0785281900839</v>
      </c>
      <c r="W22" s="555">
        <f t="shared" ref="W22:W35" si="23">IF($F22="Prod",$I22*$O22*$J$4*$J$6,$I22*$O22*$J$5*$J$7)</f>
        <v>2.9152796154103298</v>
      </c>
      <c r="X22" s="559">
        <f t="shared" ref="X22:X35" si="24">+$S$4</f>
        <v>37.9060089869281</v>
      </c>
      <c r="Y22" s="558">
        <f t="shared" ref="Y22:Y35" si="25">+W22*X22</f>
        <v>110.50661530115225</v>
      </c>
      <c r="Z22" s="560"/>
      <c r="AA22" s="166"/>
    </row>
    <row r="23" spans="2:27"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52">
        <f t="shared" si="0"/>
        <v>7395.9937618050581</v>
      </c>
      <c r="I23" s="553">
        <f>ITECountywide!$B$9*E23</f>
        <v>13.268089441471812</v>
      </c>
      <c r="J23" s="554">
        <f t="shared" si="14"/>
        <v>1.67</v>
      </c>
      <c r="K23" s="416">
        <f t="shared" si="15"/>
        <v>0.72495177066528282</v>
      </c>
      <c r="L23" s="554">
        <f>Passby_Length_Adj!H18</f>
        <v>1</v>
      </c>
      <c r="M23" s="554">
        <f>Passby_Length_Adj!J18</f>
        <v>1</v>
      </c>
      <c r="N23" s="416">
        <v>0.5</v>
      </c>
      <c r="O23" s="546">
        <f t="shared" si="16"/>
        <v>0.5</v>
      </c>
      <c r="P23" s="555">
        <f t="shared" si="17"/>
        <v>38.809648846882254</v>
      </c>
      <c r="Q23" s="556">
        <f t="shared" si="5"/>
        <v>23.239310686755843</v>
      </c>
      <c r="R23" s="561">
        <f t="shared" si="18"/>
        <v>261.71052631578948</v>
      </c>
      <c r="S23" s="558">
        <f t="shared" si="19"/>
        <v>6081.9722310470224</v>
      </c>
      <c r="T23" s="555">
        <f t="shared" si="20"/>
        <v>3.0297681266636598</v>
      </c>
      <c r="U23" s="559">
        <f t="shared" si="21"/>
        <v>405.42115030277023</v>
      </c>
      <c r="V23" s="558">
        <f t="shared" si="22"/>
        <v>1228.3320790626501</v>
      </c>
      <c r="W23" s="555">
        <f t="shared" si="23"/>
        <v>2.2605769899156374</v>
      </c>
      <c r="X23" s="559">
        <f t="shared" si="24"/>
        <v>37.9060089869281</v>
      </c>
      <c r="Y23" s="558">
        <f t="shared" si="25"/>
        <v>85.689451695385017</v>
      </c>
      <c r="Z23" s="551"/>
    </row>
    <row r="24" spans="2:27"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52">
        <f t="shared" si="0"/>
        <v>5496.4762382813533</v>
      </c>
      <c r="I24" s="553">
        <f>ITECountywide!$B$9*E24</f>
        <v>9.8604380548642965</v>
      </c>
      <c r="J24" s="554">
        <f t="shared" si="14"/>
        <v>1.67</v>
      </c>
      <c r="K24" s="416">
        <f t="shared" si="15"/>
        <v>0.72495177066528282</v>
      </c>
      <c r="L24" s="554">
        <f>Passby_Length_Adj!H19</f>
        <v>1</v>
      </c>
      <c r="M24" s="554">
        <f>Passby_Length_Adj!J19</f>
        <v>1</v>
      </c>
      <c r="N24" s="416">
        <v>0.5</v>
      </c>
      <c r="O24" s="546">
        <f t="shared" si="16"/>
        <v>0.5</v>
      </c>
      <c r="P24" s="555">
        <f t="shared" si="17"/>
        <v>28.842143405333253</v>
      </c>
      <c r="Q24" s="556">
        <f t="shared" si="5"/>
        <v>17.27074455409177</v>
      </c>
      <c r="R24" s="561">
        <f t="shared" si="18"/>
        <v>261.71052631578948</v>
      </c>
      <c r="S24" s="558">
        <f t="shared" si="19"/>
        <v>4519.9356471169122</v>
      </c>
      <c r="T24" s="555">
        <f t="shared" si="20"/>
        <v>2.251630957520534</v>
      </c>
      <c r="U24" s="559">
        <f t="shared" si="21"/>
        <v>405.42115030277023</v>
      </c>
      <c r="V24" s="558">
        <f t="shared" si="22"/>
        <v>912.85881285530286</v>
      </c>
      <c r="W24" s="555">
        <f t="shared" si="23"/>
        <v>1.6799916427788342</v>
      </c>
      <c r="X24" s="559">
        <f t="shared" si="24"/>
        <v>37.9060089869281</v>
      </c>
      <c r="Y24" s="558">
        <f t="shared" si="25"/>
        <v>63.681778309138593</v>
      </c>
      <c r="Z24" s="551"/>
    </row>
    <row r="25" spans="2:27"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52">
        <f t="shared" si="0"/>
        <v>4496.1983934470627</v>
      </c>
      <c r="I25" s="553">
        <f>ITECountywide!$B$9*E25</f>
        <v>8.0659833353209791</v>
      </c>
      <c r="J25" s="554">
        <f t="shared" si="14"/>
        <v>1.67</v>
      </c>
      <c r="K25" s="416">
        <f t="shared" si="15"/>
        <v>0.72495177066528282</v>
      </c>
      <c r="L25" s="554">
        <f>Passby_Length_Adj!H20</f>
        <v>1</v>
      </c>
      <c r="M25" s="554">
        <f>Passby_Length_Adj!J20</f>
        <v>1</v>
      </c>
      <c r="N25" s="416">
        <v>0.5</v>
      </c>
      <c r="O25" s="546">
        <f t="shared" si="16"/>
        <v>0.5</v>
      </c>
      <c r="P25" s="555">
        <f t="shared" si="17"/>
        <v>23.59329745473033</v>
      </c>
      <c r="Q25" s="556">
        <f t="shared" si="5"/>
        <v>14.127723026784629</v>
      </c>
      <c r="R25" s="561">
        <f t="shared" si="18"/>
        <v>261.71052631578948</v>
      </c>
      <c r="S25" s="558">
        <f t="shared" si="19"/>
        <v>3697.3738289835037</v>
      </c>
      <c r="T25" s="555">
        <f t="shared" si="20"/>
        <v>1.8418672354717605</v>
      </c>
      <c r="U25" s="559">
        <f t="shared" si="21"/>
        <v>405.42115030277023</v>
      </c>
      <c r="V25" s="558">
        <f t="shared" si="22"/>
        <v>746.73193330994445</v>
      </c>
      <c r="W25" s="555">
        <f t="shared" si="23"/>
        <v>1.3742578695525391</v>
      </c>
      <c r="X25" s="559">
        <f t="shared" si="24"/>
        <v>37.9060089869281</v>
      </c>
      <c r="Y25" s="558">
        <f t="shared" si="25"/>
        <v>52.092631153615216</v>
      </c>
      <c r="Z25" s="551"/>
    </row>
    <row r="26" spans="2:27"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52">
        <f t="shared" si="0"/>
        <v>5920.8365360898406</v>
      </c>
      <c r="I26" s="553">
        <f>ITECountywide!$B$9*E26</f>
        <v>10.621721875276615</v>
      </c>
      <c r="J26" s="554">
        <f t="shared" si="14"/>
        <v>1.67</v>
      </c>
      <c r="K26" s="416">
        <f t="shared" si="15"/>
        <v>0.72495177066528282</v>
      </c>
      <c r="L26" s="554">
        <f>Passby_Length_Adj!H22</f>
        <v>1</v>
      </c>
      <c r="M26" s="554">
        <f>Passby_Length_Adj!J22</f>
        <v>1</v>
      </c>
      <c r="N26" s="416">
        <v>0.5</v>
      </c>
      <c r="O26" s="546">
        <f t="shared" si="16"/>
        <v>0.5</v>
      </c>
      <c r="P26" s="555">
        <f t="shared" si="17"/>
        <v>31.068926535892075</v>
      </c>
      <c r="Q26" s="556">
        <f>+P26/J26</f>
        <v>18.604147626282682</v>
      </c>
      <c r="R26" s="561">
        <f t="shared" si="18"/>
        <v>261.71052631578948</v>
      </c>
      <c r="S26" s="558">
        <f t="shared" si="19"/>
        <v>4868.901266931086</v>
      </c>
      <c r="T26" s="555">
        <f t="shared" si="20"/>
        <v>2.4254701123291045</v>
      </c>
      <c r="U26" s="559">
        <f t="shared" si="21"/>
        <v>405.42115030277023</v>
      </c>
      <c r="V26" s="558">
        <f t="shared" si="22"/>
        <v>983.33688296545483</v>
      </c>
      <c r="W26" s="555">
        <f t="shared" si="23"/>
        <v>1.8096968799051416</v>
      </c>
      <c r="X26" s="559">
        <f t="shared" si="24"/>
        <v>37.9060089869281</v>
      </c>
      <c r="Y26" s="558">
        <f t="shared" si="25"/>
        <v>68.598386193300044</v>
      </c>
      <c r="Z26" s="551"/>
    </row>
    <row r="27" spans="2:27"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52">
        <f t="shared" si="0"/>
        <v>3475.7129153837973</v>
      </c>
      <c r="I27" s="553">
        <f>ITECountywide!$B$9*E27</f>
        <v>6.2352770052818345</v>
      </c>
      <c r="J27" s="554">
        <f t="shared" si="14"/>
        <v>1.67</v>
      </c>
      <c r="K27" s="416">
        <f t="shared" si="15"/>
        <v>0.72495177066528282</v>
      </c>
      <c r="L27" s="554">
        <f>Passby_Length_Adj!H22</f>
        <v>1</v>
      </c>
      <c r="M27" s="554">
        <f>Passby_Length_Adj!J22</f>
        <v>1</v>
      </c>
      <c r="N27" s="416">
        <v>0.5</v>
      </c>
      <c r="O27" s="546">
        <f t="shared" si="16"/>
        <v>0.5</v>
      </c>
      <c r="P27" s="555">
        <f t="shared" si="17"/>
        <v>18.23841421219603</v>
      </c>
      <c r="Q27" s="556">
        <f t="shared" si="5"/>
        <v>10.921206115087443</v>
      </c>
      <c r="R27" s="561">
        <f t="shared" si="18"/>
        <v>261.71052631578948</v>
      </c>
      <c r="S27" s="558">
        <f t="shared" si="19"/>
        <v>2858.1946003827534</v>
      </c>
      <c r="T27" s="555">
        <f t="shared" si="20"/>
        <v>1.4238254584321022</v>
      </c>
      <c r="U27" s="559">
        <f t="shared" si="21"/>
        <v>405.42115030277023</v>
      </c>
      <c r="V27" s="558">
        <f t="shared" si="22"/>
        <v>577.24895518791197</v>
      </c>
      <c r="W27" s="555">
        <f t="shared" si="23"/>
        <v>1.0623476564630863</v>
      </c>
      <c r="X27" s="559">
        <f t="shared" si="24"/>
        <v>37.9060089869281</v>
      </c>
      <c r="Y27" s="558">
        <f t="shared" si="25"/>
        <v>40.269359813131757</v>
      </c>
      <c r="Z27" s="551"/>
    </row>
    <row r="28" spans="2:27"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52">
        <f t="shared" si="0"/>
        <v>5051.9083072438916</v>
      </c>
      <c r="I28" s="553">
        <f>ITECountywide!$B$9*E28</f>
        <v>9.0629026239561554</v>
      </c>
      <c r="J28" s="554">
        <f t="shared" si="14"/>
        <v>1.67</v>
      </c>
      <c r="K28" s="416">
        <f t="shared" si="15"/>
        <v>0.72495177066528282</v>
      </c>
      <c r="L28" s="554">
        <f>Passby_Length_Adj!H23</f>
        <v>1</v>
      </c>
      <c r="M28" s="554">
        <f>Passby_Length_Adj!J23</f>
        <v>1</v>
      </c>
      <c r="N28" s="416">
        <v>0.5</v>
      </c>
      <c r="O28" s="546">
        <f t="shared" si="16"/>
        <v>0.5</v>
      </c>
      <c r="P28" s="555">
        <f t="shared" si="17"/>
        <v>26.509322982843067</v>
      </c>
      <c r="Q28" s="556">
        <f t="shared" si="5"/>
        <v>15.873846097510819</v>
      </c>
      <c r="R28" s="561">
        <f t="shared" si="18"/>
        <v>261.71052631578948</v>
      </c>
      <c r="S28" s="558">
        <f t="shared" si="19"/>
        <v>4154.3526168353974</v>
      </c>
      <c r="T28" s="555">
        <f t="shared" si="20"/>
        <v>2.069513747721079</v>
      </c>
      <c r="U28" s="559">
        <f t="shared" si="21"/>
        <v>405.42115030277023</v>
      </c>
      <c r="V28" s="558">
        <f t="shared" si="22"/>
        <v>839.02464416847693</v>
      </c>
      <c r="W28" s="555">
        <f t="shared" si="23"/>
        <v>1.5441099657893698</v>
      </c>
      <c r="X28" s="559">
        <f t="shared" si="24"/>
        <v>37.9060089869281</v>
      </c>
      <c r="Y28" s="558">
        <f t="shared" si="25"/>
        <v>58.531046240017091</v>
      </c>
      <c r="Z28" s="551"/>
    </row>
    <row r="29" spans="2:27"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52">
        <f t="shared" si="0"/>
        <v>4314.3296943862833</v>
      </c>
      <c r="I29" s="553">
        <f>ITECountywide!$B$9*E29</f>
        <v>7.739718840858556</v>
      </c>
      <c r="J29" s="554">
        <f t="shared" si="14"/>
        <v>1.67</v>
      </c>
      <c r="K29" s="416">
        <f t="shared" si="15"/>
        <v>0.72495177066528282</v>
      </c>
      <c r="L29" s="554">
        <f>Passby_Length_Adj!H24</f>
        <v>1</v>
      </c>
      <c r="M29" s="554">
        <f>Passby_Length_Adj!J24</f>
        <v>1</v>
      </c>
      <c r="N29" s="416">
        <v>0.5</v>
      </c>
      <c r="O29" s="546">
        <f t="shared" si="16"/>
        <v>0.5</v>
      </c>
      <c r="P29" s="555">
        <f t="shared" si="17"/>
        <v>22.638961827347977</v>
      </c>
      <c r="Q29" s="556">
        <f t="shared" si="5"/>
        <v>13.556264567274239</v>
      </c>
      <c r="R29" s="561">
        <f t="shared" si="18"/>
        <v>261.71052631578948</v>
      </c>
      <c r="S29" s="558">
        <f t="shared" si="19"/>
        <v>3547.8171347774291</v>
      </c>
      <c r="T29" s="555">
        <f t="shared" si="20"/>
        <v>1.7673647405538011</v>
      </c>
      <c r="U29" s="559">
        <f t="shared" si="21"/>
        <v>405.42115030277023</v>
      </c>
      <c r="V29" s="558">
        <f t="shared" si="22"/>
        <v>716.52704611987906</v>
      </c>
      <c r="W29" s="555">
        <f t="shared" si="23"/>
        <v>1.3186699107841218</v>
      </c>
      <c r="X29" s="559">
        <f t="shared" si="24"/>
        <v>37.9060089869281</v>
      </c>
      <c r="Y29" s="558">
        <f t="shared" si="25"/>
        <v>49.985513488974597</v>
      </c>
      <c r="Z29" s="551"/>
    </row>
    <row r="30" spans="2:27"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52">
        <f t="shared" si="0"/>
        <v>3738.4121473604791</v>
      </c>
      <c r="I30" s="553">
        <f>ITECountywide!$B$9*E30</f>
        <v>6.7065479417275551</v>
      </c>
      <c r="J30" s="554">
        <f t="shared" si="14"/>
        <v>1.67</v>
      </c>
      <c r="K30" s="416">
        <f t="shared" si="15"/>
        <v>0.72495177066528282</v>
      </c>
      <c r="L30" s="554">
        <f>Passby_Length_Adj!H25</f>
        <v>1</v>
      </c>
      <c r="M30" s="554">
        <f>Passby_Length_Adj!J25</f>
        <v>1</v>
      </c>
      <c r="N30" s="416">
        <v>0.5</v>
      </c>
      <c r="O30" s="546">
        <f t="shared" si="16"/>
        <v>0.5</v>
      </c>
      <c r="P30" s="555">
        <f t="shared" si="17"/>
        <v>19.616899007303868</v>
      </c>
      <c r="Q30" s="556">
        <f t="shared" si="5"/>
        <v>11.746646112158006</v>
      </c>
      <c r="R30" s="561">
        <f t="shared" si="18"/>
        <v>261.71052631578948</v>
      </c>
      <c r="S30" s="558">
        <f t="shared" si="19"/>
        <v>3074.220936458194</v>
      </c>
      <c r="T30" s="555">
        <f t="shared" si="20"/>
        <v>1.5314401733135985</v>
      </c>
      <c r="U30" s="559">
        <f t="shared" si="21"/>
        <v>405.42115030277023</v>
      </c>
      <c r="V30" s="558">
        <f t="shared" si="22"/>
        <v>620.87823668467286</v>
      </c>
      <c r="W30" s="555">
        <f t="shared" si="23"/>
        <v>1.1426413746841337</v>
      </c>
      <c r="X30" s="559">
        <f t="shared" si="24"/>
        <v>37.9060089869281</v>
      </c>
      <c r="Y30" s="558">
        <f t="shared" si="25"/>
        <v>43.312974217612648</v>
      </c>
      <c r="Z30" s="551"/>
    </row>
    <row r="31" spans="2:27"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52">
        <f t="shared" si="0"/>
        <v>2040.970956126532</v>
      </c>
      <c r="I31" s="553">
        <f>ITECountywide!$B$9*E31</f>
        <v>3.6614126600782866</v>
      </c>
      <c r="J31" s="554">
        <f t="shared" si="14"/>
        <v>1.67</v>
      </c>
      <c r="K31" s="416">
        <f t="shared" si="15"/>
        <v>0.72495177066528282</v>
      </c>
      <c r="L31" s="554">
        <f>Passby_Length_Adj!H26</f>
        <v>1</v>
      </c>
      <c r="M31" s="554">
        <f>Passby_Length_Adj!J26</f>
        <v>1</v>
      </c>
      <c r="N31" s="416">
        <v>0.5</v>
      </c>
      <c r="O31" s="546">
        <f t="shared" si="16"/>
        <v>0.5</v>
      </c>
      <c r="P31" s="555">
        <f t="shared" si="17"/>
        <v>10.709766485068599</v>
      </c>
      <c r="Q31" s="556">
        <f t="shared" si="5"/>
        <v>6.4130338233943709</v>
      </c>
      <c r="R31" s="557">
        <f t="shared" si="18"/>
        <v>261.71052631578948</v>
      </c>
      <c r="S31" s="558">
        <f t="shared" si="19"/>
        <v>1678.3584572015004</v>
      </c>
      <c r="T31" s="555">
        <f t="shared" si="20"/>
        <v>0.83608355407931589</v>
      </c>
      <c r="U31" s="559">
        <f t="shared" si="21"/>
        <v>405.42115030277023</v>
      </c>
      <c r="V31" s="558">
        <f t="shared" si="22"/>
        <v>338.96595624406467</v>
      </c>
      <c r="W31" s="555">
        <f t="shared" si="23"/>
        <v>0.62382042617890532</v>
      </c>
      <c r="X31" s="559">
        <f t="shared" si="24"/>
        <v>37.9060089869281</v>
      </c>
      <c r="Y31" s="558">
        <f t="shared" si="25"/>
        <v>23.646542680966903</v>
      </c>
      <c r="Z31" s="551"/>
    </row>
    <row r="32" spans="2:27"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52">
        <f t="shared" si="0"/>
        <v>2626.9923197668236</v>
      </c>
      <c r="I32" s="553">
        <f>ITECountywide!$B$9*E32</f>
        <v>4.7127093644572007</v>
      </c>
      <c r="J32" s="562">
        <f t="shared" si="14"/>
        <v>1.67</v>
      </c>
      <c r="K32" s="416">
        <f t="shared" si="15"/>
        <v>0.72495177066528282</v>
      </c>
      <c r="L32" s="554">
        <f>Passby_Length_Adj!H27</f>
        <v>1</v>
      </c>
      <c r="M32" s="554">
        <f>Passby_Length_Adj!J27</f>
        <v>1</v>
      </c>
      <c r="N32" s="416">
        <v>0.5</v>
      </c>
      <c r="O32" s="546">
        <f t="shared" si="16"/>
        <v>0.5</v>
      </c>
      <c r="P32" s="555">
        <f t="shared" si="17"/>
        <v>13.784847951078394</v>
      </c>
      <c r="Q32" s="556">
        <f t="shared" si="5"/>
        <v>8.2543999707056255</v>
      </c>
      <c r="R32" s="557">
        <f t="shared" si="18"/>
        <v>261.71052631578948</v>
      </c>
      <c r="S32" s="558">
        <f t="shared" si="19"/>
        <v>2160.2633607544067</v>
      </c>
      <c r="T32" s="555">
        <f t="shared" si="20"/>
        <v>1.076147148814961</v>
      </c>
      <c r="U32" s="563">
        <f t="shared" si="21"/>
        <v>405.42115030277023</v>
      </c>
      <c r="V32" s="564">
        <f t="shared" si="22"/>
        <v>436.29281496760797</v>
      </c>
      <c r="W32" s="555">
        <f t="shared" si="23"/>
        <v>0.80293718221047228</v>
      </c>
      <c r="X32" s="563">
        <f t="shared" si="24"/>
        <v>37.9060089869281</v>
      </c>
      <c r="Y32" s="564">
        <f t="shared" si="25"/>
        <v>30.436144044808888</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52">
        <f t="shared" si="0"/>
        <v>2424.9159874770676</v>
      </c>
      <c r="I33" s="553">
        <f>ITECountywide!$B$9*E33</f>
        <v>4.3501932594989539</v>
      </c>
      <c r="J33" s="562">
        <f t="shared" si="14"/>
        <v>1.67</v>
      </c>
      <c r="K33" s="416">
        <f t="shared" si="15"/>
        <v>0.72495177066528282</v>
      </c>
      <c r="L33" s="554">
        <f>Passby_Length_Adj!H28</f>
        <v>1</v>
      </c>
      <c r="M33" s="554">
        <f>Passby_Length_Adj!J28</f>
        <v>1</v>
      </c>
      <c r="N33" s="416">
        <v>0.5</v>
      </c>
      <c r="O33" s="546">
        <f t="shared" si="16"/>
        <v>0.5</v>
      </c>
      <c r="P33" s="555">
        <f t="shared" si="17"/>
        <v>12.724475031764669</v>
      </c>
      <c r="Q33" s="556">
        <f t="shared" si="5"/>
        <v>7.6194461268051912</v>
      </c>
      <c r="R33" s="557">
        <f t="shared" si="18"/>
        <v>261.71052631578948</v>
      </c>
      <c r="S33" s="558">
        <f t="shared" si="19"/>
        <v>1994.0892560809903</v>
      </c>
      <c r="T33" s="555">
        <f t="shared" si="20"/>
        <v>0.99336659890611767</v>
      </c>
      <c r="U33" s="559">
        <f t="shared" si="21"/>
        <v>405.42115030277023</v>
      </c>
      <c r="V33" s="558">
        <f t="shared" si="22"/>
        <v>402.73182920086879</v>
      </c>
      <c r="W33" s="555">
        <f t="shared" si="23"/>
        <v>0.74117278357889738</v>
      </c>
      <c r="X33" s="559">
        <f t="shared" si="24"/>
        <v>37.9060089869281</v>
      </c>
      <c r="Y33" s="558">
        <f t="shared" si="25"/>
        <v>28.094902195208199</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52">
        <f t="shared" si="0"/>
        <v>8719.5937383029577</v>
      </c>
      <c r="I34" s="553">
        <f>ITECountywide!$B$9*E34</f>
        <v>15.642569928948324</v>
      </c>
      <c r="J34" s="562">
        <f t="shared" si="14"/>
        <v>1.67</v>
      </c>
      <c r="K34" s="416">
        <f t="shared" si="15"/>
        <v>0.72495177066528282</v>
      </c>
      <c r="L34" s="554">
        <f>Passby_Length_Adj!H29</f>
        <v>1</v>
      </c>
      <c r="M34" s="554">
        <f>Passby_Length_Adj!J29</f>
        <v>1</v>
      </c>
      <c r="N34" s="416">
        <v>0.5</v>
      </c>
      <c r="O34" s="546">
        <f t="shared" si="16"/>
        <v>0.5</v>
      </c>
      <c r="P34" s="555">
        <f t="shared" si="17"/>
        <v>45.755091468387135</v>
      </c>
      <c r="Q34" s="556">
        <f t="shared" si="5"/>
        <v>27.398258364303675</v>
      </c>
      <c r="R34" s="557">
        <f t="shared" si="18"/>
        <v>261.71052631578948</v>
      </c>
      <c r="S34" s="558">
        <f t="shared" si="19"/>
        <v>7170.4126166578963</v>
      </c>
      <c r="T34" s="555">
        <f t="shared" si="20"/>
        <v>3.5719807285665821</v>
      </c>
      <c r="U34" s="559">
        <f t="shared" si="21"/>
        <v>405.42115030277023</v>
      </c>
      <c r="V34" s="558">
        <f t="shared" si="22"/>
        <v>1448.1565358347909</v>
      </c>
      <c r="W34" s="555">
        <f t="shared" si="23"/>
        <v>2.6651338009524523</v>
      </c>
      <c r="X34" s="559">
        <f t="shared" si="24"/>
        <v>37.9060089869281</v>
      </c>
      <c r="Y34" s="558">
        <f t="shared" si="25"/>
        <v>101.0245858102695</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52">
        <f t="shared" si="0"/>
        <v>7911.2884091439346</v>
      </c>
      <c r="I35" s="553">
        <f>ITECountywide!$B$9*E35</f>
        <v>14.192505509115339</v>
      </c>
      <c r="J35" s="562">
        <f t="shared" si="14"/>
        <v>1.67</v>
      </c>
      <c r="K35" s="416">
        <f t="shared" si="15"/>
        <v>0.72495177066528282</v>
      </c>
      <c r="L35" s="554">
        <f>Passby_Length_Adj!H30</f>
        <v>1</v>
      </c>
      <c r="M35" s="554">
        <f>Passby_Length_Adj!J30</f>
        <v>1</v>
      </c>
      <c r="N35" s="416">
        <v>0.5</v>
      </c>
      <c r="O35" s="546">
        <f t="shared" si="16"/>
        <v>0.5</v>
      </c>
      <c r="P35" s="555">
        <f t="shared" si="17"/>
        <v>41.513599791132243</v>
      </c>
      <c r="Q35" s="556">
        <f t="shared" si="5"/>
        <v>24.858442988701942</v>
      </c>
      <c r="R35" s="561">
        <f t="shared" si="18"/>
        <v>261.71052631578948</v>
      </c>
      <c r="S35" s="558">
        <f t="shared" si="19"/>
        <v>6505.7161979642324</v>
      </c>
      <c r="T35" s="555">
        <f t="shared" si="20"/>
        <v>3.2408585289312093</v>
      </c>
      <c r="U35" s="559">
        <f t="shared" si="21"/>
        <v>405.42115030277023</v>
      </c>
      <c r="V35" s="558">
        <f t="shared" si="22"/>
        <v>1313.9125927678347</v>
      </c>
      <c r="W35" s="555">
        <f t="shared" si="23"/>
        <v>2.4180762064261527</v>
      </c>
      <c r="X35" s="559">
        <f t="shared" si="24"/>
        <v>37.9060089869281</v>
      </c>
      <c r="Y35" s="558">
        <f t="shared" si="25"/>
        <v>91.659618411866759</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52">
        <f t="shared" si="0"/>
        <v>8446.7906897117846</v>
      </c>
      <c r="I37" s="553">
        <f>ITECountywide!$B$9*E37</f>
        <v>15.153173187254691</v>
      </c>
      <c r="J37" s="562">
        <f>IF(F37="Prod",$M$3,$M$4)</f>
        <v>1.67</v>
      </c>
      <c r="K37" s="416">
        <f>IF(F37="Prod",$F$4,$F$5)</f>
        <v>0.72495177066528282</v>
      </c>
      <c r="L37" s="554">
        <f>Passby_Length_Adj!H32</f>
        <v>1</v>
      </c>
      <c r="M37" s="554">
        <f>Passby_Length_Adj!J32</f>
        <v>1</v>
      </c>
      <c r="N37" s="416">
        <v>0.5</v>
      </c>
      <c r="O37" s="546">
        <f>L37*M37*N37</f>
        <v>0.5</v>
      </c>
      <c r="P37" s="555">
        <f>IF($F37="Prod",$I37*$O37*$F$4*$F$6,$I37*O37*$F$5*$F$7)</f>
        <v>44.323588027313605</v>
      </c>
      <c r="Q37" s="556">
        <f t="shared" si="5"/>
        <v>26.541070675038089</v>
      </c>
      <c r="R37" s="561">
        <f>+$Q$4</f>
        <v>261.71052631578948</v>
      </c>
      <c r="S37" s="558">
        <f>+Q37*R37</f>
        <v>6946.0775753487842</v>
      </c>
      <c r="T37" s="555">
        <f>IF($F37="Prod",$I37*$O37*$G$4*$G$6,$I37*$O37*$G$5*$G$7)</f>
        <v>3.4602269861896433</v>
      </c>
      <c r="U37" s="559">
        <f>+$R$4</f>
        <v>405.42115030277023</v>
      </c>
      <c r="V37" s="558">
        <f>+T37*U37</f>
        <v>1402.849205049693</v>
      </c>
      <c r="W37" s="555">
        <f>IF($F37="Prod",$I37*$O37*$J$4*$J$6,$I37*$O37*$J$5*$J$7)</f>
        <v>2.5817518627998259</v>
      </c>
      <c r="X37" s="559">
        <f>+$S$4</f>
        <v>37.9060089869281</v>
      </c>
      <c r="Y37" s="558">
        <f>+W37*X37</f>
        <v>97.863909313308568</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52">
        <f t="shared" si="0"/>
        <v>4506.3022100615508</v>
      </c>
      <c r="I38" s="553">
        <f>ITECountywide!$B$9*E38</f>
        <v>8.0841091405688896</v>
      </c>
      <c r="J38" s="562">
        <f>IF(F38="Prod",$M$3,$M$4)</f>
        <v>1.67</v>
      </c>
      <c r="K38" s="416">
        <f>IF(F38="Prod",$F$4,$F$5)</f>
        <v>0.72495177066528282</v>
      </c>
      <c r="L38" s="554">
        <f>Passby_Length_Adj!H33</f>
        <v>1</v>
      </c>
      <c r="M38" s="554">
        <f>Passby_Length_Adj!J33</f>
        <v>1</v>
      </c>
      <c r="N38" s="416">
        <v>0.5</v>
      </c>
      <c r="O38" s="546">
        <f>L38*M38*N38</f>
        <v>0.5</v>
      </c>
      <c r="P38" s="555">
        <f>IF($F38="Prod",$I38*$O38*$F$4*$F$6,$I38*O38*$F$5*$F$7)</f>
        <v>23.646316100696012</v>
      </c>
      <c r="Q38" s="556">
        <f t="shared" si="5"/>
        <v>14.159470718979648</v>
      </c>
      <c r="R38" s="561">
        <f>+$Q$4</f>
        <v>261.71052631578948</v>
      </c>
      <c r="S38" s="558">
        <f>+Q38*R38</f>
        <v>3705.6825342171737</v>
      </c>
      <c r="T38" s="555">
        <f>IF($F38="Prod",$I38*$O38*$G$4*$G$6,$I38*$O38*$G$5*$G$7)</f>
        <v>1.846006262967202</v>
      </c>
      <c r="U38" s="559">
        <f>+$R$4</f>
        <v>405.42115030277023</v>
      </c>
      <c r="V38" s="558">
        <f>+T38*U38</f>
        <v>748.4099825982812</v>
      </c>
      <c r="W38" s="555">
        <f>IF($F38="Prod",$I38*$O38*$J$4*$J$6,$I38*$O38*$J$5*$J$7)</f>
        <v>1.3773460894841176</v>
      </c>
      <c r="X38" s="559">
        <f>+$S$4</f>
        <v>37.9060089869281</v>
      </c>
      <c r="Y38" s="558">
        <f>+W38*X38</f>
        <v>52.209693246095235</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52">
        <f t="shared" si="0"/>
        <v>3384.7785658534071</v>
      </c>
      <c r="I39" s="553">
        <f>ITECountywide!$B$9*E39</f>
        <v>6.0721447580506238</v>
      </c>
      <c r="J39" s="562">
        <f>IF(F39="Prod",$M$3,$M$4)</f>
        <v>1.67</v>
      </c>
      <c r="K39" s="416">
        <f>IF(F39="Prod",$F$4,$F$5)</f>
        <v>0.72495177066528282</v>
      </c>
      <c r="L39" s="554">
        <f>Passby_Length_Adj!H34</f>
        <v>1</v>
      </c>
      <c r="M39" s="554">
        <f>Passby_Length_Adj!J34</f>
        <v>1</v>
      </c>
      <c r="N39" s="416">
        <v>0.5</v>
      </c>
      <c r="O39" s="546">
        <f>L39*M39*N39</f>
        <v>0.5</v>
      </c>
      <c r="P39" s="555">
        <f>IF($F39="Prod",$I39*$O39*$F$4*$F$6,$I39*O39*$F$5*$F$7)</f>
        <v>17.761246398504856</v>
      </c>
      <c r="Q39" s="556">
        <f t="shared" si="5"/>
        <v>10.635476885332249</v>
      </c>
      <c r="R39" s="561">
        <f>+$Q$4</f>
        <v>261.71052631578948</v>
      </c>
      <c r="S39" s="558">
        <f>+Q39*R39</f>
        <v>2783.4162532797163</v>
      </c>
      <c r="T39" s="555">
        <f>IF($F39="Prod",$I39*$O39*$G$4*$G$6,$I39*$O39*$G$5*$G$7)</f>
        <v>1.3865742109731227</v>
      </c>
      <c r="U39" s="559">
        <f>+$R$4</f>
        <v>405.42115030277023</v>
      </c>
      <c r="V39" s="558">
        <f>+T39*U39</f>
        <v>562.14651159287939</v>
      </c>
      <c r="W39" s="555">
        <f>IF($F39="Prod",$I39*$O39*$J$4*$J$6,$I39*$O39*$J$5*$J$7)</f>
        <v>1.0345536770788777</v>
      </c>
      <c r="X39" s="559">
        <f>+$S$4</f>
        <v>37.9060089869281</v>
      </c>
      <c r="Y39" s="558">
        <f>+W39*X39</f>
        <v>39.215800980811451</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52">
        <f t="shared" si="0"/>
        <v>4061.7342790240882</v>
      </c>
      <c r="I40" s="553">
        <f>ITECountywide!$B$9*E40</f>
        <v>7.2865737096607477</v>
      </c>
      <c r="J40" s="562">
        <f>IF(F40="Prod",$M$3,$M$4)</f>
        <v>1.67</v>
      </c>
      <c r="K40" s="416">
        <f>IF(F40="Prod",$F$4,$F$5)</f>
        <v>0.72495177066528282</v>
      </c>
      <c r="L40" s="554">
        <f>Passby_Length_Adj!H35</f>
        <v>1</v>
      </c>
      <c r="M40" s="554">
        <f>Passby_Length_Adj!J35</f>
        <v>1</v>
      </c>
      <c r="N40" s="416">
        <v>0.5</v>
      </c>
      <c r="O40" s="546">
        <f>L40*M40*N40</f>
        <v>0.5</v>
      </c>
      <c r="P40" s="555">
        <f>IF($F40="Prod",$I40*$O40*$F$4*$F$6,$I40*O40*$F$5*$F$7)</f>
        <v>21.313495678205822</v>
      </c>
      <c r="Q40" s="556">
        <f t="shared" si="5"/>
        <v>12.762572262398697</v>
      </c>
      <c r="R40" s="561">
        <f>+$Q$4</f>
        <v>261.71052631578948</v>
      </c>
      <c r="S40" s="558">
        <f>+Q40*R40</f>
        <v>3340.099503935659</v>
      </c>
      <c r="T40" s="555">
        <f>IF($F40="Prod",$I40*$O40*$G$4*$G$6,$I40*$O40*$G$5*$G$7)</f>
        <v>1.663889053167747</v>
      </c>
      <c r="U40" s="559">
        <f>+$R$4</f>
        <v>405.42115030277023</v>
      </c>
      <c r="V40" s="558">
        <f>+T40*U40</f>
        <v>674.57581391145527</v>
      </c>
      <c r="W40" s="555">
        <f>IF($F40="Prod",$I40*$O40*$J$4*$J$6,$I40*$O40*$J$5*$J$7)</f>
        <v>1.241464412494653</v>
      </c>
      <c r="X40" s="559">
        <f>+$S$4</f>
        <v>37.9060089869281</v>
      </c>
      <c r="Y40" s="558">
        <f>+W40*X40</f>
        <v>47.058961176973732</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52">
        <f t="shared" si="0"/>
        <v>979.58192452091964</v>
      </c>
      <c r="I42" s="553">
        <f>ITECountywide!$B$9*E42</f>
        <v>4.368319064746867</v>
      </c>
      <c r="J42" s="562">
        <f t="shared" ref="J42:J50" si="26">IF(F42="Prod",$M$3,$M$4)</f>
        <v>1.67</v>
      </c>
      <c r="K42" s="416">
        <f t="shared" ref="K42:K50" si="27">IF(F42="Prod",$F$4,$F$5)</f>
        <v>0.64373267284932234</v>
      </c>
      <c r="L42" s="554">
        <f>Passby_Length_Adj!H37</f>
        <v>0.4404979999697734</v>
      </c>
      <c r="M42" s="554">
        <f>Passby_Length_Adj!J37</f>
        <v>1</v>
      </c>
      <c r="N42" s="416">
        <v>0.5</v>
      </c>
      <c r="O42" s="546">
        <f t="shared" ref="O42:O50" si="28">L42*M42*N42</f>
        <v>0.2202489999848867</v>
      </c>
      <c r="P42" s="555">
        <f t="shared" ref="P42:P50" si="29">IF($F42="Prod",$I42*$O42*$F$4*$F$6,$I42*O42*$F$5*$F$7)</f>
        <v>4.5913163055717288</v>
      </c>
      <c r="Q42" s="556">
        <f t="shared" si="5"/>
        <v>2.7492912009411552</v>
      </c>
      <c r="R42" s="557">
        <f t="shared" ref="R42:R50" si="30">+$Q$4</f>
        <v>261.71052631578948</v>
      </c>
      <c r="S42" s="558">
        <f t="shared" ref="S42:S50" si="31">+Q42*R42</f>
        <v>719.51844719367864</v>
      </c>
      <c r="T42" s="555">
        <f t="shared" ref="T42:T50" si="32">IF($F42="Prod",$I42*$O42*$G$4*$G$6,$I42*$O42*$G$5*$G$7)</f>
        <v>0.6035458274190304</v>
      </c>
      <c r="U42" s="559">
        <f t="shared" ref="U42:U50" si="33">+$R$4</f>
        <v>405.42115030277023</v>
      </c>
      <c r="V42" s="564">
        <f t="shared" ref="V42:V50" si="34">+T42*U42</f>
        <v>244.69024361266054</v>
      </c>
      <c r="W42" s="555">
        <f t="shared" ref="W42:W50" si="35">IF($F42="Prod",$I42*$O42*$J$4*$J$6,$I42*$O42*$J$5*$J$7)</f>
        <v>0.405561918161363</v>
      </c>
      <c r="X42" s="563">
        <f t="shared" ref="X42:X50" si="36">+$S$4</f>
        <v>37.9060089869281</v>
      </c>
      <c r="Y42" s="564">
        <f t="shared" ref="Y42:Y50" si="37">+W42*X42</f>
        <v>15.373233714580424</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52">
        <f t="shared" si="0"/>
        <v>12348.422766367439</v>
      </c>
      <c r="I43" s="553">
        <f>ITECountywide!$B$9*E43</f>
        <v>55.066196343157593</v>
      </c>
      <c r="J43" s="562">
        <f t="shared" si="26"/>
        <v>1.67</v>
      </c>
      <c r="K43" s="416">
        <f t="shared" si="27"/>
        <v>0.64373267284932234</v>
      </c>
      <c r="L43" s="554">
        <f>Passby_Length_Adj!H38</f>
        <v>0.4404979999697734</v>
      </c>
      <c r="M43" s="554">
        <f>Passby_Length_Adj!J38</f>
        <v>1</v>
      </c>
      <c r="N43" s="416">
        <v>0.5</v>
      </c>
      <c r="O43" s="546">
        <f t="shared" si="28"/>
        <v>0.2202489999848867</v>
      </c>
      <c r="P43" s="555">
        <f t="shared" si="29"/>
        <v>57.877256997207091</v>
      </c>
      <c r="Q43" s="556">
        <f t="shared" si="5"/>
        <v>34.657040118088076</v>
      </c>
      <c r="R43" s="557">
        <f t="shared" si="30"/>
        <v>261.71052631578948</v>
      </c>
      <c r="S43" s="558">
        <f t="shared" si="31"/>
        <v>9070.112209852261</v>
      </c>
      <c r="T43" s="555">
        <f t="shared" si="32"/>
        <v>7.6081835008257839</v>
      </c>
      <c r="U43" s="559">
        <f t="shared" si="33"/>
        <v>405.42115030277023</v>
      </c>
      <c r="V43" s="564">
        <f t="shared" si="34"/>
        <v>3084.5185066193467</v>
      </c>
      <c r="W43" s="555">
        <f t="shared" si="35"/>
        <v>5.1124361301834877</v>
      </c>
      <c r="X43" s="563">
        <f t="shared" si="36"/>
        <v>37.9060089869281</v>
      </c>
      <c r="Y43" s="564">
        <f t="shared" si="37"/>
        <v>193.79204989583121</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52">
        <f t="shared" si="0"/>
        <v>31740.89314765087</v>
      </c>
      <c r="I44" s="553">
        <f>ITECountywide!$B$9*E44</f>
        <v>141.54441318094723</v>
      </c>
      <c r="J44" s="562">
        <f t="shared" si="26"/>
        <v>1.67</v>
      </c>
      <c r="K44" s="416">
        <f t="shared" si="27"/>
        <v>0.64373267284932234</v>
      </c>
      <c r="L44" s="554">
        <f>Passby_Length_Adj!H39</f>
        <v>0.4404979999697734</v>
      </c>
      <c r="M44" s="554">
        <f>Passby_Length_Adj!J39</f>
        <v>1</v>
      </c>
      <c r="N44" s="416">
        <v>0.5</v>
      </c>
      <c r="O44" s="546">
        <f t="shared" si="28"/>
        <v>0.2202489999848867</v>
      </c>
      <c r="P44" s="555">
        <f t="shared" si="29"/>
        <v>148.77007896352541</v>
      </c>
      <c r="Q44" s="556">
        <f t="shared" si="5"/>
        <v>89.083879618877489</v>
      </c>
      <c r="R44" s="557">
        <f t="shared" si="30"/>
        <v>261.71052631578948</v>
      </c>
      <c r="S44" s="558">
        <f t="shared" si="31"/>
        <v>23314.189021308859</v>
      </c>
      <c r="T44" s="555">
        <f t="shared" si="32"/>
        <v>19.556387412096299</v>
      </c>
      <c r="U44" s="559">
        <f t="shared" si="33"/>
        <v>405.42115030277023</v>
      </c>
      <c r="V44" s="558">
        <f t="shared" si="34"/>
        <v>7928.5730803786973</v>
      </c>
      <c r="W44" s="555">
        <f t="shared" si="35"/>
        <v>13.141215846149723</v>
      </c>
      <c r="X44" s="559">
        <f t="shared" si="36"/>
        <v>37.9060089869281</v>
      </c>
      <c r="Y44" s="558">
        <f t="shared" si="37"/>
        <v>498.1310459633134</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52">
        <f t="shared" si="0"/>
        <v>89422.416346308004</v>
      </c>
      <c r="I45" s="553">
        <f>ITECountywide!$B$9*E45</f>
        <v>398.76771545407081</v>
      </c>
      <c r="J45" s="562">
        <f t="shared" si="26"/>
        <v>1.67</v>
      </c>
      <c r="K45" s="416">
        <f t="shared" si="27"/>
        <v>0.64373267284932234</v>
      </c>
      <c r="L45" s="554">
        <f>Passby_Length_Adj!H40</f>
        <v>0.4404979999697734</v>
      </c>
      <c r="M45" s="554">
        <f>Passby_Length_Adj!J40</f>
        <v>1</v>
      </c>
      <c r="N45" s="416">
        <v>0.5</v>
      </c>
      <c r="O45" s="546">
        <f t="shared" si="28"/>
        <v>0.2202489999848867</v>
      </c>
      <c r="P45" s="555">
        <f t="shared" si="29"/>
        <v>419.12431005219094</v>
      </c>
      <c r="Q45" s="556">
        <f t="shared" si="5"/>
        <v>250.97264074981493</v>
      </c>
      <c r="R45" s="557">
        <f t="shared" si="30"/>
        <v>261.71052631578948</v>
      </c>
      <c r="S45" s="558">
        <f t="shared" si="31"/>
        <v>65682.181901497621</v>
      </c>
      <c r="T45" s="555">
        <f t="shared" si="32"/>
        <v>55.09546972289904</v>
      </c>
      <c r="U45" s="559">
        <f t="shared" si="33"/>
        <v>405.42115030277023</v>
      </c>
      <c r="V45" s="564">
        <f t="shared" si="34"/>
        <v>22336.86871152918</v>
      </c>
      <c r="W45" s="555">
        <f t="shared" si="35"/>
        <v>37.022249790663842</v>
      </c>
      <c r="X45" s="563">
        <f t="shared" si="36"/>
        <v>37.9060089869281</v>
      </c>
      <c r="Y45" s="564">
        <f t="shared" si="37"/>
        <v>1403.3657332812006</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52">
        <f t="shared" si="0"/>
        <v>21709.323895710499</v>
      </c>
      <c r="I46" s="553">
        <f>ITECountywide!$B$9*E46</f>
        <v>96.80992582909964</v>
      </c>
      <c r="J46" s="562">
        <f t="shared" si="26"/>
        <v>1.67</v>
      </c>
      <c r="K46" s="416">
        <f t="shared" si="27"/>
        <v>0.64373267284932234</v>
      </c>
      <c r="L46" s="554">
        <f>Passby_Length_Adj!H41</f>
        <v>0.4404979999697734</v>
      </c>
      <c r="M46" s="554">
        <f>Passby_Length_Adj!J41</f>
        <v>1</v>
      </c>
      <c r="N46" s="416">
        <v>0.5</v>
      </c>
      <c r="O46" s="546">
        <f t="shared" si="28"/>
        <v>0.2202489999848867</v>
      </c>
      <c r="P46" s="555">
        <f t="shared" si="29"/>
        <v>101.75195181767054</v>
      </c>
      <c r="Q46" s="556">
        <f t="shared" si="5"/>
        <v>60.929312465670989</v>
      </c>
      <c r="R46" s="557">
        <f t="shared" si="30"/>
        <v>261.71052631578948</v>
      </c>
      <c r="S46" s="558">
        <f t="shared" si="31"/>
        <v>15945.842433449947</v>
      </c>
      <c r="T46" s="555">
        <f t="shared" si="32"/>
        <v>13.375677445000168</v>
      </c>
      <c r="U46" s="559">
        <f t="shared" si="33"/>
        <v>405.42115030277023</v>
      </c>
      <c r="V46" s="564">
        <f t="shared" si="34"/>
        <v>5422.7825358307864</v>
      </c>
      <c r="W46" s="555">
        <f t="shared" si="35"/>
        <v>8.9879925514516152</v>
      </c>
      <c r="X46" s="563">
        <f t="shared" si="36"/>
        <v>37.9060089869281</v>
      </c>
      <c r="Y46" s="564">
        <f t="shared" si="37"/>
        <v>340.69892642976777</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52">
        <f t="shared" si="0"/>
        <v>12324.03483463663</v>
      </c>
      <c r="I47" s="553">
        <f>ITECountywide!$B$9*E47</f>
        <v>54.957441511670126</v>
      </c>
      <c r="J47" s="562">
        <f t="shared" si="26"/>
        <v>1.67</v>
      </c>
      <c r="K47" s="416">
        <f t="shared" si="27"/>
        <v>0.64373267284932234</v>
      </c>
      <c r="L47" s="554">
        <f>Passby_Length_Adj!H42</f>
        <v>0.4404979999697734</v>
      </c>
      <c r="M47" s="554">
        <f>Passby_Length_Adj!J42</f>
        <v>1</v>
      </c>
      <c r="N47" s="416">
        <v>0.5</v>
      </c>
      <c r="O47" s="546">
        <f t="shared" si="28"/>
        <v>0.2202489999848867</v>
      </c>
      <c r="P47" s="555">
        <f t="shared" si="29"/>
        <v>57.762950367192865</v>
      </c>
      <c r="Q47" s="556">
        <f t="shared" si="5"/>
        <v>34.588593034247225</v>
      </c>
      <c r="R47" s="557">
        <f t="shared" si="30"/>
        <v>261.71052631578948</v>
      </c>
      <c r="S47" s="558">
        <f t="shared" si="31"/>
        <v>9052.1988875154912</v>
      </c>
      <c r="T47" s="555">
        <f t="shared" si="32"/>
        <v>7.5931574636286303</v>
      </c>
      <c r="U47" s="559">
        <f t="shared" si="33"/>
        <v>405.42115030277023</v>
      </c>
      <c r="V47" s="564">
        <f t="shared" si="34"/>
        <v>3078.4266333343844</v>
      </c>
      <c r="W47" s="555">
        <f t="shared" si="35"/>
        <v>5.1023391529678532</v>
      </c>
      <c r="X47" s="563">
        <f t="shared" si="36"/>
        <v>37.9060089869281</v>
      </c>
      <c r="Y47" s="564">
        <f t="shared" si="37"/>
        <v>193.40931378675455</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52">
        <f t="shared" si="0"/>
        <v>15730.215966373275</v>
      </c>
      <c r="I48" s="553">
        <f>ITECountywide!$B$9*E48</f>
        <v>70.146866309420645</v>
      </c>
      <c r="J48" s="562">
        <f t="shared" si="26"/>
        <v>1.67</v>
      </c>
      <c r="K48" s="416">
        <f t="shared" si="27"/>
        <v>0.64373267284932234</v>
      </c>
      <c r="L48" s="554">
        <f>Passby_Length_Adj!H43</f>
        <v>0.4404979999697734</v>
      </c>
      <c r="M48" s="554">
        <f>Passby_Length_Adj!J43</f>
        <v>1</v>
      </c>
      <c r="N48" s="416">
        <v>0.5</v>
      </c>
      <c r="O48" s="546">
        <f t="shared" si="28"/>
        <v>0.2202489999848867</v>
      </c>
      <c r="P48" s="555">
        <f t="shared" si="29"/>
        <v>73.727776359180879</v>
      </c>
      <c r="Q48" s="556">
        <f t="shared" si="5"/>
        <v>44.14836907735382</v>
      </c>
      <c r="R48" s="557">
        <f t="shared" si="30"/>
        <v>261.71052631578948</v>
      </c>
      <c r="S48" s="558">
        <f t="shared" si="31"/>
        <v>11554.092907217993</v>
      </c>
      <c r="T48" s="555">
        <f t="shared" si="32"/>
        <v>9.6917939921645129</v>
      </c>
      <c r="U48" s="559">
        <f t="shared" si="33"/>
        <v>405.42115030277023</v>
      </c>
      <c r="V48" s="564">
        <f t="shared" si="34"/>
        <v>3929.2582688008147</v>
      </c>
      <c r="W48" s="555">
        <f t="shared" si="35"/>
        <v>6.5125503040849582</v>
      </c>
      <c r="X48" s="563">
        <f t="shared" si="36"/>
        <v>37.9060089869281</v>
      </c>
      <c r="Y48" s="564">
        <f t="shared" si="37"/>
        <v>246.86479035446575</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52">
        <f t="shared" si="0"/>
        <v>1633.9914259643554</v>
      </c>
      <c r="I49" s="553">
        <f>ITECountywide!$B$9*E49</f>
        <v>7.2865737096607477</v>
      </c>
      <c r="J49" s="562">
        <f t="shared" si="26"/>
        <v>1.67</v>
      </c>
      <c r="K49" s="416">
        <f t="shared" si="27"/>
        <v>0.64373267284932234</v>
      </c>
      <c r="L49" s="554">
        <f>Passby_Length_Adj!H44</f>
        <v>0.4404979999697734</v>
      </c>
      <c r="M49" s="554">
        <f>Passby_Length_Adj!J44</f>
        <v>1</v>
      </c>
      <c r="N49" s="416">
        <v>0.5</v>
      </c>
      <c r="O49" s="546">
        <f t="shared" si="28"/>
        <v>0.2202489999848867</v>
      </c>
      <c r="P49" s="555">
        <f t="shared" si="29"/>
        <v>7.6585442109536706</v>
      </c>
      <c r="Q49" s="556">
        <f t="shared" si="5"/>
        <v>4.5859546173375278</v>
      </c>
      <c r="R49" s="561">
        <f t="shared" si="30"/>
        <v>261.71052631578948</v>
      </c>
      <c r="S49" s="564">
        <f t="shared" si="31"/>
        <v>1200.1925965637295</v>
      </c>
      <c r="T49" s="555">
        <f t="shared" si="32"/>
        <v>1.0067444922093367</v>
      </c>
      <c r="U49" s="559">
        <f t="shared" si="33"/>
        <v>405.42115030277023</v>
      </c>
      <c r="V49" s="558">
        <f t="shared" si="34"/>
        <v>408.15551009248759</v>
      </c>
      <c r="W49" s="555">
        <f t="shared" si="35"/>
        <v>0.6764974734475846</v>
      </c>
      <c r="X49" s="559">
        <f t="shared" si="36"/>
        <v>37.9060089869281</v>
      </c>
      <c r="Y49" s="558">
        <f t="shared" si="37"/>
        <v>25.643319308138295</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52">
        <f t="shared" si="0"/>
        <v>11714.336541366345</v>
      </c>
      <c r="I50" s="553">
        <f>ITECountywide!$B$9*E50</f>
        <v>52.238570724483274</v>
      </c>
      <c r="J50" s="562">
        <f t="shared" si="26"/>
        <v>1.67</v>
      </c>
      <c r="K50" s="416">
        <f t="shared" si="27"/>
        <v>0.64373267284932234</v>
      </c>
      <c r="L50" s="554">
        <f>Passby_Length_Adj!H45</f>
        <v>0.4404979999697734</v>
      </c>
      <c r="M50" s="554">
        <f>Passby_Length_Adj!J45</f>
        <v>1</v>
      </c>
      <c r="N50" s="416">
        <v>0.5</v>
      </c>
      <c r="O50" s="546">
        <f t="shared" si="28"/>
        <v>0.2202489999848867</v>
      </c>
      <c r="P50" s="555">
        <f t="shared" si="29"/>
        <v>54.905284616837008</v>
      </c>
      <c r="Q50" s="556">
        <f t="shared" si="5"/>
        <v>32.877415938225752</v>
      </c>
      <c r="R50" s="561">
        <f t="shared" si="30"/>
        <v>261.71052631578948</v>
      </c>
      <c r="S50" s="564">
        <f t="shared" si="31"/>
        <v>8604.3658290961866</v>
      </c>
      <c r="T50" s="555">
        <f t="shared" si="32"/>
        <v>7.2175065336997735</v>
      </c>
      <c r="U50" s="559">
        <f t="shared" si="33"/>
        <v>405.42115030277023</v>
      </c>
      <c r="V50" s="558">
        <f t="shared" si="34"/>
        <v>2926.1298012103221</v>
      </c>
      <c r="W50" s="555">
        <f t="shared" si="35"/>
        <v>4.8499147225769628</v>
      </c>
      <c r="X50" s="559">
        <f t="shared" si="36"/>
        <v>37.9060089869281</v>
      </c>
      <c r="Y50" s="558">
        <f t="shared" si="37"/>
        <v>183.84091105983725</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52">
        <f t="shared" si="0"/>
        <v>1743.9803349238127</v>
      </c>
      <c r="I52" s="553">
        <f>ITECountywide!$B$9*E52</f>
        <v>3.4257771918554263</v>
      </c>
      <c r="J52" s="562">
        <f t="shared" ref="J52:J60" si="38">IF(F52="Prod",$M$3,$M$4)</f>
        <v>1.67</v>
      </c>
      <c r="K52" s="416">
        <f t="shared" ref="K52:K60" si="39">IF(F52="Prod",$F$4,$F$5)</f>
        <v>0.64373267284932234</v>
      </c>
      <c r="L52" s="554">
        <f>Passby_Length_Adj!H47</f>
        <v>1</v>
      </c>
      <c r="M52" s="554">
        <f>Passby_Length_Adj!J47</f>
        <v>1</v>
      </c>
      <c r="N52" s="416">
        <v>0.5</v>
      </c>
      <c r="O52" s="546">
        <f t="shared" ref="O52:O60" si="40">L52*M52*N52</f>
        <v>0.5</v>
      </c>
      <c r="P52" s="555">
        <f t="shared" ref="P52:P60" si="41">IF($F52="Prod",$I52*$O52*$F$4*$F$6,$I52*O52*$F$5*$F$7)</f>
        <v>8.1740640041395007</v>
      </c>
      <c r="Q52" s="556">
        <f t="shared" si="5"/>
        <v>4.8946491042751505</v>
      </c>
      <c r="R52" s="557">
        <f t="shared" ref="R52:R60" si="42">+$Q$4</f>
        <v>261.71052631578948</v>
      </c>
      <c r="S52" s="558">
        <f t="shared" ref="S52:S60" si="43">+Q52*R52</f>
        <v>1280.9811932109571</v>
      </c>
      <c r="T52" s="555">
        <f t="shared" ref="T52:T60" si="44">IF($F52="Prod",$I52*$O52*$G$4*$G$6,$I52*$O52*$G$5*$G$7)</f>
        <v>1.0745115113867456</v>
      </c>
      <c r="U52" s="563">
        <f t="shared" ref="U52:U60" si="45">+$R$4</f>
        <v>405.42115030277023</v>
      </c>
      <c r="V52" s="564">
        <f t="shared" ref="V52:V60" si="46">+T52*U52</f>
        <v>435.62969295998261</v>
      </c>
      <c r="W52" s="555">
        <f t="shared" ref="W52:W60" si="47">IF($F52="Prod",$I52*$O52*$J$4*$J$6,$I52*$O52*$J$5*$J$7)</f>
        <v>0.72203456613729411</v>
      </c>
      <c r="X52" s="563">
        <f t="shared" ref="X52:X60" si="48">+$S$4</f>
        <v>37.9060089869281</v>
      </c>
      <c r="Y52" s="564">
        <f t="shared" ref="Y52:Y60" si="49">+W52*X52</f>
        <v>27.369448752873001</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52">
        <f t="shared" si="0"/>
        <v>1873.1640634366877</v>
      </c>
      <c r="I53" s="553">
        <f>ITECountywide!$B$9*E53</f>
        <v>3.6795384653261984</v>
      </c>
      <c r="J53" s="562">
        <f t="shared" si="38"/>
        <v>1.67</v>
      </c>
      <c r="K53" s="416">
        <f t="shared" si="39"/>
        <v>0.64373267284932234</v>
      </c>
      <c r="L53" s="554">
        <f>Passby_Length_Adj!H48</f>
        <v>1</v>
      </c>
      <c r="M53" s="554">
        <f>Passby_Length_Adj!J48</f>
        <v>1</v>
      </c>
      <c r="N53" s="416">
        <v>0.5</v>
      </c>
      <c r="O53" s="546">
        <f t="shared" si="40"/>
        <v>0.5</v>
      </c>
      <c r="P53" s="555">
        <f t="shared" si="41"/>
        <v>8.7795502266683521</v>
      </c>
      <c r="Q53" s="556">
        <f t="shared" si="5"/>
        <v>5.257215704591828</v>
      </c>
      <c r="R53" s="557">
        <f t="shared" si="42"/>
        <v>261.71052631578948</v>
      </c>
      <c r="S53" s="558">
        <f t="shared" si="43"/>
        <v>1375.8686890043614</v>
      </c>
      <c r="T53" s="555">
        <f t="shared" si="44"/>
        <v>1.1541049566746526</v>
      </c>
      <c r="U53" s="563">
        <f t="shared" si="45"/>
        <v>405.42115030277023</v>
      </c>
      <c r="V53" s="564">
        <f t="shared" si="46"/>
        <v>467.89855910516644</v>
      </c>
      <c r="W53" s="555">
        <f t="shared" si="47"/>
        <v>0.77551860807339001</v>
      </c>
      <c r="X53" s="563">
        <f t="shared" si="48"/>
        <v>37.9060089869281</v>
      </c>
      <c r="Y53" s="564">
        <f t="shared" si="49"/>
        <v>29.396815327159892</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52">
        <f t="shared" si="0"/>
        <v>1950.9414449210956</v>
      </c>
      <c r="I54" s="553">
        <f>ITECountywide!$B$9*E54</f>
        <v>7.4497059568919601</v>
      </c>
      <c r="J54" s="562">
        <f t="shared" si="38"/>
        <v>1.67</v>
      </c>
      <c r="K54" s="416">
        <f t="shared" si="39"/>
        <v>0.64373267284932234</v>
      </c>
      <c r="L54" s="554">
        <f>Passby_Length_Adj!H49</f>
        <v>0.51442567196884992</v>
      </c>
      <c r="M54" s="554">
        <f>Passby_Length_Adj!J49</f>
        <v>1</v>
      </c>
      <c r="N54" s="416">
        <v>0.5</v>
      </c>
      <c r="O54" s="546">
        <f t="shared" si="40"/>
        <v>0.25721283598442496</v>
      </c>
      <c r="P54" s="555">
        <f t="shared" si="41"/>
        <v>9.1440940701949458</v>
      </c>
      <c r="Q54" s="556">
        <f t="shared" si="5"/>
        <v>5.4755054312544589</v>
      </c>
      <c r="R54" s="557">
        <f t="shared" si="42"/>
        <v>261.71052631578948</v>
      </c>
      <c r="S54" s="558">
        <f t="shared" si="43"/>
        <v>1432.9974082585684</v>
      </c>
      <c r="T54" s="555">
        <f t="shared" si="44"/>
        <v>1.2020256184257874</v>
      </c>
      <c r="U54" s="563">
        <f t="shared" si="45"/>
        <v>405.42115030277023</v>
      </c>
      <c r="V54" s="564">
        <f t="shared" si="46"/>
        <v>487.32660891558146</v>
      </c>
      <c r="W54" s="555">
        <f t="shared" si="47"/>
        <v>0.80771963509806832</v>
      </c>
      <c r="X54" s="563">
        <f t="shared" si="48"/>
        <v>37.9060089869281</v>
      </c>
      <c r="Y54" s="564">
        <f t="shared" si="49"/>
        <v>30.617427746945662</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52">
        <f t="shared" si="0"/>
        <v>1177.2104095874247</v>
      </c>
      <c r="I55" s="553">
        <f>ITECountywide!$B$9*E55</f>
        <v>4.4951997014822531</v>
      </c>
      <c r="J55" s="562">
        <f t="shared" si="38"/>
        <v>1.67</v>
      </c>
      <c r="K55" s="416">
        <f t="shared" si="39"/>
        <v>0.64373267284932234</v>
      </c>
      <c r="L55" s="554">
        <f>Passby_Length_Adj!H50</f>
        <v>0.51442567196884992</v>
      </c>
      <c r="M55" s="554">
        <f>Passby_Length_Adj!J50</f>
        <v>1</v>
      </c>
      <c r="N55" s="416">
        <v>0.5</v>
      </c>
      <c r="O55" s="546">
        <f t="shared" si="40"/>
        <v>0.25721283598442496</v>
      </c>
      <c r="P55" s="555">
        <f t="shared" si="41"/>
        <v>5.5176042078061958</v>
      </c>
      <c r="Q55" s="556">
        <f t="shared" si="5"/>
        <v>3.3039546154528119</v>
      </c>
      <c r="R55" s="557">
        <f t="shared" si="42"/>
        <v>261.71052631578948</v>
      </c>
      <c r="S55" s="558">
        <f t="shared" si="43"/>
        <v>864.67970133363724</v>
      </c>
      <c r="T55" s="555">
        <f t="shared" si="44"/>
        <v>0.72530986221312699</v>
      </c>
      <c r="U55" s="563">
        <f t="shared" si="45"/>
        <v>405.42115030277023</v>
      </c>
      <c r="V55" s="564">
        <f t="shared" si="46"/>
        <v>294.05595866438972</v>
      </c>
      <c r="W55" s="555">
        <f t="shared" si="47"/>
        <v>0.48738313748009954</v>
      </c>
      <c r="X55" s="563">
        <f t="shared" si="48"/>
        <v>37.9060089869281</v>
      </c>
      <c r="Y55" s="564">
        <f t="shared" si="49"/>
        <v>18.474749589397867</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52">
        <f t="shared" si="0"/>
        <v>1707.0706982058487</v>
      </c>
      <c r="I56" s="553">
        <f>ITECountywide!$B$9*E56</f>
        <v>3.3532739708637775</v>
      </c>
      <c r="J56" s="562">
        <f t="shared" si="38"/>
        <v>1.67</v>
      </c>
      <c r="K56" s="416">
        <f t="shared" si="39"/>
        <v>0.64373267284932234</v>
      </c>
      <c r="L56" s="554">
        <f>Passby_Length_Adj!H51</f>
        <v>1</v>
      </c>
      <c r="M56" s="554">
        <f>Passby_Length_Adj!J51</f>
        <v>1</v>
      </c>
      <c r="N56" s="416">
        <v>0.5</v>
      </c>
      <c r="O56" s="546">
        <f t="shared" si="40"/>
        <v>0.5</v>
      </c>
      <c r="P56" s="555">
        <f t="shared" si="41"/>
        <v>8.0010679405598299</v>
      </c>
      <c r="Q56" s="556">
        <f t="shared" si="5"/>
        <v>4.7910586470418144</v>
      </c>
      <c r="R56" s="557">
        <f t="shared" si="42"/>
        <v>261.71052631578948</v>
      </c>
      <c r="S56" s="558">
        <f t="shared" si="43"/>
        <v>1253.8704801271274</v>
      </c>
      <c r="T56" s="555">
        <f t="shared" si="44"/>
        <v>1.0517705270187725</v>
      </c>
      <c r="U56" s="563">
        <f t="shared" si="45"/>
        <v>405.42115030277023</v>
      </c>
      <c r="V56" s="564">
        <f t="shared" si="46"/>
        <v>426.41001691850164</v>
      </c>
      <c r="W56" s="555">
        <f t="shared" si="47"/>
        <v>0.70675341129840974</v>
      </c>
      <c r="X56" s="563">
        <f t="shared" si="48"/>
        <v>37.9060089869281</v>
      </c>
      <c r="Y56" s="564">
        <f t="shared" si="49"/>
        <v>26.79020116021961</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52">
        <f t="shared" si="0"/>
        <v>545.88385928449134</v>
      </c>
      <c r="I57" s="553">
        <f>ITECountywide!$B$9*E57</f>
        <v>2.0844676035099154</v>
      </c>
      <c r="J57" s="562">
        <f t="shared" si="38"/>
        <v>1.67</v>
      </c>
      <c r="K57" s="416">
        <f t="shared" si="39"/>
        <v>0.64373267284932234</v>
      </c>
      <c r="L57" s="554">
        <f>Passby_Length_Adj!H52</f>
        <v>0.51442567196884992</v>
      </c>
      <c r="M57" s="554">
        <f>Passby_Length_Adj!J52</f>
        <v>1</v>
      </c>
      <c r="N57" s="416">
        <v>0.5</v>
      </c>
      <c r="O57" s="546">
        <f t="shared" si="40"/>
        <v>0.25721283598442496</v>
      </c>
      <c r="P57" s="555">
        <f t="shared" si="41"/>
        <v>2.5585664673294857</v>
      </c>
      <c r="Q57" s="556">
        <f t="shared" si="5"/>
        <v>1.5320757289398119</v>
      </c>
      <c r="R57" s="557">
        <f t="shared" si="42"/>
        <v>261.71052631578948</v>
      </c>
      <c r="S57" s="558">
        <f t="shared" si="43"/>
        <v>400.96034537648501</v>
      </c>
      <c r="T57" s="555">
        <f t="shared" si="44"/>
        <v>0.33633320223592583</v>
      </c>
      <c r="U57" s="563">
        <f t="shared" si="45"/>
        <v>405.42115030277023</v>
      </c>
      <c r="V57" s="564">
        <f t="shared" si="46"/>
        <v>136.35659373550331</v>
      </c>
      <c r="W57" s="555">
        <f t="shared" si="47"/>
        <v>0.22600427746053001</v>
      </c>
      <c r="X57" s="563">
        <f t="shared" si="48"/>
        <v>37.9060089869281</v>
      </c>
      <c r="Y57" s="564">
        <f t="shared" si="49"/>
        <v>8.5669201725030426</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52">
        <f t="shared" si="0"/>
        <v>740.50332215983178</v>
      </c>
      <c r="I58" s="553">
        <f>ITECountywide!$B$9*E58</f>
        <v>2.8276256186743205</v>
      </c>
      <c r="J58" s="562">
        <f t="shared" si="38"/>
        <v>1.67</v>
      </c>
      <c r="K58" s="416">
        <f t="shared" si="39"/>
        <v>0.64373267284932234</v>
      </c>
      <c r="L58" s="554">
        <f>Passby_Length_Adj!H53</f>
        <v>0.51442567196884992</v>
      </c>
      <c r="M58" s="554">
        <f>Passby_Length_Adj!J53</f>
        <v>1</v>
      </c>
      <c r="N58" s="416">
        <v>0.5</v>
      </c>
      <c r="O58" s="546">
        <f t="shared" si="40"/>
        <v>0.25721283598442496</v>
      </c>
      <c r="P58" s="555">
        <f t="shared" si="41"/>
        <v>3.4707510339426073</v>
      </c>
      <c r="Q58" s="556">
        <f t="shared" si="5"/>
        <v>2.0782940323009624</v>
      </c>
      <c r="R58" s="557">
        <f t="shared" si="42"/>
        <v>261.71052631578948</v>
      </c>
      <c r="S58" s="558">
        <f t="shared" si="43"/>
        <v>543.9114250324493</v>
      </c>
      <c r="T58" s="555">
        <f t="shared" si="44"/>
        <v>0.45624330042438638</v>
      </c>
      <c r="U58" s="563">
        <f t="shared" si="45"/>
        <v>405.42115030277023</v>
      </c>
      <c r="V58" s="564">
        <f t="shared" si="46"/>
        <v>184.97068367598709</v>
      </c>
      <c r="W58" s="555">
        <f t="shared" si="47"/>
        <v>0.30657971551167557</v>
      </c>
      <c r="X58" s="563">
        <f t="shared" si="48"/>
        <v>37.9060089869281</v>
      </c>
      <c r="Y58" s="564">
        <f t="shared" si="49"/>
        <v>11.621213451395434</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52">
        <f t="shared" si="0"/>
        <v>2796.0980003917316</v>
      </c>
      <c r="I59" s="553">
        <f>ITECountywide!$B$9*E59</f>
        <v>12.597434647299055</v>
      </c>
      <c r="J59" s="562">
        <f t="shared" si="38"/>
        <v>1.67</v>
      </c>
      <c r="K59" s="416">
        <f t="shared" si="39"/>
        <v>0.64373267284932234</v>
      </c>
      <c r="L59" s="554">
        <f>Passby_Length_Adj!H54</f>
        <v>0.4360013208727776</v>
      </c>
      <c r="M59" s="554">
        <f>Passby_Length_Adj!J54</f>
        <v>1</v>
      </c>
      <c r="N59" s="416">
        <v>0.5</v>
      </c>
      <c r="O59" s="546">
        <f t="shared" si="40"/>
        <v>0.2180006604363888</v>
      </c>
      <c r="P59" s="555">
        <f t="shared" si="41"/>
        <v>13.105356499359239</v>
      </c>
      <c r="Q59" s="556">
        <f t="shared" si="5"/>
        <v>7.8475188618917597</v>
      </c>
      <c r="R59" s="557">
        <f t="shared" si="42"/>
        <v>261.71052631578948</v>
      </c>
      <c r="S59" s="558">
        <f t="shared" si="43"/>
        <v>2053.7782916187775</v>
      </c>
      <c r="T59" s="555">
        <f t="shared" si="44"/>
        <v>1.7227484898891527</v>
      </c>
      <c r="U59" s="559">
        <f t="shared" si="45"/>
        <v>405.42115030277023</v>
      </c>
      <c r="V59" s="558">
        <f t="shared" si="46"/>
        <v>698.43867445322064</v>
      </c>
      <c r="W59" s="555">
        <f t="shared" si="47"/>
        <v>1.1576273918698725</v>
      </c>
      <c r="X59" s="559">
        <f t="shared" si="48"/>
        <v>37.9060089869281</v>
      </c>
      <c r="Y59" s="558">
        <f t="shared" si="49"/>
        <v>43.881034319733523</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52">
        <f t="shared" si="0"/>
        <v>43940.922512736492</v>
      </c>
      <c r="I60" s="553">
        <f>ITECountywide!$B$9*E60</f>
        <v>86.315084590558413</v>
      </c>
      <c r="J60" s="562">
        <f t="shared" si="38"/>
        <v>1.67</v>
      </c>
      <c r="K60" s="416">
        <f t="shared" si="39"/>
        <v>0.64373267284932234</v>
      </c>
      <c r="L60" s="554">
        <f>Passby_Length_Adj!H55</f>
        <v>1</v>
      </c>
      <c r="M60" s="554">
        <f>Passby_Length_Adj!J55</f>
        <v>1</v>
      </c>
      <c r="N60" s="416">
        <v>0.5</v>
      </c>
      <c r="O60" s="546">
        <f t="shared" si="40"/>
        <v>0.5</v>
      </c>
      <c r="P60" s="555">
        <f t="shared" si="41"/>
        <v>205.95181369159948</v>
      </c>
      <c r="Q60" s="556">
        <f t="shared" si="5"/>
        <v>123.32443933628713</v>
      </c>
      <c r="R60" s="561">
        <f t="shared" si="42"/>
        <v>261.71052631578948</v>
      </c>
      <c r="S60" s="564">
        <f t="shared" si="43"/>
        <v>32275.303926299355</v>
      </c>
      <c r="T60" s="555">
        <f t="shared" si="44"/>
        <v>27.073141890072396</v>
      </c>
      <c r="U60" s="559">
        <f t="shared" si="45"/>
        <v>405.42115030277023</v>
      </c>
      <c r="V60" s="558">
        <f t="shared" si="46"/>
        <v>10976.024327383266</v>
      </c>
      <c r="W60" s="555">
        <f t="shared" si="47"/>
        <v>18.192214835692035</v>
      </c>
      <c r="X60" s="559">
        <f t="shared" si="48"/>
        <v>37.9060089869281</v>
      </c>
      <c r="Y60" s="558">
        <f t="shared" si="49"/>
        <v>689.594259053869</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52">
        <f t="shared" si="0"/>
        <v>9891.7826404144307</v>
      </c>
      <c r="I62" s="553">
        <f>ITECountywide!$B$9*E62</f>
        <v>19.430863225761996</v>
      </c>
      <c r="J62" s="562">
        <f>IF(F62="Prod",$M$3,$M$4)</f>
        <v>1.67</v>
      </c>
      <c r="K62" s="416">
        <f>IF(F62="Prod",$F$4,$F$5)</f>
        <v>0.64373267284932234</v>
      </c>
      <c r="L62" s="554">
        <f>Passby_Length_Adj!H57</f>
        <v>1</v>
      </c>
      <c r="M62" s="554">
        <f>Passby_Length_Adj!J57</f>
        <v>1</v>
      </c>
      <c r="N62" s="416">
        <v>0.5</v>
      </c>
      <c r="O62" s="546">
        <f>L62*M62*N62</f>
        <v>0.5</v>
      </c>
      <c r="P62" s="555">
        <f>IF($F62="Prod",$I62*$O62*$F$4*$F$6,$I62*O62*$F$5*$F$7)</f>
        <v>46.362945039352091</v>
      </c>
      <c r="Q62" s="556">
        <f t="shared" si="5"/>
        <v>27.762242538534188</v>
      </c>
      <c r="R62" s="557">
        <f>+$Q$4</f>
        <v>261.71052631578948</v>
      </c>
      <c r="S62" s="558">
        <f>+Q62*R62</f>
        <v>7265.6711064663823</v>
      </c>
      <c r="T62" s="555">
        <f>IF($F62="Prod",$I62*$O62*$G$4*$G$6,$I62*$O62*$G$5*$G$7)</f>
        <v>6.0945838106168857</v>
      </c>
      <c r="U62" s="559">
        <f>+$R$4</f>
        <v>405.42115030277023</v>
      </c>
      <c r="V62" s="558">
        <f>+T62*U62</f>
        <v>2470.8731791169384</v>
      </c>
      <c r="W62" s="555">
        <f>IF($F62="Prod",$I62*$O62*$J$4*$J$6,$I62*$O62*$J$5*$J$7)</f>
        <v>4.0953494968210551</v>
      </c>
      <c r="X62" s="559">
        <f>+$S$4</f>
        <v>37.9060089869281</v>
      </c>
      <c r="Y62" s="558">
        <f>+W62*X62</f>
        <v>155.2383548311104</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52">
        <f t="shared" si="0"/>
        <v>2823.5872089242685</v>
      </c>
      <c r="I63" s="553">
        <f>ITECountywide!$B$9*E63</f>
        <v>5.5464964058611672</v>
      </c>
      <c r="J63" s="562">
        <f>IF(F63="Prod",$M$3,$M$4)</f>
        <v>1.67</v>
      </c>
      <c r="K63" s="416">
        <f>IF(F63="Prod",$F$4,$F$5)</f>
        <v>0.64373267284932234</v>
      </c>
      <c r="L63" s="554">
        <f>Passby_Length_Adj!H58</f>
        <v>1</v>
      </c>
      <c r="M63" s="554">
        <f>Passby_Length_Adj!J58</f>
        <v>1</v>
      </c>
      <c r="N63" s="416">
        <v>0.5</v>
      </c>
      <c r="O63" s="546">
        <f>L63*M63*N63</f>
        <v>0.5</v>
      </c>
      <c r="P63" s="555">
        <f>IF($F63="Prod",$I63*$O63*$F$4*$F$6,$I63*O63*$F$5*$F$7)</f>
        <v>13.234198863844908</v>
      </c>
      <c r="Q63" s="556">
        <f t="shared" si="5"/>
        <v>7.9246699783502441</v>
      </c>
      <c r="R63" s="557">
        <f>+$Q$4</f>
        <v>261.71052631578948</v>
      </c>
      <c r="S63" s="558">
        <f>+Q63*R63</f>
        <v>2073.9695509129783</v>
      </c>
      <c r="T63" s="555">
        <f>IF($F63="Prod",$I63*$O63*$G$4*$G$6,$I63*$O63*$G$5*$G$7)</f>
        <v>1.7396853041499694</v>
      </c>
      <c r="U63" s="563">
        <f>+$R$4</f>
        <v>405.42115030277023</v>
      </c>
      <c r="V63" s="564">
        <f>+T63*U63</f>
        <v>705.30521717330532</v>
      </c>
      <c r="W63" s="555">
        <f>IF($F63="Prod",$I63*$O63*$J$4*$J$6,$I63*$O63*$J$5*$J$7)</f>
        <v>1.1690083451746669</v>
      </c>
      <c r="X63" s="563">
        <f>+$S$4</f>
        <v>37.9060089869281</v>
      </c>
      <c r="Y63" s="564">
        <f>+W63*X63</f>
        <v>44.312440837984873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52">
        <f t="shared" si="0"/>
        <v>13543.465175628167</v>
      </c>
      <c r="I64" s="553">
        <f>ITECountywide!$B$9*E64</f>
        <v>69.168072826033367</v>
      </c>
      <c r="J64" s="562">
        <f>IF(F64="Prod",$M$3,$M$4)</f>
        <v>1.67</v>
      </c>
      <c r="K64" s="416">
        <f>IF(F64="Prod",$F$4,$F$5)</f>
        <v>0.64373267284932234</v>
      </c>
      <c r="L64" s="554">
        <f>Passby_Length_Adj!H59</f>
        <v>0.3846286671810874</v>
      </c>
      <c r="M64" s="554">
        <f>Passby_Length_Adj!J59</f>
        <v>1</v>
      </c>
      <c r="N64" s="416">
        <v>0.5</v>
      </c>
      <c r="O64" s="546">
        <f>L64*M64*N64</f>
        <v>0.1923143335905437</v>
      </c>
      <c r="P64" s="555">
        <f>IF($F64="Prod",$I64*$O64*$F$4*$F$6,$I64*O64*$F$5*$F$7)</f>
        <v>63.478440075561579</v>
      </c>
      <c r="Q64" s="556">
        <f t="shared" si="5"/>
        <v>38.011041961414122</v>
      </c>
      <c r="R64" s="557">
        <f>+$Q$4</f>
        <v>261.71052631578948</v>
      </c>
      <c r="S64" s="558">
        <f>+Q64*R64</f>
        <v>9947.8897975332493</v>
      </c>
      <c r="T64" s="555">
        <f>IF($F64="Prod",$I64*$O64*$G$4*$G$6,$I64*$O64*$G$5*$G$7)</f>
        <v>8.3444801204789503</v>
      </c>
      <c r="U64" s="559">
        <f>+$R$4</f>
        <v>405.42115030277023</v>
      </c>
      <c r="V64" s="558">
        <f>+T64*U64</f>
        <v>3383.0287291231748</v>
      </c>
      <c r="W64" s="555">
        <f>IF($F64="Prod",$I64*$O64*$J$4*$J$6,$I64*$O64*$J$5*$J$7)</f>
        <v>5.6072019886092539</v>
      </c>
      <c r="X64" s="559">
        <f>+$S$4</f>
        <v>37.9060089869281</v>
      </c>
      <c r="Y64" s="558">
        <f>+W64*X64</f>
        <v>212.54664897174348</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52">
        <f t="shared" si="0"/>
        <v>7630.6211026206929</v>
      </c>
      <c r="I65" s="553">
        <f>ITECountywide!$B$9*E65</f>
        <v>38.970481283011466</v>
      </c>
      <c r="J65" s="562">
        <f>IF(F65="Prod",$M$3,$M$4)</f>
        <v>1.67</v>
      </c>
      <c r="K65" s="416">
        <f>IF(F65="Prod",$F$4,$F$5)</f>
        <v>0.64373267284932234</v>
      </c>
      <c r="L65" s="554">
        <f>Passby_Length_Adj!H60</f>
        <v>0.3846286671810874</v>
      </c>
      <c r="M65" s="554">
        <f>Passby_Length_Adj!J60</f>
        <v>1</v>
      </c>
      <c r="N65" s="416">
        <v>0.5</v>
      </c>
      <c r="O65" s="546">
        <f>L65*M65*N65</f>
        <v>0.1923143335905437</v>
      </c>
      <c r="P65" s="555">
        <f>IF($F65="Prod",$I65*$O65*$F$4*$F$6,$I65*O65*$F$5*$F$7)</f>
        <v>35.764844382195342</v>
      </c>
      <c r="Q65" s="556">
        <f t="shared" si="5"/>
        <v>21.416074480356492</v>
      </c>
      <c r="R65" s="557">
        <f>+$Q$4</f>
        <v>261.71052631578948</v>
      </c>
      <c r="S65" s="558">
        <f>+Q65*R65</f>
        <v>5604.8121238722451</v>
      </c>
      <c r="T65" s="555">
        <f>IF($F65="Prod",$I65*$O65*$G$4*$G$6,$I65*$O65*$G$5*$G$7)</f>
        <v>4.7014235479637705</v>
      </c>
      <c r="U65" s="559">
        <f>+$R$4</f>
        <v>405.42115030277023</v>
      </c>
      <c r="V65" s="558">
        <f>+T65*U65</f>
        <v>1906.056542876003</v>
      </c>
      <c r="W65" s="555">
        <f>IF($F65="Prod",$I65*$O65*$J$4*$J$6,$I65*$O65*$J$5*$J$7)</f>
        <v>3.1591939925340404</v>
      </c>
      <c r="X65" s="559">
        <f>+$S$4</f>
        <v>37.9060089869281</v>
      </c>
      <c r="Y65" s="558">
        <f>+W65*X65</f>
        <v>119.75243587244461</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52">
        <f t="shared" si="0"/>
        <v>8851.5204790400057</v>
      </c>
      <c r="I66" s="553">
        <f>ITECountywide!$B$9*E66</f>
        <v>45.205758288293303</v>
      </c>
      <c r="J66" s="562">
        <f>IF(F66="Prod",$M$3,$M$4)</f>
        <v>1.67</v>
      </c>
      <c r="K66" s="416">
        <f>IF(F66="Prod",$F$4,$F$5)</f>
        <v>0.64373267284932234</v>
      </c>
      <c r="L66" s="554">
        <f>Passby_Length_Adj!H61</f>
        <v>0.3846286671810874</v>
      </c>
      <c r="M66" s="554">
        <f>Passby_Length_Adj!J61</f>
        <v>1</v>
      </c>
      <c r="N66" s="416">
        <v>0.5</v>
      </c>
      <c r="O66" s="546">
        <f>L66*M66*N66</f>
        <v>0.1923143335905437</v>
      </c>
      <c r="P66" s="555">
        <f>IF($F66="Prod",$I66*$O66*$F$4*$F$6,$I66*O66*$F$5*$F$7)</f>
        <v>41.4872194833466</v>
      </c>
      <c r="Q66" s="556">
        <f t="shared" si="5"/>
        <v>24.842646397213535</v>
      </c>
      <c r="R66" s="557">
        <f>+$Q$4</f>
        <v>261.71052631578948</v>
      </c>
      <c r="S66" s="558">
        <f>+Q66*R66</f>
        <v>6501.5820636918052</v>
      </c>
      <c r="T66" s="555">
        <f>IF($F66="Prod",$I66*$O66*$G$4*$G$6,$I66*$O66*$G$5*$G$7)</f>
        <v>5.4536513156379742</v>
      </c>
      <c r="U66" s="559">
        <f>+$R$4</f>
        <v>405.42115030277023</v>
      </c>
      <c r="V66" s="558">
        <f>+T66*U66</f>
        <v>2211.025589736164</v>
      </c>
      <c r="W66" s="555">
        <f>IF($F66="Prod",$I66*$O66*$J$4*$J$6,$I66*$O66*$J$5*$J$7)</f>
        <v>3.6646650313394873</v>
      </c>
      <c r="X66" s="559">
        <f>+$S$4</f>
        <v>37.9060089869281</v>
      </c>
      <c r="Y66" s="558">
        <f>+W66*X66</f>
        <v>138.91282561203576</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52">
        <f t="shared" si="0"/>
        <v>13482.166849690169</v>
      </c>
      <c r="I68" s="553">
        <f>ITECountywide!$B$9*E68</f>
        <v>20.049119939245994</v>
      </c>
      <c r="J68" s="562">
        <f t="shared" ref="J68:J87" si="50">IF(F68="Prod",$M$3,$M$4)</f>
        <v>1.67</v>
      </c>
      <c r="K68" s="416">
        <f t="shared" ref="K68:K87" si="51">IF(F68="Prod",$F$4,$F$5)</f>
        <v>0.64373267284932234</v>
      </c>
      <c r="L68" s="554">
        <f>Passby_Length_Adj!H63</f>
        <v>1.3209364175632392</v>
      </c>
      <c r="M68" s="554">
        <f>Passby_Length_Adj!J63</f>
        <v>1</v>
      </c>
      <c r="N68" s="416">
        <v>0.5</v>
      </c>
      <c r="O68" s="546">
        <f t="shared" ref="O68:O87" si="52">L68*M68*N68</f>
        <v>0.6604682087816196</v>
      </c>
      <c r="P68" s="555">
        <f t="shared" ref="P68:P87" si="53">IF($F68="Prod",$I68*$O68*$F$4*$F$6,$I68*O68*$F$5*$F$7)</f>
        <v>63.191133831603452</v>
      </c>
      <c r="Q68" s="556">
        <f t="shared" si="5"/>
        <v>37.839002294373323</v>
      </c>
      <c r="R68" s="561">
        <f t="shared" ref="R68:R87" si="54">+$Q$4</f>
        <v>261.71052631578948</v>
      </c>
      <c r="S68" s="564">
        <f t="shared" ref="S68:S87" si="55">+Q68*R68</f>
        <v>9902.8652057248073</v>
      </c>
      <c r="T68" s="555">
        <f t="shared" ref="T68:T87" si="56">IF($F68="Prod",$I68*$O68*$G$4*$G$6,$I68*$O68*$G$5*$G$7)</f>
        <v>8.3067126322050697</v>
      </c>
      <c r="U68" s="559">
        <f t="shared" ref="U68:U87" si="57">+$R$4</f>
        <v>405.42115030277023</v>
      </c>
      <c r="V68" s="558">
        <f t="shared" ref="V68:V87" si="58">+T68*U68</f>
        <v>3367.7169905831315</v>
      </c>
      <c r="W68" s="555">
        <f t="shared" ref="W68:W87" si="59">IF($F68="Prod",$I68*$O68*$J$4*$J$6,$I68*$O68*$J$5*$J$7)</f>
        <v>5.5818235429425958</v>
      </c>
      <c r="X68" s="559">
        <f t="shared" ref="X68:X87" si="60">+$S$4</f>
        <v>37.9060089869281</v>
      </c>
      <c r="Y68" s="558">
        <f t="shared" ref="Y68:Y87" si="61">+W68*X68</f>
        <v>211.58465338222888</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647">
        <f t="shared" si="0"/>
        <v>13045.059365884954</v>
      </c>
      <c r="I69" s="553">
        <f>ITECountywide!$B$9*E69</f>
        <v>19.399104220937762</v>
      </c>
      <c r="J69" s="562">
        <f t="shared" si="50"/>
        <v>1.67</v>
      </c>
      <c r="K69" s="416">
        <f t="shared" si="51"/>
        <v>0.64373267284932234</v>
      </c>
      <c r="L69" s="554">
        <f>Passby_Length_Adj!H64</f>
        <v>1.3209364175632392</v>
      </c>
      <c r="M69" s="554">
        <f>Passby_Length_Adj!J64</f>
        <v>1</v>
      </c>
      <c r="N69" s="416">
        <v>0.5</v>
      </c>
      <c r="O69" s="546">
        <f t="shared" si="52"/>
        <v>0.6604682087816196</v>
      </c>
      <c r="P69" s="555">
        <f t="shared" si="53"/>
        <v>61.142403993449456</v>
      </c>
      <c r="Q69" s="556">
        <f t="shared" si="5"/>
        <v>36.61221796014938</v>
      </c>
      <c r="R69" s="561">
        <f t="shared" si="54"/>
        <v>261.71052631578948</v>
      </c>
      <c r="S69" s="564">
        <f t="shared" si="55"/>
        <v>9581.8028319390942</v>
      </c>
      <c r="T69" s="555">
        <f t="shared" si="56"/>
        <v>8.0373993758245046</v>
      </c>
      <c r="U69" s="559">
        <f t="shared" si="57"/>
        <v>405.42115030277023</v>
      </c>
      <c r="V69" s="558">
        <f t="shared" si="58"/>
        <v>3258.5317003895379</v>
      </c>
      <c r="W69" s="555">
        <f t="shared" si="59"/>
        <v>5.4008543507421285</v>
      </c>
      <c r="X69" s="559">
        <f t="shared" si="60"/>
        <v>37.9060089869281</v>
      </c>
      <c r="Y69" s="558">
        <f t="shared" si="61"/>
        <v>204.72483355632085</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52">
        <f t="shared" si="0"/>
        <v>12846.670859829976</v>
      </c>
      <c r="I70" s="553">
        <f>ITECountywide!$B$9*E70</f>
        <v>19.10408376934355</v>
      </c>
      <c r="J70" s="562">
        <f t="shared" si="50"/>
        <v>1.67</v>
      </c>
      <c r="K70" s="416">
        <f t="shared" si="51"/>
        <v>0.64373267284932234</v>
      </c>
      <c r="L70" s="554">
        <f>Passby_Length_Adj!H65</f>
        <v>1.3209364175632392</v>
      </c>
      <c r="M70" s="554">
        <f>Passby_Length_Adj!J65</f>
        <v>1</v>
      </c>
      <c r="N70" s="416">
        <v>0.5</v>
      </c>
      <c r="O70" s="546">
        <f t="shared" si="52"/>
        <v>0.6604682087816196</v>
      </c>
      <c r="P70" s="555">
        <f t="shared" si="53"/>
        <v>60.212553860563723</v>
      </c>
      <c r="Q70" s="556">
        <f t="shared" si="5"/>
        <v>36.055421473391455</v>
      </c>
      <c r="R70" s="561">
        <f t="shared" si="54"/>
        <v>261.71052631578948</v>
      </c>
      <c r="S70" s="564">
        <f t="shared" si="55"/>
        <v>9436.0833303388954</v>
      </c>
      <c r="T70" s="555">
        <f t="shared" si="56"/>
        <v>7.9151670723896119</v>
      </c>
      <c r="U70" s="559">
        <f t="shared" si="57"/>
        <v>405.42115030277023</v>
      </c>
      <c r="V70" s="558">
        <f t="shared" si="58"/>
        <v>3208.9761393268068</v>
      </c>
      <c r="W70" s="555">
        <f t="shared" si="59"/>
        <v>5.3187184710951305</v>
      </c>
      <c r="X70" s="559">
        <f t="shared" si="60"/>
        <v>37.9060089869281</v>
      </c>
      <c r="Y70" s="558">
        <f t="shared" si="61"/>
        <v>201.61139016427251</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52">
        <f t="shared" si="0"/>
        <v>12717.646708724642</v>
      </c>
      <c r="I71" s="553">
        <f>ITECountywide!$B$9*E71</f>
        <v>18.912213967596532</v>
      </c>
      <c r="J71" s="562">
        <f t="shared" si="50"/>
        <v>1.67</v>
      </c>
      <c r="K71" s="416">
        <f t="shared" si="51"/>
        <v>0.64373267284932234</v>
      </c>
      <c r="L71" s="554">
        <f>Passby_Length_Adj!H66</f>
        <v>1.3209364175632392</v>
      </c>
      <c r="M71" s="554">
        <f>Passby_Length_Adj!J66</f>
        <v>1</v>
      </c>
      <c r="N71" s="416">
        <v>0.5</v>
      </c>
      <c r="O71" s="546">
        <f t="shared" si="52"/>
        <v>0.6604682087816196</v>
      </c>
      <c r="P71" s="555">
        <f t="shared" si="53"/>
        <v>59.607815579922026</v>
      </c>
      <c r="Q71" s="556">
        <f t="shared" si="5"/>
        <v>35.693302742468283</v>
      </c>
      <c r="R71" s="561">
        <f t="shared" si="54"/>
        <v>261.71052631578948</v>
      </c>
      <c r="S71" s="564">
        <f t="shared" si="55"/>
        <v>9341.3130466801867</v>
      </c>
      <c r="T71" s="555">
        <f t="shared" si="56"/>
        <v>7.8356719468808471</v>
      </c>
      <c r="U71" s="559">
        <f t="shared" si="57"/>
        <v>405.42115030277023</v>
      </c>
      <c r="V71" s="558">
        <f t="shared" si="58"/>
        <v>3176.7471340995803</v>
      </c>
      <c r="W71" s="555">
        <f t="shared" si="59"/>
        <v>5.26530049664954</v>
      </c>
      <c r="X71" s="559">
        <f t="shared" si="60"/>
        <v>37.9060089869281</v>
      </c>
      <c r="Y71" s="558">
        <f t="shared" si="61"/>
        <v>199.58652794487446</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52">
        <f t="shared" si="0"/>
        <v>12582.290196535967</v>
      </c>
      <c r="I72" s="553">
        <f>ITECountywide!$B$9*E72</f>
        <v>18.710927410496026</v>
      </c>
      <c r="J72" s="562">
        <f t="shared" si="50"/>
        <v>1.67</v>
      </c>
      <c r="K72" s="416">
        <f t="shared" si="51"/>
        <v>0.64373267284932234</v>
      </c>
      <c r="L72" s="554">
        <f>Passby_Length_Adj!H67</f>
        <v>1.3209364175632392</v>
      </c>
      <c r="M72" s="554">
        <f>Passby_Length_Adj!J67</f>
        <v>1</v>
      </c>
      <c r="N72" s="416">
        <v>0.5</v>
      </c>
      <c r="O72" s="546">
        <f t="shared" si="52"/>
        <v>0.6604682087816196</v>
      </c>
      <c r="P72" s="555">
        <f t="shared" si="53"/>
        <v>58.973397420582153</v>
      </c>
      <c r="Q72" s="556">
        <f t="shared" si="5"/>
        <v>35.313411629091114</v>
      </c>
      <c r="R72" s="561">
        <f t="shared" si="54"/>
        <v>261.71052631578948</v>
      </c>
      <c r="S72" s="564">
        <f t="shared" si="55"/>
        <v>9241.8915434555565</v>
      </c>
      <c r="T72" s="555">
        <f t="shared" si="56"/>
        <v>7.7522752894900728</v>
      </c>
      <c r="U72" s="559">
        <f t="shared" si="57"/>
        <v>405.42115030277023</v>
      </c>
      <c r="V72" s="558">
        <f t="shared" si="58"/>
        <v>3142.9363653288065</v>
      </c>
      <c r="W72" s="555">
        <f t="shared" si="59"/>
        <v>5.2092608277410744</v>
      </c>
      <c r="X72" s="559">
        <f t="shared" si="60"/>
        <v>37.9060089869281</v>
      </c>
      <c r="Y72" s="558">
        <f t="shared" si="61"/>
        <v>197.46228775160569</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52">
        <f t="shared" si="0"/>
        <v>12455.92132406448</v>
      </c>
      <c r="I73" s="553">
        <f>ITECountywide!$B$9*E73</f>
        <v>18.523006232171017</v>
      </c>
      <c r="J73" s="562">
        <f t="shared" si="50"/>
        <v>1.67</v>
      </c>
      <c r="K73" s="416">
        <f t="shared" si="51"/>
        <v>0.64373267284932234</v>
      </c>
      <c r="L73" s="554">
        <f>Passby_Length_Adj!H68</f>
        <v>1.3209364175632392</v>
      </c>
      <c r="M73" s="554">
        <f>Passby_Length_Adj!J68</f>
        <v>1</v>
      </c>
      <c r="N73" s="416">
        <v>0.5</v>
      </c>
      <c r="O73" s="546">
        <f t="shared" si="52"/>
        <v>0.6604682087816196</v>
      </c>
      <c r="P73" s="555">
        <f t="shared" si="53"/>
        <v>58.381104473793847</v>
      </c>
      <c r="Q73" s="556">
        <f t="shared" si="5"/>
        <v>34.958745193888532</v>
      </c>
      <c r="R73" s="561">
        <f t="shared" si="54"/>
        <v>261.71052631578948</v>
      </c>
      <c r="S73" s="564">
        <f t="shared" si="55"/>
        <v>9149.071604032144</v>
      </c>
      <c r="T73" s="555">
        <f t="shared" si="56"/>
        <v>7.6744161500075689</v>
      </c>
      <c r="U73" s="559">
        <f t="shared" si="57"/>
        <v>405.42115030277023</v>
      </c>
      <c r="V73" s="558">
        <f t="shared" si="58"/>
        <v>3111.3706234382257</v>
      </c>
      <c r="W73" s="555">
        <f t="shared" si="59"/>
        <v>5.1569421793130825</v>
      </c>
      <c r="X73" s="559">
        <f t="shared" si="60"/>
        <v>37.9060089869281</v>
      </c>
      <c r="Y73" s="558">
        <f t="shared" si="61"/>
        <v>195.47909659411027</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52">
        <f t="shared" si="0"/>
        <v>12362.363869921697</v>
      </c>
      <c r="I74" s="553">
        <f>ITECountywide!$B$9*E74</f>
        <v>18.383878402035741</v>
      </c>
      <c r="J74" s="562">
        <f t="shared" si="50"/>
        <v>1.67</v>
      </c>
      <c r="K74" s="416">
        <f t="shared" si="51"/>
        <v>0.64373267284932234</v>
      </c>
      <c r="L74" s="554">
        <f>Passby_Length_Adj!H69</f>
        <v>1.3209364175632392</v>
      </c>
      <c r="M74" s="554">
        <f>Passby_Length_Adj!J69</f>
        <v>1</v>
      </c>
      <c r="N74" s="416">
        <v>0.5</v>
      </c>
      <c r="O74" s="546">
        <f t="shared" si="52"/>
        <v>0.6604682087816196</v>
      </c>
      <c r="P74" s="555">
        <f t="shared" si="53"/>
        <v>57.942599174787212</v>
      </c>
      <c r="Q74" s="556">
        <f t="shared" si="5"/>
        <v>34.696167170531268</v>
      </c>
      <c r="R74" s="561">
        <f t="shared" si="54"/>
        <v>261.71052631578948</v>
      </c>
      <c r="S74" s="564">
        <f t="shared" si="55"/>
        <v>9080.3521713403552</v>
      </c>
      <c r="T74" s="555">
        <f t="shared" si="56"/>
        <v>7.6167729762633822</v>
      </c>
      <c r="U74" s="559">
        <f t="shared" si="57"/>
        <v>405.42115030277023</v>
      </c>
      <c r="V74" s="558">
        <f t="shared" si="58"/>
        <v>3088.000861631755</v>
      </c>
      <c r="W74" s="555">
        <f t="shared" si="59"/>
        <v>5.1182079605503201</v>
      </c>
      <c r="X74" s="559">
        <f t="shared" si="60"/>
        <v>37.9060089869281</v>
      </c>
      <c r="Y74" s="558">
        <f t="shared" si="61"/>
        <v>194.01083694958737</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52">
        <f t="shared" si="0"/>
        <v>12288.16451390074</v>
      </c>
      <c r="I75" s="553">
        <f>ITECountywide!$B$9*E75</f>
        <v>18.273537697543336</v>
      </c>
      <c r="J75" s="562">
        <f t="shared" si="50"/>
        <v>1.67</v>
      </c>
      <c r="K75" s="416">
        <f t="shared" si="51"/>
        <v>0.64373267284932234</v>
      </c>
      <c r="L75" s="554">
        <f>Passby_Length_Adj!H70</f>
        <v>1.3209364175632392</v>
      </c>
      <c r="M75" s="554">
        <f>Passby_Length_Adj!J70</f>
        <v>1</v>
      </c>
      <c r="N75" s="416">
        <v>0.5</v>
      </c>
      <c r="O75" s="546">
        <f t="shared" si="52"/>
        <v>0.6604682087816196</v>
      </c>
      <c r="P75" s="555">
        <f t="shared" si="53"/>
        <v>57.594825594411532</v>
      </c>
      <c r="Q75" s="556">
        <f t="shared" si="5"/>
        <v>34.487919517611694</v>
      </c>
      <c r="R75" s="561">
        <f t="shared" si="54"/>
        <v>261.71052631578948</v>
      </c>
      <c r="S75" s="564">
        <f t="shared" si="55"/>
        <v>9025.8515684907452</v>
      </c>
      <c r="T75" s="555">
        <f t="shared" si="56"/>
        <v>7.5710568287900317</v>
      </c>
      <c r="U75" s="559">
        <f t="shared" si="57"/>
        <v>405.42115030277023</v>
      </c>
      <c r="V75" s="558">
        <f t="shared" si="58"/>
        <v>3069.4665685356986</v>
      </c>
      <c r="W75" s="555">
        <f t="shared" si="59"/>
        <v>5.0874882908617298</v>
      </c>
      <c r="X75" s="559">
        <f t="shared" si="60"/>
        <v>37.9060089869281</v>
      </c>
      <c r="Y75" s="558">
        <f t="shared" si="61"/>
        <v>192.8463768742962</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52">
        <f t="shared" si="0"/>
        <v>12226.734931163573</v>
      </c>
      <c r="I76" s="553">
        <f>ITECountywide!$B$9*E76</f>
        <v>18.182186723634896</v>
      </c>
      <c r="J76" s="562">
        <f t="shared" si="50"/>
        <v>1.67</v>
      </c>
      <c r="K76" s="416">
        <f t="shared" si="51"/>
        <v>0.64373267284932234</v>
      </c>
      <c r="L76" s="554">
        <f>Passby_Length_Adj!H71</f>
        <v>1.3209364175632392</v>
      </c>
      <c r="M76" s="554">
        <f>Passby_Length_Adj!J71</f>
        <v>1</v>
      </c>
      <c r="N76" s="416">
        <v>0.5</v>
      </c>
      <c r="O76" s="546">
        <f t="shared" si="52"/>
        <v>0.6604682087816196</v>
      </c>
      <c r="P76" s="555">
        <f t="shared" si="53"/>
        <v>57.306904147715223</v>
      </c>
      <c r="Q76" s="556">
        <f t="shared" si="5"/>
        <v>34.315511465697739</v>
      </c>
      <c r="R76" s="561">
        <f t="shared" si="54"/>
        <v>261.71052631578948</v>
      </c>
      <c r="S76" s="564">
        <f t="shared" si="55"/>
        <v>8980.7305664832638</v>
      </c>
      <c r="T76" s="555">
        <f t="shared" si="56"/>
        <v>7.5332084697982697</v>
      </c>
      <c r="U76" s="559">
        <f t="shared" si="57"/>
        <v>405.42115030277023</v>
      </c>
      <c r="V76" s="558">
        <f t="shared" si="58"/>
        <v>3054.1220432961859</v>
      </c>
      <c r="W76" s="555">
        <f t="shared" si="59"/>
        <v>5.0620555028701366</v>
      </c>
      <c r="X76" s="559">
        <f t="shared" si="60"/>
        <v>37.9060089869281</v>
      </c>
      <c r="Y76" s="558">
        <f t="shared" si="61"/>
        <v>191.88232138412425</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52">
        <f t="shared" ref="H77:H137" si="62">+S77+V77+Y77</f>
        <v>12150.809110279664</v>
      </c>
      <c r="I77" s="553">
        <f>ITECountywide!$B$9*E77</f>
        <v>18.069278620185472</v>
      </c>
      <c r="J77" s="562">
        <f t="shared" si="50"/>
        <v>1.67</v>
      </c>
      <c r="K77" s="416">
        <f t="shared" si="51"/>
        <v>0.64373267284932234</v>
      </c>
      <c r="L77" s="554">
        <f>Passby_Length_Adj!H72</f>
        <v>1.3209364175632392</v>
      </c>
      <c r="M77" s="554">
        <f>Passby_Length_Adj!J72</f>
        <v>1</v>
      </c>
      <c r="N77" s="416">
        <v>0.5</v>
      </c>
      <c r="O77" s="546">
        <f t="shared" si="52"/>
        <v>0.6604682087816196</v>
      </c>
      <c r="P77" s="555">
        <f t="shared" si="53"/>
        <v>56.951038598635499</v>
      </c>
      <c r="Q77" s="556">
        <f t="shared" si="5"/>
        <v>34.102418322536231</v>
      </c>
      <c r="R77" s="561">
        <f t="shared" si="54"/>
        <v>261.71052631578948</v>
      </c>
      <c r="S77" s="564">
        <f t="shared" si="55"/>
        <v>8924.961847832179</v>
      </c>
      <c r="T77" s="555">
        <f t="shared" si="56"/>
        <v>7.4864286025500455</v>
      </c>
      <c r="U77" s="559">
        <f t="shared" si="57"/>
        <v>405.42115030277023</v>
      </c>
      <c r="V77" s="558">
        <f t="shared" si="58"/>
        <v>3035.1564957054002</v>
      </c>
      <c r="W77" s="555">
        <f t="shared" si="59"/>
        <v>5.0306210502890378</v>
      </c>
      <c r="X77" s="559">
        <f t="shared" si="60"/>
        <v>37.9060089869281</v>
      </c>
      <c r="Y77" s="558">
        <f t="shared" si="61"/>
        <v>190.69076674208594</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52">
        <f t="shared" si="62"/>
        <v>19733.700915589336</v>
      </c>
      <c r="I78" s="553">
        <f>ITECountywide!$B$9*E78</f>
        <v>29.345678696370033</v>
      </c>
      <c r="J78" s="562">
        <f t="shared" si="50"/>
        <v>1.67</v>
      </c>
      <c r="K78" s="416">
        <f t="shared" si="51"/>
        <v>0.64373267284932234</v>
      </c>
      <c r="L78" s="554">
        <f>Passby_Length_Adj!H73</f>
        <v>1.3209364175632392</v>
      </c>
      <c r="M78" s="554">
        <f>Passby_Length_Adj!J73</f>
        <v>1</v>
      </c>
      <c r="N78" s="416">
        <v>0.5</v>
      </c>
      <c r="O78" s="546">
        <f t="shared" si="52"/>
        <v>0.6604682087816196</v>
      </c>
      <c r="P78" s="555">
        <f t="shared" si="53"/>
        <v>92.49217499325772</v>
      </c>
      <c r="Q78" s="556">
        <f t="shared" si="5"/>
        <v>55.384535924106423</v>
      </c>
      <c r="R78" s="561">
        <f t="shared" si="54"/>
        <v>261.71052631578948</v>
      </c>
      <c r="S78" s="564">
        <f t="shared" si="55"/>
        <v>14494.716046453641</v>
      </c>
      <c r="T78" s="555">
        <f t="shared" si="56"/>
        <v>12.158444892665733</v>
      </c>
      <c r="U78" s="559">
        <f t="shared" si="57"/>
        <v>405.42115030277023</v>
      </c>
      <c r="V78" s="558">
        <f t="shared" si="58"/>
        <v>4929.2907142773829</v>
      </c>
      <c r="W78" s="555">
        <f t="shared" si="59"/>
        <v>8.1700543828053664</v>
      </c>
      <c r="X78" s="559">
        <f t="shared" si="60"/>
        <v>37.9060089869281</v>
      </c>
      <c r="Y78" s="558">
        <f t="shared" si="61"/>
        <v>309.69415485831155</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52">
        <f t="shared" si="62"/>
        <v>9690.1125558329331</v>
      </c>
      <c r="I79" s="553">
        <f>ITECountywide!$B$9*E79</f>
        <v>14.410015172090286</v>
      </c>
      <c r="J79" s="562">
        <f t="shared" si="50"/>
        <v>1.67</v>
      </c>
      <c r="K79" s="416">
        <f t="shared" si="51"/>
        <v>0.64373267284932234</v>
      </c>
      <c r="L79" s="554">
        <f>Passby_Length_Adj!H74</f>
        <v>1.3209364175632392</v>
      </c>
      <c r="M79" s="554">
        <f>Passby_Length_Adj!J74</f>
        <v>1</v>
      </c>
      <c r="N79" s="416">
        <v>0.5</v>
      </c>
      <c r="O79" s="546">
        <f t="shared" si="52"/>
        <v>0.6604682087816196</v>
      </c>
      <c r="P79" s="555">
        <f t="shared" si="53"/>
        <v>45.41771409489801</v>
      </c>
      <c r="Q79" s="556">
        <f t="shared" si="5"/>
        <v>27.196235984968869</v>
      </c>
      <c r="R79" s="561">
        <f t="shared" si="54"/>
        <v>261.71052631578948</v>
      </c>
      <c r="S79" s="564">
        <f t="shared" si="55"/>
        <v>7117.5412334346156</v>
      </c>
      <c r="T79" s="555">
        <f t="shared" si="56"/>
        <v>5.9703296415498803</v>
      </c>
      <c r="U79" s="559">
        <f t="shared" si="57"/>
        <v>405.42115030277023</v>
      </c>
      <c r="V79" s="558">
        <f t="shared" si="58"/>
        <v>2420.4979109638784</v>
      </c>
      <c r="W79" s="555">
        <f t="shared" si="59"/>
        <v>4.0118549934096768</v>
      </c>
      <c r="X79" s="559">
        <f t="shared" si="60"/>
        <v>37.9060089869281</v>
      </c>
      <c r="Y79" s="558">
        <f t="shared" si="61"/>
        <v>152.07341143443958</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52">
        <f t="shared" si="62"/>
        <v>13712.423428065475</v>
      </c>
      <c r="I80" s="553">
        <f>ITECountywide!$B$9*E80</f>
        <v>20.391530903901348</v>
      </c>
      <c r="J80" s="562">
        <f t="shared" si="50"/>
        <v>1.67</v>
      </c>
      <c r="K80" s="416">
        <f t="shared" si="51"/>
        <v>0.64373267284932234</v>
      </c>
      <c r="L80" s="554">
        <f>Passby_Length_Adj!H75</f>
        <v>1.3209364175632392</v>
      </c>
      <c r="M80" s="554">
        <f>Passby_Length_Adj!J75</f>
        <v>1</v>
      </c>
      <c r="N80" s="416">
        <v>0.5</v>
      </c>
      <c r="O80" s="546">
        <f t="shared" si="52"/>
        <v>0.6604682087816196</v>
      </c>
      <c r="P80" s="555">
        <f t="shared" si="53"/>
        <v>64.270350134289643</v>
      </c>
      <c r="Q80" s="556">
        <f t="shared" ref="Q80:Q137" si="63">+P80/J80</f>
        <v>38.485239601371049</v>
      </c>
      <c r="R80" s="561">
        <f t="shared" si="54"/>
        <v>261.71052631578948</v>
      </c>
      <c r="S80" s="564">
        <f t="shared" si="55"/>
        <v>10071.992311464081</v>
      </c>
      <c r="T80" s="555">
        <f t="shared" si="56"/>
        <v>8.4485796814385097</v>
      </c>
      <c r="U80" s="559">
        <f t="shared" si="57"/>
        <v>405.42115030277023</v>
      </c>
      <c r="V80" s="558">
        <f t="shared" si="58"/>
        <v>3425.2328928734128</v>
      </c>
      <c r="W80" s="555">
        <f t="shared" si="59"/>
        <v>5.6771532925608632</v>
      </c>
      <c r="X80" s="559">
        <f t="shared" si="60"/>
        <v>37.9060089869281</v>
      </c>
      <c r="Y80" s="558">
        <f t="shared" si="61"/>
        <v>215.19822372798055</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52">
        <f t="shared" si="62"/>
        <v>12350.958807962796</v>
      </c>
      <c r="I81" s="553">
        <f>ITECountywide!$B$9*E81</f>
        <v>63.077802262734835</v>
      </c>
      <c r="J81" s="562">
        <f t="shared" si="50"/>
        <v>1.67</v>
      </c>
      <c r="K81" s="416">
        <f t="shared" si="51"/>
        <v>0.64373267284932234</v>
      </c>
      <c r="L81" s="554">
        <f>Passby_Length_Adj!H76</f>
        <v>0.3846286671810874</v>
      </c>
      <c r="M81" s="554">
        <f>Passby_Length_Adj!J76</f>
        <v>1</v>
      </c>
      <c r="N81" s="416">
        <v>0.5</v>
      </c>
      <c r="O81" s="546">
        <f t="shared" si="52"/>
        <v>0.1923143335905437</v>
      </c>
      <c r="P81" s="555">
        <f t="shared" si="53"/>
        <v>57.889143465134779</v>
      </c>
      <c r="Q81" s="556">
        <f t="shared" si="63"/>
        <v>34.66415776355376</v>
      </c>
      <c r="R81" s="561">
        <f t="shared" si="54"/>
        <v>261.71052631578948</v>
      </c>
      <c r="S81" s="564">
        <f t="shared" si="55"/>
        <v>9071.9749725932143</v>
      </c>
      <c r="T81" s="555">
        <f t="shared" si="56"/>
        <v>7.6097460218204285</v>
      </c>
      <c r="U81" s="559">
        <f t="shared" si="57"/>
        <v>405.42115030277023</v>
      </c>
      <c r="V81" s="558">
        <f t="shared" si="58"/>
        <v>3085.151985678368</v>
      </c>
      <c r="W81" s="555">
        <f t="shared" si="59"/>
        <v>5.1134860902411443</v>
      </c>
      <c r="X81" s="559">
        <f t="shared" si="60"/>
        <v>37.9060089869281</v>
      </c>
      <c r="Y81" s="558">
        <f t="shared" si="61"/>
        <v>193.83184969121265</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52">
        <f t="shared" si="62"/>
        <v>27534.546243555465</v>
      </c>
      <c r="I82" s="553">
        <f>ITECountywide!$B$9*E82</f>
        <v>40.946194055033907</v>
      </c>
      <c r="J82" s="562">
        <f t="shared" si="50"/>
        <v>1.67</v>
      </c>
      <c r="K82" s="416">
        <f t="shared" si="51"/>
        <v>0.64373267284932234</v>
      </c>
      <c r="L82" s="554">
        <f>Passby_Length_Adj!H77</f>
        <v>1.3209364175632392</v>
      </c>
      <c r="M82" s="554">
        <f>Passby_Length_Adj!J77</f>
        <v>1</v>
      </c>
      <c r="N82" s="416">
        <v>0.5</v>
      </c>
      <c r="O82" s="546">
        <f t="shared" si="52"/>
        <v>0.6604682087816196</v>
      </c>
      <c r="P82" s="555">
        <f t="shared" si="53"/>
        <v>129.05486306965358</v>
      </c>
      <c r="Q82" s="556">
        <f t="shared" si="63"/>
        <v>77.27836111955304</v>
      </c>
      <c r="R82" s="561">
        <f t="shared" si="54"/>
        <v>261.71052631578948</v>
      </c>
      <c r="S82" s="564">
        <f t="shared" si="55"/>
        <v>20224.560561419868</v>
      </c>
      <c r="T82" s="555">
        <f t="shared" si="56"/>
        <v>16.964748000328527</v>
      </c>
      <c r="U82" s="559">
        <f t="shared" si="57"/>
        <v>405.42115030277023</v>
      </c>
      <c r="V82" s="558">
        <f t="shared" si="58"/>
        <v>6877.8676488898127</v>
      </c>
      <c r="W82" s="555">
        <f t="shared" si="59"/>
        <v>11.399723811462213</v>
      </c>
      <c r="X82" s="559">
        <f t="shared" si="60"/>
        <v>37.9060089869281</v>
      </c>
      <c r="Y82" s="558">
        <f t="shared" si="61"/>
        <v>432.11803324578489</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52">
        <f t="shared" si="62"/>
        <v>3978.5703516454873</v>
      </c>
      <c r="I83" s="553">
        <f>ITECountywide!$B$9*E83</f>
        <v>20.319027682909702</v>
      </c>
      <c r="J83" s="562">
        <f t="shared" si="50"/>
        <v>1.67</v>
      </c>
      <c r="K83" s="416">
        <f t="shared" si="51"/>
        <v>0.64373267284932234</v>
      </c>
      <c r="L83" s="554">
        <f>Passby_Length_Adj!H78</f>
        <v>0.3846286671810874</v>
      </c>
      <c r="M83" s="554">
        <f>Passby_Length_Adj!J78</f>
        <v>1</v>
      </c>
      <c r="N83" s="416">
        <v>0.5</v>
      </c>
      <c r="O83" s="546">
        <f t="shared" si="52"/>
        <v>0.1923143335905437</v>
      </c>
      <c r="P83" s="555">
        <f t="shared" si="53"/>
        <v>18.647623512763246</v>
      </c>
      <c r="Q83" s="556">
        <f t="shared" si="63"/>
        <v>11.16624162440913</v>
      </c>
      <c r="R83" s="561">
        <f t="shared" si="54"/>
        <v>261.71052631578948</v>
      </c>
      <c r="S83" s="564">
        <f t="shared" si="55"/>
        <v>2922.3229724933894</v>
      </c>
      <c r="T83" s="555">
        <f t="shared" si="56"/>
        <v>2.4513003708220409</v>
      </c>
      <c r="U83" s="559">
        <f t="shared" si="57"/>
        <v>405.42115030277023</v>
      </c>
      <c r="V83" s="558">
        <f t="shared" si="58"/>
        <v>993.80901607627902</v>
      </c>
      <c r="W83" s="555">
        <f t="shared" si="59"/>
        <v>1.6471890537817024</v>
      </c>
      <c r="X83" s="559">
        <f t="shared" si="60"/>
        <v>37.9060089869281</v>
      </c>
      <c r="Y83" s="558">
        <f t="shared" si="61"/>
        <v>62.438363075818806</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52">
        <f t="shared" si="62"/>
        <v>41417.613163170201</v>
      </c>
      <c r="I84" s="553">
        <f>ITECountywide!$B$9*E84</f>
        <v>61.591486232406027</v>
      </c>
      <c r="J84" s="562">
        <f t="shared" si="50"/>
        <v>1.67</v>
      </c>
      <c r="K84" s="416">
        <f t="shared" si="51"/>
        <v>0.64373267284932234</v>
      </c>
      <c r="L84" s="554">
        <f>Passby_Length_Adj!H79</f>
        <v>1.3209364175632392</v>
      </c>
      <c r="M84" s="554">
        <f>Passby_Length_Adj!J79</f>
        <v>1</v>
      </c>
      <c r="N84" s="416">
        <v>0.5</v>
      </c>
      <c r="O84" s="546">
        <f t="shared" si="52"/>
        <v>0.6604682087816196</v>
      </c>
      <c r="P84" s="555">
        <f t="shared" si="53"/>
        <v>194.1250220056144</v>
      </c>
      <c r="Q84" s="556">
        <f t="shared" si="63"/>
        <v>116.24252814707449</v>
      </c>
      <c r="R84" s="561">
        <f t="shared" si="54"/>
        <v>261.71052631578948</v>
      </c>
      <c r="S84" s="564">
        <f t="shared" si="55"/>
        <v>30421.893221648839</v>
      </c>
      <c r="T84" s="555">
        <f t="shared" si="56"/>
        <v>25.518465562247158</v>
      </c>
      <c r="U84" s="559">
        <f t="shared" si="57"/>
        <v>405.42115030277023</v>
      </c>
      <c r="V84" s="558">
        <f t="shared" si="58"/>
        <v>10345.725662207871</v>
      </c>
      <c r="W84" s="555">
        <f t="shared" si="59"/>
        <v>17.147526122774945</v>
      </c>
      <c r="X84" s="559">
        <f t="shared" si="60"/>
        <v>37.9060089869281</v>
      </c>
      <c r="Y84" s="558">
        <f t="shared" si="61"/>
        <v>649.99427931349146</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52">
        <f t="shared" si="62"/>
        <v>13493.024653216426</v>
      </c>
      <c r="I85" s="553">
        <f>ITECountywide!$B$9*E85</f>
        <v>20.065266409438927</v>
      </c>
      <c r="J85" s="562">
        <f t="shared" si="50"/>
        <v>1.67</v>
      </c>
      <c r="K85" s="416">
        <f t="shared" si="51"/>
        <v>0.64373267284932234</v>
      </c>
      <c r="L85" s="554">
        <f>Passby_Length_Adj!H80</f>
        <v>1.3209364175632392</v>
      </c>
      <c r="M85" s="554">
        <f>Passby_Length_Adj!J80</f>
        <v>1</v>
      </c>
      <c r="N85" s="416">
        <v>0.5</v>
      </c>
      <c r="O85" s="546">
        <f t="shared" si="52"/>
        <v>0.6604682087816196</v>
      </c>
      <c r="P85" s="555">
        <f t="shared" si="53"/>
        <v>63.242024532141002</v>
      </c>
      <c r="Q85" s="556">
        <f t="shared" si="63"/>
        <v>37.869475767749101</v>
      </c>
      <c r="R85" s="561">
        <f t="shared" si="54"/>
        <v>261.71052631578948</v>
      </c>
      <c r="S85" s="564">
        <f t="shared" si="55"/>
        <v>9910.8404344806531</v>
      </c>
      <c r="T85" s="555">
        <f t="shared" si="56"/>
        <v>8.3134024065354932</v>
      </c>
      <c r="U85" s="559">
        <f t="shared" si="57"/>
        <v>405.42115030277023</v>
      </c>
      <c r="V85" s="558">
        <f t="shared" si="58"/>
        <v>3370.429166587438</v>
      </c>
      <c r="W85" s="555">
        <f t="shared" si="59"/>
        <v>5.5863188398798904</v>
      </c>
      <c r="X85" s="559">
        <f t="shared" si="60"/>
        <v>37.9060089869281</v>
      </c>
      <c r="Y85" s="558">
        <f t="shared" si="61"/>
        <v>211.75505214833288</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52">
        <f t="shared" si="62"/>
        <v>13724.612248890422</v>
      </c>
      <c r="I86" s="553">
        <f>ITECountywide!$B$9*E86</f>
        <v>20.40965670914926</v>
      </c>
      <c r="J86" s="562">
        <f t="shared" si="50"/>
        <v>1.67</v>
      </c>
      <c r="K86" s="416">
        <f t="shared" si="51"/>
        <v>0.64373267284932234</v>
      </c>
      <c r="L86" s="554">
        <f>Passby_Length_Adj!H81</f>
        <v>1.3209364175632392</v>
      </c>
      <c r="M86" s="554">
        <f>Passby_Length_Adj!J81</f>
        <v>1</v>
      </c>
      <c r="N86" s="416">
        <v>0.5</v>
      </c>
      <c r="O86" s="546">
        <f t="shared" si="52"/>
        <v>0.6604682087816196</v>
      </c>
      <c r="P86" s="555">
        <f t="shared" si="53"/>
        <v>64.327479334409006</v>
      </c>
      <c r="Q86" s="556">
        <f t="shared" si="63"/>
        <v>38.519448703238929</v>
      </c>
      <c r="R86" s="561">
        <f t="shared" si="54"/>
        <v>261.71052631578948</v>
      </c>
      <c r="S86" s="564">
        <f t="shared" si="55"/>
        <v>10080.945193518715</v>
      </c>
      <c r="T86" s="555">
        <f t="shared" si="56"/>
        <v>8.4560895300442329</v>
      </c>
      <c r="U86" s="559">
        <f t="shared" si="57"/>
        <v>405.42115030277023</v>
      </c>
      <c r="V86" s="558">
        <f t="shared" si="58"/>
        <v>3428.2775443337446</v>
      </c>
      <c r="W86" s="555">
        <f t="shared" si="59"/>
        <v>5.682199651043141</v>
      </c>
      <c r="X86" s="559">
        <f t="shared" si="60"/>
        <v>37.9060089869281</v>
      </c>
      <c r="Y86" s="558">
        <f t="shared" si="61"/>
        <v>215.38951103796103</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52">
        <f t="shared" si="62"/>
        <v>15162.893106234173</v>
      </c>
      <c r="I87" s="553">
        <f>ITECountywide!$B$9*E87</f>
        <v>22.548501728402911</v>
      </c>
      <c r="J87" s="562">
        <f t="shared" si="50"/>
        <v>1.67</v>
      </c>
      <c r="K87" s="416">
        <f t="shared" si="51"/>
        <v>0.64373267284932234</v>
      </c>
      <c r="L87" s="554">
        <f>Passby_Length_Adj!H82</f>
        <v>1.3209364175632392</v>
      </c>
      <c r="M87" s="554">
        <f>Passby_Length_Adj!J82</f>
        <v>1</v>
      </c>
      <c r="N87" s="416">
        <v>0.5</v>
      </c>
      <c r="O87" s="546">
        <f t="shared" si="52"/>
        <v>0.6604682087816196</v>
      </c>
      <c r="P87" s="555">
        <f t="shared" si="53"/>
        <v>71.068724948494491</v>
      </c>
      <c r="Q87" s="556">
        <f t="shared" si="63"/>
        <v>42.556122723649395</v>
      </c>
      <c r="R87" s="561">
        <f t="shared" si="54"/>
        <v>261.71052631578948</v>
      </c>
      <c r="S87" s="564">
        <f t="shared" si="55"/>
        <v>11137.385275965611</v>
      </c>
      <c r="T87" s="555">
        <f t="shared" si="56"/>
        <v>9.3422516655195587</v>
      </c>
      <c r="U87" s="559">
        <f t="shared" si="57"/>
        <v>405.42115030277023</v>
      </c>
      <c r="V87" s="558">
        <f t="shared" si="58"/>
        <v>3787.5464166529105</v>
      </c>
      <c r="W87" s="555">
        <f t="shared" si="59"/>
        <v>6.2776699519517454</v>
      </c>
      <c r="X87" s="559">
        <f t="shared" si="60"/>
        <v>37.9060089869281</v>
      </c>
      <c r="Y87" s="558">
        <f t="shared" si="61"/>
        <v>237.96141361565137</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52">
        <f t="shared" si="62"/>
        <v>7811.2499054147911</v>
      </c>
      <c r="I89" s="553">
        <f>ITECountywide!$B$9*E89</f>
        <v>32.717078472481724</v>
      </c>
      <c r="J89" s="562">
        <f t="shared" ref="J89:J126" si="64">IF(F89="Prod",$M$3,$M$4)</f>
        <v>1.67</v>
      </c>
      <c r="K89" s="416">
        <f t="shared" ref="K89:K126" si="65">IF(F89="Prod",$F$4,$F$5)</f>
        <v>0.64373267284932234</v>
      </c>
      <c r="L89" s="554">
        <f>Passby_Length_Adj!H84</f>
        <v>0.4689899613519371</v>
      </c>
      <c r="M89" s="554">
        <f>Passby_Length_Adj!J84</f>
        <v>1</v>
      </c>
      <c r="N89" s="416">
        <v>0.5</v>
      </c>
      <c r="O89" s="546">
        <f t="shared" ref="O89:O126" si="66">L89*M89*N89</f>
        <v>0.23449498067596855</v>
      </c>
      <c r="P89" s="555">
        <f t="shared" ref="P89:P126" si="67">IF($F89="Prod",$I89*$O89*$F$4*$F$6,$I89*O89*$F$5*$F$7)</f>
        <v>36.611454498985765</v>
      </c>
      <c r="Q89" s="556">
        <f t="shared" si="63"/>
        <v>21.923026646099263</v>
      </c>
      <c r="R89" s="561">
        <f t="shared" ref="R89:R126" si="68">+$Q$4</f>
        <v>261.71052631578948</v>
      </c>
      <c r="S89" s="564">
        <f t="shared" ref="S89:S126" si="69">+Q89*R89</f>
        <v>5737.4868419857148</v>
      </c>
      <c r="T89" s="555">
        <f t="shared" ref="T89:T126" si="70">IF($F89="Prod",$I89*$O89*$G$4*$G$6,$I89*$O89*$G$5*$G$7)</f>
        <v>4.8127136376531956</v>
      </c>
      <c r="U89" s="559">
        <f t="shared" ref="U89:U126" si="71">+$R$4</f>
        <v>405.42115030277023</v>
      </c>
      <c r="V89" s="558">
        <f t="shared" ref="V89:V126" si="72">+T89*U89</f>
        <v>1951.1758990551882</v>
      </c>
      <c r="W89" s="555">
        <f t="shared" ref="W89:W126" si="73">IF($F89="Prod",$I89*$O89*$J$4*$J$6,$I89*$O89*$J$5*$J$7)</f>
        <v>3.2339770830572681</v>
      </c>
      <c r="X89" s="559">
        <f t="shared" ref="X89:X126" si="74">+$S$4</f>
        <v>37.9060089869281</v>
      </c>
      <c r="Y89" s="558">
        <f t="shared" ref="Y89:Y126" si="75">+W89*X89</f>
        <v>122.58716437388833</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52">
        <f t="shared" si="62"/>
        <v>21940.740731552902</v>
      </c>
      <c r="I90" s="553">
        <f>ITECountywide!$B$9*E90</f>
        <v>91.897832606915415</v>
      </c>
      <c r="J90" s="562">
        <f t="shared" si="64"/>
        <v>1.67</v>
      </c>
      <c r="K90" s="416">
        <f t="shared" si="65"/>
        <v>0.64373267284932234</v>
      </c>
      <c r="L90" s="554">
        <f>Passby_Length_Adj!H85</f>
        <v>0.4689899613519371</v>
      </c>
      <c r="M90" s="554">
        <f>Passby_Length_Adj!J85</f>
        <v>1</v>
      </c>
      <c r="N90" s="416">
        <v>0.5</v>
      </c>
      <c r="O90" s="546">
        <f t="shared" si="66"/>
        <v>0.23449498067596855</v>
      </c>
      <c r="P90" s="555">
        <f t="shared" si="67"/>
        <v>102.8366062658492</v>
      </c>
      <c r="Q90" s="556">
        <f t="shared" si="63"/>
        <v>61.57880614721509</v>
      </c>
      <c r="R90" s="561">
        <f t="shared" si="68"/>
        <v>261.71052631578948</v>
      </c>
      <c r="S90" s="564">
        <f t="shared" si="69"/>
        <v>16115.821766685634</v>
      </c>
      <c r="T90" s="555">
        <f t="shared" si="70"/>
        <v>13.51825935894831</v>
      </c>
      <c r="U90" s="559">
        <f t="shared" si="71"/>
        <v>405.42115030277023</v>
      </c>
      <c r="V90" s="558">
        <f t="shared" si="72"/>
        <v>5480.5882593960132</v>
      </c>
      <c r="W90" s="555">
        <f t="shared" si="73"/>
        <v>9.0838026654295536</v>
      </c>
      <c r="X90" s="559">
        <f t="shared" si="74"/>
        <v>37.9060089869281</v>
      </c>
      <c r="Y90" s="558">
        <f t="shared" si="75"/>
        <v>344.33070547125408</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52">
        <f t="shared" si="62"/>
        <v>3955.3919188637783</v>
      </c>
      <c r="I91" s="553">
        <f>ITECountywide!$B$9*E91</f>
        <v>16.566985996591853</v>
      </c>
      <c r="J91" s="562">
        <f t="shared" si="64"/>
        <v>1.67</v>
      </c>
      <c r="K91" s="416">
        <f t="shared" si="65"/>
        <v>0.64373267284932234</v>
      </c>
      <c r="L91" s="554">
        <f>Passby_Length_Adj!H86</f>
        <v>0.4689899613519371</v>
      </c>
      <c r="M91" s="554">
        <f>Passby_Length_Adj!J86</f>
        <v>1</v>
      </c>
      <c r="N91" s="416">
        <v>0.5</v>
      </c>
      <c r="O91" s="546">
        <f t="shared" si="66"/>
        <v>0.23449498067596855</v>
      </c>
      <c r="P91" s="555">
        <f t="shared" si="67"/>
        <v>18.538985823863154</v>
      </c>
      <c r="Q91" s="556">
        <f t="shared" si="63"/>
        <v>11.101189116085722</v>
      </c>
      <c r="R91" s="561">
        <f t="shared" si="68"/>
        <v>261.71052631578948</v>
      </c>
      <c r="S91" s="564">
        <f t="shared" si="69"/>
        <v>2905.298046301908</v>
      </c>
      <c r="T91" s="555">
        <f t="shared" si="70"/>
        <v>2.4370195372936405</v>
      </c>
      <c r="U91" s="559">
        <f t="shared" si="71"/>
        <v>405.42115030277023</v>
      </c>
      <c r="V91" s="558">
        <f t="shared" si="72"/>
        <v>988.01926411991258</v>
      </c>
      <c r="W91" s="555">
        <f t="shared" si="73"/>
        <v>1.6375928276533755</v>
      </c>
      <c r="X91" s="559">
        <f t="shared" si="74"/>
        <v>37.9060089869281</v>
      </c>
      <c r="Y91" s="558">
        <f t="shared" si="75"/>
        <v>62.074608441957849</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52">
        <f t="shared" si="62"/>
        <v>29470.699089127276</v>
      </c>
      <c r="I92" s="553">
        <f>ITECountywide!$B$9*E92</f>
        <v>123.43673373828283</v>
      </c>
      <c r="J92" s="562">
        <f t="shared" si="64"/>
        <v>1.67</v>
      </c>
      <c r="K92" s="416">
        <f t="shared" si="65"/>
        <v>0.64373267284932234</v>
      </c>
      <c r="L92" s="554">
        <f>Passby_Length_Adj!H87</f>
        <v>0.4689899613519371</v>
      </c>
      <c r="M92" s="554">
        <f>Passby_Length_Adj!J87</f>
        <v>1</v>
      </c>
      <c r="N92" s="416">
        <v>0.5</v>
      </c>
      <c r="O92" s="546">
        <f t="shared" si="66"/>
        <v>0.23449498067596855</v>
      </c>
      <c r="P92" s="555">
        <f t="shared" si="67"/>
        <v>138.12964273578564</v>
      </c>
      <c r="Q92" s="556">
        <f t="shared" si="63"/>
        <v>82.712360919632118</v>
      </c>
      <c r="R92" s="561">
        <f t="shared" si="68"/>
        <v>261.71052631578948</v>
      </c>
      <c r="S92" s="564">
        <f t="shared" si="69"/>
        <v>21646.695509098459</v>
      </c>
      <c r="T92" s="555">
        <f t="shared" si="70"/>
        <v>18.157661979179093</v>
      </c>
      <c r="U92" s="559">
        <f t="shared" si="71"/>
        <v>405.42115030277023</v>
      </c>
      <c r="V92" s="558">
        <f t="shared" si="72"/>
        <v>7361.5002064076634</v>
      </c>
      <c r="W92" s="555">
        <f t="shared" si="73"/>
        <v>12.201320739955674</v>
      </c>
      <c r="X92" s="559">
        <f t="shared" si="74"/>
        <v>37.9060089869281</v>
      </c>
      <c r="Y92" s="558">
        <f t="shared" si="75"/>
        <v>462.50337362115204</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52">
        <f t="shared" si="62"/>
        <v>16336.547586116805</v>
      </c>
      <c r="I93" s="553">
        <f>ITECountywide!$B$9*E93</f>
        <v>68.42491481086897</v>
      </c>
      <c r="J93" s="562">
        <f t="shared" si="64"/>
        <v>1.67</v>
      </c>
      <c r="K93" s="416">
        <f t="shared" si="65"/>
        <v>0.64373267284932234</v>
      </c>
      <c r="L93" s="554">
        <f>Passby_Length_Adj!H88</f>
        <v>0.4689899613519371</v>
      </c>
      <c r="M93" s="554">
        <f>Passby_Length_Adj!J88</f>
        <v>1</v>
      </c>
      <c r="N93" s="416">
        <v>0.5</v>
      </c>
      <c r="O93" s="546">
        <f t="shared" si="66"/>
        <v>0.23449498067596855</v>
      </c>
      <c r="P93" s="555">
        <f t="shared" si="67"/>
        <v>76.569662456327563</v>
      </c>
      <c r="Q93" s="556">
        <f t="shared" si="63"/>
        <v>45.850097279238064</v>
      </c>
      <c r="R93" s="561">
        <f t="shared" si="68"/>
        <v>261.71052631578948</v>
      </c>
      <c r="S93" s="564">
        <f t="shared" si="69"/>
        <v>11999.45309057954</v>
      </c>
      <c r="T93" s="555">
        <f t="shared" si="70"/>
        <v>10.065370627224826</v>
      </c>
      <c r="U93" s="559">
        <f t="shared" si="71"/>
        <v>405.42115030277023</v>
      </c>
      <c r="V93" s="558">
        <f t="shared" si="72"/>
        <v>4080.7141379132049</v>
      </c>
      <c r="W93" s="555">
        <f t="shared" si="73"/>
        <v>6.7635808800782193</v>
      </c>
      <c r="X93" s="559">
        <f t="shared" si="74"/>
        <v>37.9060089869281</v>
      </c>
      <c r="Y93" s="558">
        <f t="shared" si="75"/>
        <v>256.38035762406003</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52">
        <f t="shared" si="62"/>
        <v>15857.27962693118</v>
      </c>
      <c r="I94" s="553">
        <f>ITECountywide!$B$9*E94</f>
        <v>284.21511603055654</v>
      </c>
      <c r="J94" s="562">
        <f t="shared" si="64"/>
        <v>1.67</v>
      </c>
      <c r="K94" s="416">
        <f t="shared" si="65"/>
        <v>0.64373267284932234</v>
      </c>
      <c r="L94" s="554">
        <f>Passby_Length_Adj!H89</f>
        <v>0.3846286671810874</v>
      </c>
      <c r="M94" s="554">
        <f>Passby_Length_Adj!J89</f>
        <v>0.28494260634706281</v>
      </c>
      <c r="N94" s="416">
        <v>0.5</v>
      </c>
      <c r="O94" s="546">
        <f t="shared" si="66"/>
        <v>5.4798547451188014E-2</v>
      </c>
      <c r="P94" s="555">
        <f t="shared" si="67"/>
        <v>74.323325788954662</v>
      </c>
      <c r="Q94" s="556">
        <f t="shared" si="63"/>
        <v>44.504985502368065</v>
      </c>
      <c r="R94" s="561">
        <f t="shared" si="68"/>
        <v>261.71052631578948</v>
      </c>
      <c r="S94" s="564">
        <f t="shared" si="69"/>
        <v>11647.423179501327</v>
      </c>
      <c r="T94" s="555">
        <f t="shared" si="70"/>
        <v>9.7700812086051574</v>
      </c>
      <c r="U94" s="559">
        <f t="shared" si="71"/>
        <v>405.42115030277023</v>
      </c>
      <c r="V94" s="558">
        <f t="shared" si="72"/>
        <v>3960.9975621441827</v>
      </c>
      <c r="W94" s="555">
        <f t="shared" si="73"/>
        <v>6.5651566054207766</v>
      </c>
      <c r="X94" s="559">
        <f t="shared" si="74"/>
        <v>37.9060089869281</v>
      </c>
      <c r="Y94" s="558">
        <f t="shared" si="75"/>
        <v>248.85888528567034</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52">
        <f t="shared" si="62"/>
        <v>8463.9144291315297</v>
      </c>
      <c r="I95" s="553">
        <f>ITECountywide!$B$9*E95</f>
        <v>160.19124330117839</v>
      </c>
      <c r="J95" s="562">
        <f t="shared" si="64"/>
        <v>1.67</v>
      </c>
      <c r="K95" s="416">
        <f t="shared" si="65"/>
        <v>0.64373267284932234</v>
      </c>
      <c r="L95" s="554">
        <f>Passby_Length_Adj!H90</f>
        <v>0.3846286671810874</v>
      </c>
      <c r="M95" s="554">
        <f>Passby_Length_Adj!J90</f>
        <v>0.26984126984126988</v>
      </c>
      <c r="N95" s="416">
        <v>0.5</v>
      </c>
      <c r="O95" s="546">
        <f t="shared" si="66"/>
        <v>5.1894343984749895E-2</v>
      </c>
      <c r="P95" s="555">
        <f t="shared" si="67"/>
        <v>39.670503665572213</v>
      </c>
      <c r="Q95" s="556">
        <f t="shared" si="63"/>
        <v>23.754792614115097</v>
      </c>
      <c r="R95" s="561">
        <f t="shared" si="68"/>
        <v>261.71052631578948</v>
      </c>
      <c r="S95" s="564">
        <f t="shared" si="69"/>
        <v>6216.8792775624906</v>
      </c>
      <c r="T95" s="555">
        <f t="shared" si="70"/>
        <v>5.2148371764131785</v>
      </c>
      <c r="U95" s="559">
        <f t="shared" si="71"/>
        <v>405.42115030277023</v>
      </c>
      <c r="V95" s="558">
        <f t="shared" si="72"/>
        <v>2114.2052867030811</v>
      </c>
      <c r="W95" s="555">
        <f t="shared" si="73"/>
        <v>3.5041901908418835</v>
      </c>
      <c r="X95" s="559">
        <f t="shared" si="74"/>
        <v>37.9060089869281</v>
      </c>
      <c r="Y95" s="558">
        <f t="shared" si="75"/>
        <v>132.82986486595775</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647">
        <f t="shared" si="62"/>
        <v>6312.9225494338752</v>
      </c>
      <c r="I96" s="553">
        <f>ITECountywide!$B$9*E96</f>
        <v>119.48075804939616</v>
      </c>
      <c r="J96" s="562">
        <f t="shared" si="64"/>
        <v>1.67</v>
      </c>
      <c r="K96" s="416">
        <f t="shared" si="65"/>
        <v>0.64373267284932234</v>
      </c>
      <c r="L96" s="554">
        <f>Passby_Length_Adj!H91</f>
        <v>0.3846286671810874</v>
      </c>
      <c r="M96" s="554">
        <f>Passby_Length_Adj!J91</f>
        <v>0.26984126984126988</v>
      </c>
      <c r="N96" s="416">
        <v>0.5</v>
      </c>
      <c r="O96" s="546">
        <f t="shared" si="66"/>
        <v>5.1894343984749895E-2</v>
      </c>
      <c r="P96" s="555">
        <f t="shared" si="67"/>
        <v>29.588769975724695</v>
      </c>
      <c r="Q96" s="556">
        <f t="shared" si="63"/>
        <v>17.717826332769278</v>
      </c>
      <c r="R96" s="561">
        <f t="shared" si="68"/>
        <v>261.71052631578948</v>
      </c>
      <c r="S96" s="564">
        <f t="shared" si="69"/>
        <v>4636.941654720802</v>
      </c>
      <c r="T96" s="555">
        <f t="shared" si="70"/>
        <v>3.8895552971679557</v>
      </c>
      <c r="U96" s="559">
        <f t="shared" si="71"/>
        <v>405.42115030277023</v>
      </c>
      <c r="V96" s="558">
        <f t="shared" si="72"/>
        <v>1576.907982744066</v>
      </c>
      <c r="W96" s="555">
        <f t="shared" si="73"/>
        <v>2.6136466121551511</v>
      </c>
      <c r="X96" s="559">
        <f t="shared" si="74"/>
        <v>37.9060089869281</v>
      </c>
      <c r="Y96" s="558">
        <f t="shared" si="75"/>
        <v>99.072911969007336</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52">
        <f t="shared" si="62"/>
        <v>22851.482874241199</v>
      </c>
      <c r="I97" s="553">
        <f>ITECountywide!$B$9*E97</f>
        <v>95.712436224945051</v>
      </c>
      <c r="J97" s="562">
        <f t="shared" si="64"/>
        <v>1.67</v>
      </c>
      <c r="K97" s="416">
        <f t="shared" si="65"/>
        <v>0.64373267284932234</v>
      </c>
      <c r="L97" s="554">
        <f>Passby_Length_Adj!H92</f>
        <v>0.4689899613519371</v>
      </c>
      <c r="M97" s="554">
        <f>Passby_Length_Adj!J92</f>
        <v>1</v>
      </c>
      <c r="N97" s="416">
        <v>0.5</v>
      </c>
      <c r="O97" s="546">
        <f t="shared" si="66"/>
        <v>0.23449498067596855</v>
      </c>
      <c r="P97" s="555">
        <f t="shared" si="67"/>
        <v>107.10526940185095</v>
      </c>
      <c r="Q97" s="556">
        <f t="shared" si="63"/>
        <v>64.134891857395786</v>
      </c>
      <c r="R97" s="561">
        <f t="shared" si="68"/>
        <v>261.71052631578948</v>
      </c>
      <c r="S97" s="564">
        <f t="shared" si="69"/>
        <v>16784.776303205294</v>
      </c>
      <c r="T97" s="555">
        <f t="shared" si="70"/>
        <v>14.079391211542479</v>
      </c>
      <c r="U97" s="559">
        <f t="shared" si="71"/>
        <v>405.42115030277023</v>
      </c>
      <c r="V97" s="558">
        <f t="shared" si="72"/>
        <v>5708.0829805462654</v>
      </c>
      <c r="W97" s="555">
        <f t="shared" si="73"/>
        <v>9.4608638596933172</v>
      </c>
      <c r="X97" s="559">
        <f t="shared" si="74"/>
        <v>37.9060089869281</v>
      </c>
      <c r="Y97" s="558">
        <f t="shared" si="75"/>
        <v>358.62359048963816</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52">
        <f t="shared" si="62"/>
        <v>19405.408418162799</v>
      </c>
      <c r="I98" s="553">
        <f>ITECountywide!$B$9*E98</f>
        <v>81.278704137667205</v>
      </c>
      <c r="J98" s="562">
        <f t="shared" si="64"/>
        <v>1.67</v>
      </c>
      <c r="K98" s="416">
        <f t="shared" si="65"/>
        <v>0.64373267284932234</v>
      </c>
      <c r="L98" s="554">
        <f>Passby_Length_Adj!H93</f>
        <v>0.4689899613519371</v>
      </c>
      <c r="M98" s="554">
        <f>Passby_Length_Adj!J93</f>
        <v>1</v>
      </c>
      <c r="N98" s="416">
        <v>0.5</v>
      </c>
      <c r="O98" s="546">
        <f t="shared" si="66"/>
        <v>0.23449498067596855</v>
      </c>
      <c r="P98" s="555">
        <f t="shared" si="67"/>
        <v>90.953462754188493</v>
      </c>
      <c r="Q98" s="556">
        <f t="shared" si="63"/>
        <v>54.463151349813472</v>
      </c>
      <c r="R98" s="561">
        <f t="shared" si="68"/>
        <v>261.71052631578948</v>
      </c>
      <c r="S98" s="564">
        <f t="shared" si="69"/>
        <v>14253.580004576184</v>
      </c>
      <c r="T98" s="555">
        <f t="shared" si="70"/>
        <v>11.956175371316956</v>
      </c>
      <c r="U98" s="559">
        <f t="shared" si="71"/>
        <v>405.42115030277023</v>
      </c>
      <c r="V98" s="558">
        <f t="shared" si="72"/>
        <v>4847.2863722609709</v>
      </c>
      <c r="W98" s="555">
        <f t="shared" si="73"/>
        <v>8.0341362613686069</v>
      </c>
      <c r="X98" s="559">
        <f t="shared" si="74"/>
        <v>37.9060089869281</v>
      </c>
      <c r="Y98" s="558">
        <f t="shared" si="75"/>
        <v>304.54204132564337</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52">
        <f t="shared" si="62"/>
        <v>17424.559837724741</v>
      </c>
      <c r="I99" s="553">
        <f>ITECountywide!$B$9*E99</f>
        <v>72.982006524219813</v>
      </c>
      <c r="J99" s="562">
        <f t="shared" si="64"/>
        <v>1.67</v>
      </c>
      <c r="K99" s="416">
        <f t="shared" si="65"/>
        <v>0.64373267284932234</v>
      </c>
      <c r="L99" s="554">
        <f>Passby_Length_Adj!H94</f>
        <v>0.4689899613519371</v>
      </c>
      <c r="M99" s="554">
        <f>Passby_Length_Adj!J94</f>
        <v>1</v>
      </c>
      <c r="N99" s="416">
        <v>0.5</v>
      </c>
      <c r="O99" s="546">
        <f t="shared" si="66"/>
        <v>0.23449498067596855</v>
      </c>
      <c r="P99" s="555">
        <f t="shared" si="67"/>
        <v>81.669193456669788</v>
      </c>
      <c r="Q99" s="556">
        <f t="shared" si="63"/>
        <v>48.903708656688501</v>
      </c>
      <c r="R99" s="561">
        <f t="shared" si="68"/>
        <v>261.71052631578948</v>
      </c>
      <c r="S99" s="564">
        <f t="shared" si="69"/>
        <v>12798.615331335977</v>
      </c>
      <c r="T99" s="555">
        <f t="shared" si="70"/>
        <v>10.735723191110596</v>
      </c>
      <c r="U99" s="559">
        <f t="shared" si="71"/>
        <v>405.42115030277023</v>
      </c>
      <c r="V99" s="558">
        <f t="shared" si="72"/>
        <v>4352.4892454721848</v>
      </c>
      <c r="W99" s="555">
        <f t="shared" si="73"/>
        <v>7.2140346141658309</v>
      </c>
      <c r="X99" s="559">
        <f t="shared" si="74"/>
        <v>37.9060089869281</v>
      </c>
      <c r="Y99" s="558">
        <f t="shared" si="75"/>
        <v>273.45526091658036</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52">
        <f t="shared" si="62"/>
        <v>16078.131855946211</v>
      </c>
      <c r="I100" s="553">
        <f>ITECountywide!$B$9*E100</f>
        <v>67.342551831206222</v>
      </c>
      <c r="J100" s="562">
        <f t="shared" si="64"/>
        <v>1.67</v>
      </c>
      <c r="K100" s="416">
        <f t="shared" si="65"/>
        <v>0.64373267284932234</v>
      </c>
      <c r="L100" s="554">
        <f>Passby_Length_Adj!H95</f>
        <v>0.4689899613519371</v>
      </c>
      <c r="M100" s="554">
        <f>Passby_Length_Adj!J95</f>
        <v>1</v>
      </c>
      <c r="N100" s="416">
        <v>0.5</v>
      </c>
      <c r="O100" s="546">
        <f t="shared" si="66"/>
        <v>0.23449498067596855</v>
      </c>
      <c r="P100" s="555">
        <f t="shared" si="67"/>
        <v>75.3584637542601</v>
      </c>
      <c r="Q100" s="556">
        <f t="shared" si="63"/>
        <v>45.124828595365329</v>
      </c>
      <c r="R100" s="561">
        <f t="shared" si="68"/>
        <v>261.71052631578948</v>
      </c>
      <c r="S100" s="564">
        <f t="shared" si="69"/>
        <v>11809.642641602848</v>
      </c>
      <c r="T100" s="555">
        <f t="shared" si="70"/>
        <v>9.9061539943125947</v>
      </c>
      <c r="U100" s="559">
        <f t="shared" si="71"/>
        <v>405.42115030277023</v>
      </c>
      <c r="V100" s="558">
        <f t="shared" si="72"/>
        <v>4016.1643474505941</v>
      </c>
      <c r="W100" s="555">
        <f t="shared" si="73"/>
        <v>6.6565928103848009</v>
      </c>
      <c r="X100" s="559">
        <f t="shared" si="74"/>
        <v>37.9060089869281</v>
      </c>
      <c r="Y100" s="558">
        <f t="shared" si="75"/>
        <v>252.32486689276723</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52">
        <f t="shared" si="62"/>
        <v>15078.131609672775</v>
      </c>
      <c r="I101" s="553">
        <f>ITECountywide!$B$9*E101</f>
        <v>63.154094551514092</v>
      </c>
      <c r="J101" s="562">
        <f t="shared" si="64"/>
        <v>1.67</v>
      </c>
      <c r="K101" s="416">
        <f t="shared" si="65"/>
        <v>0.64373267284932234</v>
      </c>
      <c r="L101" s="554">
        <f>Passby_Length_Adj!H96</f>
        <v>0.4689899613519371</v>
      </c>
      <c r="M101" s="554">
        <f>Passby_Length_Adj!J96</f>
        <v>1</v>
      </c>
      <c r="N101" s="416">
        <v>0.5</v>
      </c>
      <c r="O101" s="546">
        <f t="shared" si="66"/>
        <v>0.23449498067596855</v>
      </c>
      <c r="P101" s="555">
        <f t="shared" si="67"/>
        <v>70.671446444772258</v>
      </c>
      <c r="Q101" s="556">
        <f t="shared" si="63"/>
        <v>42.318231404055247</v>
      </c>
      <c r="R101" s="561">
        <f t="shared" si="68"/>
        <v>261.71052631578948</v>
      </c>
      <c r="S101" s="564">
        <f t="shared" si="69"/>
        <v>11075.12661350867</v>
      </c>
      <c r="T101" s="555">
        <f t="shared" si="70"/>
        <v>9.2900279093488383</v>
      </c>
      <c r="U101" s="559">
        <f t="shared" si="71"/>
        <v>405.42115030277023</v>
      </c>
      <c r="V101" s="558">
        <f t="shared" si="72"/>
        <v>3766.3738013530456</v>
      </c>
      <c r="W101" s="555">
        <f t="shared" si="73"/>
        <v>6.2425773943297971</v>
      </c>
      <c r="X101" s="559">
        <f t="shared" si="74"/>
        <v>37.9060089869281</v>
      </c>
      <c r="Y101" s="558">
        <f t="shared" si="75"/>
        <v>236.63119481105949</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52">
        <f t="shared" si="62"/>
        <v>13958.290016259209</v>
      </c>
      <c r="I102" s="553">
        <f>ITECountywide!$B$9*E102</f>
        <v>58.463687032601783</v>
      </c>
      <c r="J102" s="562">
        <f t="shared" si="64"/>
        <v>1.67</v>
      </c>
      <c r="K102" s="416">
        <f t="shared" si="65"/>
        <v>0.64373267284932234</v>
      </c>
      <c r="L102" s="554">
        <f>Passby_Length_Adj!H97</f>
        <v>0.4689899613519371</v>
      </c>
      <c r="M102" s="554">
        <f>Passby_Length_Adj!J97</f>
        <v>1</v>
      </c>
      <c r="N102" s="416">
        <v>0.5</v>
      </c>
      <c r="O102" s="546">
        <f t="shared" si="66"/>
        <v>0.23449498067596855</v>
      </c>
      <c r="P102" s="555">
        <f t="shared" si="67"/>
        <v>65.42273080517765</v>
      </c>
      <c r="Q102" s="556">
        <f t="shared" si="63"/>
        <v>39.175287907292009</v>
      </c>
      <c r="R102" s="561">
        <f t="shared" si="68"/>
        <v>261.71052631578948</v>
      </c>
      <c r="S102" s="564">
        <f t="shared" si="69"/>
        <v>10252.585216789976</v>
      </c>
      <c r="T102" s="555">
        <f t="shared" si="70"/>
        <v>8.6000644625390326</v>
      </c>
      <c r="U102" s="559">
        <f t="shared" si="71"/>
        <v>405.42115030277023</v>
      </c>
      <c r="V102" s="558">
        <f t="shared" si="72"/>
        <v>3486.64802708055</v>
      </c>
      <c r="W102" s="555">
        <f t="shared" si="73"/>
        <v>5.7789458252971206</v>
      </c>
      <c r="X102" s="559">
        <f t="shared" si="74"/>
        <v>37.9060089869281</v>
      </c>
      <c r="Y102" s="558">
        <f t="shared" si="75"/>
        <v>219.05677238868327</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52">
        <f t="shared" si="62"/>
        <v>12879.707117712638</v>
      </c>
      <c r="I103" s="553">
        <f>ITECountywide!$B$9*E103</f>
        <v>53.946089751997178</v>
      </c>
      <c r="J103" s="562">
        <f t="shared" si="64"/>
        <v>1.67</v>
      </c>
      <c r="K103" s="416">
        <f t="shared" si="65"/>
        <v>0.64373267284932234</v>
      </c>
      <c r="L103" s="554">
        <f>Passby_Length_Adj!H98</f>
        <v>0.4689899613519371</v>
      </c>
      <c r="M103" s="554">
        <f>Passby_Length_Adj!J98</f>
        <v>1</v>
      </c>
      <c r="N103" s="416">
        <v>0.5</v>
      </c>
      <c r="O103" s="546">
        <f t="shared" si="66"/>
        <v>0.23449498067596855</v>
      </c>
      <c r="P103" s="555">
        <f t="shared" si="67"/>
        <v>60.367395334967135</v>
      </c>
      <c r="Q103" s="556">
        <f t="shared" si="63"/>
        <v>36.148140919142001</v>
      </c>
      <c r="R103" s="561">
        <f t="shared" si="68"/>
        <v>261.71052631578948</v>
      </c>
      <c r="S103" s="564">
        <f t="shared" si="69"/>
        <v>9460.3489852859784</v>
      </c>
      <c r="T103" s="555">
        <f t="shared" si="70"/>
        <v>7.9355215676079389</v>
      </c>
      <c r="U103" s="559">
        <f t="shared" si="71"/>
        <v>405.42115030277023</v>
      </c>
      <c r="V103" s="558">
        <f t="shared" si="72"/>
        <v>3217.228282192053</v>
      </c>
      <c r="W103" s="555">
        <f t="shared" si="73"/>
        <v>5.3323959877789138</v>
      </c>
      <c r="X103" s="559">
        <f t="shared" si="74"/>
        <v>37.9060089869281</v>
      </c>
      <c r="Y103" s="558">
        <f t="shared" si="75"/>
        <v>202.12985023460683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52">
        <f t="shared" si="62"/>
        <v>12078.637042840784</v>
      </c>
      <c r="I104" s="553">
        <f>ITECountywide!$B$9*E104</f>
        <v>50.590842791664826</v>
      </c>
      <c r="J104" s="562">
        <f t="shared" si="64"/>
        <v>1.67</v>
      </c>
      <c r="K104" s="416">
        <f t="shared" si="65"/>
        <v>0.64373267284932234</v>
      </c>
      <c r="L104" s="554">
        <f>Passby_Length_Adj!H99</f>
        <v>0.4689899613519371</v>
      </c>
      <c r="M104" s="554">
        <f>Passby_Length_Adj!J99</f>
        <v>1</v>
      </c>
      <c r="N104" s="416">
        <v>0.5</v>
      </c>
      <c r="O104" s="546">
        <f t="shared" si="66"/>
        <v>0.23449498067596855</v>
      </c>
      <c r="P104" s="555">
        <f t="shared" si="67"/>
        <v>56.612766952595251</v>
      </c>
      <c r="Q104" s="556">
        <f t="shared" si="63"/>
        <v>33.899860450655844</v>
      </c>
      <c r="R104" s="561">
        <f t="shared" si="68"/>
        <v>261.71052631578948</v>
      </c>
      <c r="S104" s="564">
        <f t="shared" si="69"/>
        <v>8871.9503205729579</v>
      </c>
      <c r="T104" s="555">
        <f t="shared" si="70"/>
        <v>7.4419615201462488</v>
      </c>
      <c r="U104" s="559">
        <f t="shared" si="71"/>
        <v>405.42115030277023</v>
      </c>
      <c r="V104" s="558">
        <f t="shared" si="72"/>
        <v>3017.1286000066448</v>
      </c>
      <c r="W104" s="555">
        <f t="shared" si="73"/>
        <v>5.0007407091195137</v>
      </c>
      <c r="X104" s="559">
        <f t="shared" si="74"/>
        <v>37.9060089869281</v>
      </c>
      <c r="Y104" s="558">
        <f t="shared" si="75"/>
        <v>189.5581222611815</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52">
        <f t="shared" si="62"/>
        <v>11449.900631254572</v>
      </c>
      <c r="I105" s="553">
        <f>ITECountywide!$B$9*E105</f>
        <v>47.957407840094127</v>
      </c>
      <c r="J105" s="562">
        <f t="shared" si="64"/>
        <v>1.67</v>
      </c>
      <c r="K105" s="416">
        <f t="shared" si="65"/>
        <v>0.64373267284932234</v>
      </c>
      <c r="L105" s="554">
        <f>Passby_Length_Adj!H100</f>
        <v>0.4689899613519371</v>
      </c>
      <c r="M105" s="554">
        <f>Passby_Length_Adj!J100</f>
        <v>1</v>
      </c>
      <c r="N105" s="416">
        <v>0.5</v>
      </c>
      <c r="O105" s="546">
        <f t="shared" si="66"/>
        <v>0.23449498067596855</v>
      </c>
      <c r="P105" s="555">
        <f t="shared" si="67"/>
        <v>53.665869234128031</v>
      </c>
      <c r="Q105" s="556">
        <f t="shared" si="63"/>
        <v>32.135251038400021</v>
      </c>
      <c r="R105" s="561">
        <f t="shared" si="68"/>
        <v>261.71052631578948</v>
      </c>
      <c r="S105" s="564">
        <f t="shared" si="69"/>
        <v>8410.1334625496893</v>
      </c>
      <c r="T105" s="555">
        <f t="shared" si="70"/>
        <v>7.0545807118030792</v>
      </c>
      <c r="U105" s="559">
        <f t="shared" si="71"/>
        <v>405.42115030277023</v>
      </c>
      <c r="V105" s="558">
        <f t="shared" si="72"/>
        <v>2860.07622708294</v>
      </c>
      <c r="W105" s="555">
        <f t="shared" si="73"/>
        <v>4.7404342061942959</v>
      </c>
      <c r="X105" s="559">
        <f t="shared" si="74"/>
        <v>37.9060089869281</v>
      </c>
      <c r="Y105" s="558">
        <f t="shared" si="75"/>
        <v>179.69094162194236</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52">
        <f t="shared" si="62"/>
        <v>11506.988087810485</v>
      </c>
      <c r="I106" s="553">
        <f>ITECountywide!$B$9*E106</f>
        <v>48.196516154198832</v>
      </c>
      <c r="J106" s="562">
        <f t="shared" si="64"/>
        <v>1.67</v>
      </c>
      <c r="K106" s="416">
        <f t="shared" si="65"/>
        <v>0.64373267284932234</v>
      </c>
      <c r="L106" s="554">
        <f>Passby_Length_Adj!H101</f>
        <v>0.4689899613519371</v>
      </c>
      <c r="M106" s="554">
        <f>Passby_Length_Adj!J101</f>
        <v>1</v>
      </c>
      <c r="N106" s="416">
        <v>0.5</v>
      </c>
      <c r="O106" s="546">
        <f t="shared" si="66"/>
        <v>0.23449498067596855</v>
      </c>
      <c r="P106" s="555">
        <f t="shared" si="67"/>
        <v>53.933439065264899</v>
      </c>
      <c r="Q106" s="556">
        <f t="shared" si="63"/>
        <v>32.295472494170596</v>
      </c>
      <c r="R106" s="561">
        <f t="shared" si="68"/>
        <v>261.71052631578948</v>
      </c>
      <c r="S106" s="564">
        <f t="shared" si="69"/>
        <v>8452.0651040664889</v>
      </c>
      <c r="T106" s="555">
        <f t="shared" si="70"/>
        <v>7.089753774249222</v>
      </c>
      <c r="U106" s="559">
        <f t="shared" si="71"/>
        <v>405.42115030277023</v>
      </c>
      <c r="V106" s="558">
        <f t="shared" si="72"/>
        <v>2874.3361305195263</v>
      </c>
      <c r="W106" s="555">
        <f t="shared" si="73"/>
        <v>4.7640692874511217</v>
      </c>
      <c r="X106" s="559">
        <f t="shared" si="74"/>
        <v>37.9060089869281</v>
      </c>
      <c r="Y106" s="558">
        <f t="shared" si="75"/>
        <v>180.58685322447036</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52">
        <f t="shared" si="62"/>
        <v>12047.933372118991</v>
      </c>
      <c r="I107" s="553">
        <f>ITECountywide!$B$9*E107</f>
        <v>50.462241810187869</v>
      </c>
      <c r="J107" s="562">
        <f t="shared" si="64"/>
        <v>1.67</v>
      </c>
      <c r="K107" s="416">
        <f t="shared" si="65"/>
        <v>0.64373267284932234</v>
      </c>
      <c r="L107" s="554">
        <f>Passby_Length_Adj!H102</f>
        <v>0.4689899613519371</v>
      </c>
      <c r="M107" s="554">
        <f>Passby_Length_Adj!J102</f>
        <v>1</v>
      </c>
      <c r="N107" s="416">
        <v>0.5</v>
      </c>
      <c r="O107" s="546">
        <f t="shared" si="66"/>
        <v>0.23449498067596855</v>
      </c>
      <c r="P107" s="555">
        <f t="shared" si="67"/>
        <v>56.468858351898263</v>
      </c>
      <c r="Q107" s="556">
        <f t="shared" si="63"/>
        <v>33.813687635867225</v>
      </c>
      <c r="R107" s="561">
        <f t="shared" si="68"/>
        <v>261.71052631578948</v>
      </c>
      <c r="S107" s="564">
        <f t="shared" si="69"/>
        <v>8849.3979878605151</v>
      </c>
      <c r="T107" s="555">
        <f t="shared" si="70"/>
        <v>7.4230441923692503</v>
      </c>
      <c r="U107" s="559">
        <f t="shared" si="71"/>
        <v>405.42115030277023</v>
      </c>
      <c r="V107" s="558">
        <f t="shared" si="72"/>
        <v>3009.4591152186395</v>
      </c>
      <c r="W107" s="555">
        <f t="shared" si="73"/>
        <v>4.988028919241791</v>
      </c>
      <c r="X107" s="559">
        <f t="shared" si="74"/>
        <v>37.9060089869281</v>
      </c>
      <c r="Y107" s="558">
        <f t="shared" si="75"/>
        <v>189.0762690398366</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52">
        <f t="shared" si="62"/>
        <v>23948.729626906064</v>
      </c>
      <c r="I108" s="553">
        <f>ITECountywide!$B$9*E108</f>
        <v>100.30820624194673</v>
      </c>
      <c r="J108" s="562">
        <f t="shared" si="64"/>
        <v>1.67</v>
      </c>
      <c r="K108" s="416">
        <f t="shared" si="65"/>
        <v>0.64373267284932234</v>
      </c>
      <c r="L108" s="554">
        <f>Passby_Length_Adj!H103</f>
        <v>0.4689899613519371</v>
      </c>
      <c r="M108" s="554">
        <f>Passby_Length_Adj!J103</f>
        <v>1</v>
      </c>
      <c r="N108" s="416">
        <v>0.5</v>
      </c>
      <c r="O108" s="546">
        <f t="shared" si="66"/>
        <v>0.23449498067596855</v>
      </c>
      <c r="P108" s="555">
        <f t="shared" si="67"/>
        <v>112.24808265783226</v>
      </c>
      <c r="Q108" s="556">
        <f t="shared" si="63"/>
        <v>67.214420753192968</v>
      </c>
      <c r="R108" s="561">
        <f t="shared" si="68"/>
        <v>261.71052631578948</v>
      </c>
      <c r="S108" s="564">
        <f t="shared" si="69"/>
        <v>17590.721431329053</v>
      </c>
      <c r="T108" s="555">
        <f t="shared" si="70"/>
        <v>14.755433391009852</v>
      </c>
      <c r="U108" s="559">
        <f t="shared" si="71"/>
        <v>405.42115030277023</v>
      </c>
      <c r="V108" s="558">
        <f t="shared" si="72"/>
        <v>5982.1647785991199</v>
      </c>
      <c r="W108" s="555">
        <f t="shared" si="73"/>
        <v>9.9151408186365195</v>
      </c>
      <c r="X108" s="559">
        <f t="shared" si="74"/>
        <v>37.9060089869281</v>
      </c>
      <c r="Y108" s="558">
        <f t="shared" si="75"/>
        <v>375.84341697789353</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52">
        <f t="shared" si="62"/>
        <v>12342.207606782815</v>
      </c>
      <c r="I109" s="553">
        <f>ITECountywide!$B$9*E109</f>
        <v>51.694796567045906</v>
      </c>
      <c r="J109" s="562">
        <f t="shared" si="64"/>
        <v>1.67</v>
      </c>
      <c r="K109" s="416">
        <f t="shared" si="65"/>
        <v>0.64373267284932234</v>
      </c>
      <c r="L109" s="554">
        <f>Passby_Length_Adj!H104</f>
        <v>0.4689899613519371</v>
      </c>
      <c r="M109" s="554">
        <f>Passby_Length_Adj!J104</f>
        <v>1</v>
      </c>
      <c r="N109" s="416">
        <v>0.5</v>
      </c>
      <c r="O109" s="546">
        <f t="shared" si="66"/>
        <v>0.23449498067596855</v>
      </c>
      <c r="P109" s="555">
        <f t="shared" si="67"/>
        <v>57.848126443826807</v>
      </c>
      <c r="Q109" s="556">
        <f t="shared" si="63"/>
        <v>34.639596672950184</v>
      </c>
      <c r="R109" s="561">
        <f t="shared" si="68"/>
        <v>261.71052631578948</v>
      </c>
      <c r="S109" s="564">
        <f t="shared" si="69"/>
        <v>9065.5470766444632</v>
      </c>
      <c r="T109" s="555">
        <f t="shared" si="70"/>
        <v>7.6043541798265437</v>
      </c>
      <c r="U109" s="559">
        <f t="shared" si="71"/>
        <v>405.42115030277023</v>
      </c>
      <c r="V109" s="558">
        <f t="shared" si="72"/>
        <v>3082.9660188949561</v>
      </c>
      <c r="W109" s="555">
        <f t="shared" si="73"/>
        <v>5.1098629589359152</v>
      </c>
      <c r="X109" s="559">
        <f t="shared" si="74"/>
        <v>37.9060089869281</v>
      </c>
      <c r="Y109" s="558">
        <f t="shared" si="75"/>
        <v>193.69451124339582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52">
        <f t="shared" si="62"/>
        <v>10226.327990212803</v>
      </c>
      <c r="I110" s="553">
        <f>ITECountywide!$B$9*E110</f>
        <v>193.54734843720766</v>
      </c>
      <c r="J110" s="562">
        <f t="shared" si="64"/>
        <v>1.67</v>
      </c>
      <c r="K110" s="416">
        <f t="shared" si="65"/>
        <v>0.64373267284932234</v>
      </c>
      <c r="L110" s="554">
        <f>Passby_Length_Adj!H105</f>
        <v>0.3846286671810874</v>
      </c>
      <c r="M110" s="554">
        <f>Passby_Length_Adj!J105</f>
        <v>0.26984126984126988</v>
      </c>
      <c r="N110" s="416">
        <v>0.5</v>
      </c>
      <c r="O110" s="546">
        <f t="shared" si="66"/>
        <v>5.1894343984749895E-2</v>
      </c>
      <c r="P110" s="555">
        <f t="shared" si="67"/>
        <v>47.930964498504188</v>
      </c>
      <c r="Q110" s="556">
        <f t="shared" si="63"/>
        <v>28.701176346409696</v>
      </c>
      <c r="R110" s="561">
        <f t="shared" si="68"/>
        <v>261.71052631578948</v>
      </c>
      <c r="S110" s="564">
        <f t="shared" si="69"/>
        <v>7511.3999675011692</v>
      </c>
      <c r="T110" s="555">
        <f t="shared" si="70"/>
        <v>6.3007058764685979</v>
      </c>
      <c r="U110" s="559">
        <f t="shared" si="71"/>
        <v>405.42115030277023</v>
      </c>
      <c r="V110" s="558">
        <f t="shared" si="72"/>
        <v>2554.4394241573232</v>
      </c>
      <c r="W110" s="555">
        <f t="shared" si="73"/>
        <v>4.2338563948965255</v>
      </c>
      <c r="X110" s="559">
        <f t="shared" si="74"/>
        <v>37.9060089869281</v>
      </c>
      <c r="Y110" s="558">
        <f t="shared" si="75"/>
        <v>160.4885985543107</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52">
        <f t="shared" si="62"/>
        <v>77089.165976245044</v>
      </c>
      <c r="I111" s="553">
        <f>ITECountywide!$B$9*E111</f>
        <v>1381.6938824378594</v>
      </c>
      <c r="J111" s="562">
        <f t="shared" si="64"/>
        <v>1.67</v>
      </c>
      <c r="K111" s="416">
        <f t="shared" si="65"/>
        <v>0.64373267284932234</v>
      </c>
      <c r="L111" s="554">
        <f>Passby_Length_Adj!H106</f>
        <v>0.3846286671810874</v>
      </c>
      <c r="M111" s="554">
        <f>Passby_Length_Adj!J106</f>
        <v>0.28494260634706281</v>
      </c>
      <c r="N111" s="416">
        <v>0.5</v>
      </c>
      <c r="O111" s="546">
        <f t="shared" si="66"/>
        <v>5.4798547451188014E-2</v>
      </c>
      <c r="P111" s="555">
        <f t="shared" si="67"/>
        <v>361.31816632157609</v>
      </c>
      <c r="Q111" s="556">
        <f t="shared" si="63"/>
        <v>216.35818342609346</v>
      </c>
      <c r="R111" s="561">
        <f t="shared" si="68"/>
        <v>261.71052631578948</v>
      </c>
      <c r="S111" s="564">
        <f t="shared" si="69"/>
        <v>56623.214057171041</v>
      </c>
      <c r="T111" s="555">
        <f t="shared" si="70"/>
        <v>47.496634328905657</v>
      </c>
      <c r="U111" s="559">
        <f t="shared" si="71"/>
        <v>405.42115030277023</v>
      </c>
      <c r="V111" s="558">
        <f t="shared" si="72"/>
        <v>19256.140125134978</v>
      </c>
      <c r="W111" s="555">
        <f t="shared" si="73"/>
        <v>31.916095264901909</v>
      </c>
      <c r="X111" s="559">
        <f t="shared" si="74"/>
        <v>37.9060089869281</v>
      </c>
      <c r="Y111" s="558">
        <f t="shared" si="75"/>
        <v>1209.8117939390252</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52">
        <f t="shared" si="62"/>
        <v>63125.173692569879</v>
      </c>
      <c r="I112" s="553">
        <f>ITECountywide!$B$9*E112</f>
        <v>1131.4127635746866</v>
      </c>
      <c r="J112" s="562">
        <f t="shared" si="64"/>
        <v>1.67</v>
      </c>
      <c r="K112" s="416">
        <f t="shared" si="65"/>
        <v>0.64373267284932234</v>
      </c>
      <c r="L112" s="554">
        <f>Passby_Length_Adj!H107</f>
        <v>0.3846286671810874</v>
      </c>
      <c r="M112" s="554">
        <f>Passby_Length_Adj!J107</f>
        <v>0.28494260634706281</v>
      </c>
      <c r="N112" s="416">
        <v>0.5</v>
      </c>
      <c r="O112" s="546">
        <f t="shared" si="66"/>
        <v>5.4798547451188014E-2</v>
      </c>
      <c r="P112" s="555">
        <f t="shared" si="67"/>
        <v>295.86870889689851</v>
      </c>
      <c r="Q112" s="556">
        <f t="shared" si="63"/>
        <v>177.16689155502905</v>
      </c>
      <c r="R112" s="561">
        <f t="shared" si="68"/>
        <v>261.71052631578948</v>
      </c>
      <c r="S112" s="564">
        <f t="shared" si="69"/>
        <v>46366.440434599055</v>
      </c>
      <c r="T112" s="555">
        <f t="shared" si="70"/>
        <v>38.893056551533448</v>
      </c>
      <c r="U112" s="559">
        <f t="shared" si="71"/>
        <v>405.42115030277023</v>
      </c>
      <c r="V112" s="558">
        <f t="shared" si="72"/>
        <v>15768.067725913384</v>
      </c>
      <c r="W112" s="555">
        <f t="shared" si="73"/>
        <v>26.134788613569523</v>
      </c>
      <c r="X112" s="559">
        <f t="shared" si="74"/>
        <v>37.9060089869281</v>
      </c>
      <c r="Y112" s="558">
        <f t="shared" si="75"/>
        <v>990.66553205743253</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52">
        <f t="shared" si="62"/>
        <v>18089.21030727636</v>
      </c>
      <c r="I113" s="553">
        <f>ITECountywide!$B$9*E113</f>
        <v>75.765865936273457</v>
      </c>
      <c r="J113" s="562">
        <f t="shared" si="64"/>
        <v>1.67</v>
      </c>
      <c r="K113" s="416">
        <f t="shared" si="65"/>
        <v>0.64373267284932234</v>
      </c>
      <c r="L113" s="554">
        <f>Passby_Length_Adj!H108</f>
        <v>0.4689899613519371</v>
      </c>
      <c r="M113" s="554">
        <f>Passby_Length_Adj!J108</f>
        <v>1</v>
      </c>
      <c r="N113" s="416">
        <v>0.5</v>
      </c>
      <c r="O113" s="546">
        <f t="shared" si="66"/>
        <v>0.23449498067596855</v>
      </c>
      <c r="P113" s="555">
        <f t="shared" si="67"/>
        <v>84.784420945019676</v>
      </c>
      <c r="Q113" s="556">
        <f t="shared" si="63"/>
        <v>50.769114338335136</v>
      </c>
      <c r="R113" s="561">
        <f t="shared" si="68"/>
        <v>261.71052631578948</v>
      </c>
      <c r="S113" s="564">
        <f t="shared" si="69"/>
        <v>13286.811634072183</v>
      </c>
      <c r="T113" s="555">
        <f t="shared" si="70"/>
        <v>11.145231581933718</v>
      </c>
      <c r="U113" s="559">
        <f t="shared" si="71"/>
        <v>405.42115030277023</v>
      </c>
      <c r="V113" s="558">
        <f t="shared" si="72"/>
        <v>4518.5126083383311</v>
      </c>
      <c r="W113" s="555">
        <f t="shared" si="73"/>
        <v>7.4892100870799885</v>
      </c>
      <c r="X113" s="559">
        <f t="shared" si="74"/>
        <v>37.9060089869281</v>
      </c>
      <c r="Y113" s="558">
        <f t="shared" si="75"/>
        <v>283.88606486584661</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52">
        <f t="shared" si="62"/>
        <v>12441.741539095581</v>
      </c>
      <c r="I114" s="553">
        <f>ITECountywide!$B$9*E114</f>
        <v>52.111690087747888</v>
      </c>
      <c r="J114" s="562">
        <f t="shared" si="64"/>
        <v>1.67</v>
      </c>
      <c r="K114" s="416">
        <f t="shared" si="65"/>
        <v>0.64373267284932234</v>
      </c>
      <c r="L114" s="554">
        <f>Passby_Length_Adj!H109</f>
        <v>0.4689899613519371</v>
      </c>
      <c r="M114" s="554">
        <f>Passby_Length_Adj!J109</f>
        <v>1</v>
      </c>
      <c r="N114" s="416">
        <v>0.5</v>
      </c>
      <c r="O114" s="546">
        <f t="shared" si="66"/>
        <v>0.23449498067596855</v>
      </c>
      <c r="P114" s="555">
        <f t="shared" si="67"/>
        <v>58.31464359256735</v>
      </c>
      <c r="Q114" s="556">
        <f t="shared" si="63"/>
        <v>34.918948259022365</v>
      </c>
      <c r="R114" s="561">
        <f t="shared" si="68"/>
        <v>261.71052631578948</v>
      </c>
      <c r="S114" s="564">
        <f t="shared" si="69"/>
        <v>9138.6563272625644</v>
      </c>
      <c r="T114" s="555">
        <f t="shared" si="70"/>
        <v>7.6656796167606291</v>
      </c>
      <c r="U114" s="559">
        <f t="shared" si="71"/>
        <v>405.42115030277023</v>
      </c>
      <c r="V114" s="558">
        <f t="shared" si="72"/>
        <v>3107.8286480795932</v>
      </c>
      <c r="W114" s="555">
        <f t="shared" si="73"/>
        <v>5.1510715311853987</v>
      </c>
      <c r="X114" s="559">
        <f t="shared" si="74"/>
        <v>37.9060089869281</v>
      </c>
      <c r="Y114" s="558">
        <f t="shared" si="75"/>
        <v>195.25656375342322</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52">
        <f t="shared" si="62"/>
        <v>13302.926431714719</v>
      </c>
      <c r="I115" s="553">
        <f>ITECountywide!$B$9*E115</f>
        <v>55.718725332082435</v>
      </c>
      <c r="J115" s="562">
        <f t="shared" si="64"/>
        <v>1.67</v>
      </c>
      <c r="K115" s="416">
        <f t="shared" si="65"/>
        <v>0.64373267284932234</v>
      </c>
      <c r="L115" s="554">
        <f>Passby_Length_Adj!H110</f>
        <v>0.4689899613519371</v>
      </c>
      <c r="M115" s="554">
        <f>Passby_Length_Adj!J110</f>
        <v>1</v>
      </c>
      <c r="N115" s="416">
        <v>0.5</v>
      </c>
      <c r="O115" s="546">
        <f t="shared" si="66"/>
        <v>0.23449498067596855</v>
      </c>
      <c r="P115" s="555">
        <f t="shared" si="67"/>
        <v>62.35103109688766</v>
      </c>
      <c r="Q115" s="556">
        <f t="shared" si="63"/>
        <v>37.335946764603392</v>
      </c>
      <c r="R115" s="561">
        <f t="shared" si="68"/>
        <v>261.71052631578948</v>
      </c>
      <c r="S115" s="564">
        <f t="shared" si="69"/>
        <v>9771.2102782626516</v>
      </c>
      <c r="T115" s="555">
        <f t="shared" si="70"/>
        <v>8.1962779624077129</v>
      </c>
      <c r="U115" s="559">
        <f t="shared" si="71"/>
        <v>405.42115030277023</v>
      </c>
      <c r="V115" s="558">
        <f t="shared" si="72"/>
        <v>3322.9444397205807</v>
      </c>
      <c r="W115" s="555">
        <f t="shared" si="73"/>
        <v>5.5076152649961436</v>
      </c>
      <c r="X115" s="559">
        <f t="shared" si="74"/>
        <v>37.9060089869281</v>
      </c>
      <c r="Y115" s="558">
        <f t="shared" si="75"/>
        <v>208.77171373148622</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52">
        <f t="shared" si="62"/>
        <v>17764.643136691255</v>
      </c>
      <c r="I116" s="553">
        <f>ITECountywide!$B$9*E116</f>
        <v>74.406430542680027</v>
      </c>
      <c r="J116" s="562">
        <f t="shared" si="64"/>
        <v>1.67</v>
      </c>
      <c r="K116" s="416">
        <f t="shared" si="65"/>
        <v>0.64373267284932234</v>
      </c>
      <c r="L116" s="554">
        <f>Passby_Length_Adj!H111</f>
        <v>0.4689899613519371</v>
      </c>
      <c r="M116" s="554">
        <f>Passby_Length_Adj!J111</f>
        <v>1</v>
      </c>
      <c r="N116" s="416">
        <v>0.5</v>
      </c>
      <c r="O116" s="546">
        <f t="shared" si="66"/>
        <v>0.23449498067596855</v>
      </c>
      <c r="P116" s="555">
        <f t="shared" si="67"/>
        <v>83.263169373039645</v>
      </c>
      <c r="Q116" s="556">
        <f t="shared" si="63"/>
        <v>49.858185253317153</v>
      </c>
      <c r="R116" s="561">
        <f t="shared" si="68"/>
        <v>261.71052631578948</v>
      </c>
      <c r="S116" s="564">
        <f t="shared" si="69"/>
        <v>13048.411903795766</v>
      </c>
      <c r="T116" s="555">
        <f t="shared" si="70"/>
        <v>10.945257331061699</v>
      </c>
      <c r="U116" s="559">
        <f t="shared" si="71"/>
        <v>405.42115030277023</v>
      </c>
      <c r="V116" s="558">
        <f t="shared" si="72"/>
        <v>4437.4388175188624</v>
      </c>
      <c r="W116" s="555">
        <f t="shared" si="73"/>
        <v>7.3548343080055867</v>
      </c>
      <c r="X116" s="559">
        <f t="shared" si="74"/>
        <v>37.9060089869281</v>
      </c>
      <c r="Y116" s="558">
        <f t="shared" si="75"/>
        <v>278.79241537662688</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52">
        <f t="shared" si="62"/>
        <v>62143.794261360883</v>
      </c>
      <c r="I117" s="553">
        <f>ITECountywide!$B$9*E117</f>
        <v>260.28656336002075</v>
      </c>
      <c r="J117" s="562">
        <f t="shared" si="64"/>
        <v>1.67</v>
      </c>
      <c r="K117" s="416">
        <f t="shared" si="65"/>
        <v>0.64373267284932234</v>
      </c>
      <c r="L117" s="554">
        <f>Passby_Length_Adj!H112</f>
        <v>0.4689899613519371</v>
      </c>
      <c r="M117" s="554">
        <f>Passby_Length_Adj!J112</f>
        <v>1</v>
      </c>
      <c r="N117" s="416">
        <v>0.5</v>
      </c>
      <c r="O117" s="546">
        <f t="shared" si="66"/>
        <v>0.23449498067596855</v>
      </c>
      <c r="P117" s="555">
        <f t="shared" si="67"/>
        <v>291.26896764844076</v>
      </c>
      <c r="Q117" s="556">
        <f t="shared" si="63"/>
        <v>174.41255547810826</v>
      </c>
      <c r="R117" s="561">
        <f t="shared" si="68"/>
        <v>261.71052631578948</v>
      </c>
      <c r="S117" s="564">
        <f t="shared" si="69"/>
        <v>45645.601690257543</v>
      </c>
      <c r="T117" s="555">
        <f t="shared" si="70"/>
        <v>38.288403233628742</v>
      </c>
      <c r="U117" s="559">
        <f t="shared" si="71"/>
        <v>405.42115030277023</v>
      </c>
      <c r="V117" s="558">
        <f t="shared" si="72"/>
        <v>15522.928482234072</v>
      </c>
      <c r="W117" s="555">
        <f t="shared" si="73"/>
        <v>25.728482500112108</v>
      </c>
      <c r="X117" s="559">
        <f t="shared" si="74"/>
        <v>37.9060089869281</v>
      </c>
      <c r="Y117" s="558">
        <f t="shared" si="75"/>
        <v>975.26408886927186</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52">
        <f t="shared" si="62"/>
        <v>8655.1245489360572</v>
      </c>
      <c r="I118" s="553">
        <f>ITECountywide!$B$9*E118</f>
        <v>36.251610495824622</v>
      </c>
      <c r="J118" s="562">
        <f t="shared" si="64"/>
        <v>1.67</v>
      </c>
      <c r="K118" s="416">
        <f t="shared" si="65"/>
        <v>0.64373267284932234</v>
      </c>
      <c r="L118" s="554">
        <f>Passby_Length_Adj!H113</f>
        <v>0.4689899613519371</v>
      </c>
      <c r="M118" s="554">
        <f>Passby_Length_Adj!J113</f>
        <v>1</v>
      </c>
      <c r="N118" s="416">
        <v>0.5</v>
      </c>
      <c r="O118" s="546">
        <f t="shared" si="66"/>
        <v>0.23449498067596855</v>
      </c>
      <c r="P118" s="555">
        <f t="shared" si="67"/>
        <v>40.566708586133814</v>
      </c>
      <c r="Q118" s="556">
        <f t="shared" si="63"/>
        <v>24.291442267145996</v>
      </c>
      <c r="R118" s="561">
        <f t="shared" si="68"/>
        <v>261.71052631578948</v>
      </c>
      <c r="S118" s="564">
        <f t="shared" si="69"/>
        <v>6357.3261407043929</v>
      </c>
      <c r="T118" s="555">
        <f t="shared" si="70"/>
        <v>5.3326466899204377</v>
      </c>
      <c r="U118" s="559">
        <f t="shared" si="71"/>
        <v>405.42115030277023</v>
      </c>
      <c r="V118" s="558">
        <f t="shared" si="72"/>
        <v>2161.967755185804</v>
      </c>
      <c r="W118" s="555">
        <f t="shared" si="73"/>
        <v>3.5833541086507119</v>
      </c>
      <c r="X118" s="559">
        <f t="shared" si="74"/>
        <v>37.9060089869281</v>
      </c>
      <c r="Y118" s="558">
        <f t="shared" si="75"/>
        <v>135.83065304585961</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52">
        <f t="shared" si="62"/>
        <v>9901.4624839828484</v>
      </c>
      <c r="I119" s="553">
        <f>ITECountywide!$B$9*E119</f>
        <v>41.471842407223363</v>
      </c>
      <c r="J119" s="562">
        <f t="shared" si="64"/>
        <v>1.67</v>
      </c>
      <c r="K119" s="416">
        <f t="shared" si="65"/>
        <v>0.64373267284932234</v>
      </c>
      <c r="L119" s="554">
        <f>Passby_Length_Adj!H114</f>
        <v>0.4689899613519371</v>
      </c>
      <c r="M119" s="554">
        <f>Passby_Length_Adj!J114</f>
        <v>1</v>
      </c>
      <c r="N119" s="416">
        <v>0.5</v>
      </c>
      <c r="O119" s="546">
        <f t="shared" si="66"/>
        <v>0.23449498067596855</v>
      </c>
      <c r="P119" s="555">
        <f t="shared" si="67"/>
        <v>46.408314622537077</v>
      </c>
      <c r="Q119" s="556">
        <f t="shared" si="63"/>
        <v>27.789409953615017</v>
      </c>
      <c r="R119" s="561">
        <f t="shared" si="68"/>
        <v>261.71052631578948</v>
      </c>
      <c r="S119" s="564">
        <f t="shared" si="69"/>
        <v>7272.7811049658249</v>
      </c>
      <c r="T119" s="555">
        <f t="shared" si="70"/>
        <v>6.1005478132689808</v>
      </c>
      <c r="U119" s="559">
        <f t="shared" si="71"/>
        <v>405.42115030277023</v>
      </c>
      <c r="V119" s="558">
        <f t="shared" si="72"/>
        <v>2473.2911119325595</v>
      </c>
      <c r="W119" s="555">
        <f t="shared" si="73"/>
        <v>4.0993571002964142</v>
      </c>
      <c r="X119" s="559">
        <f t="shared" si="74"/>
        <v>37.9060089869281</v>
      </c>
      <c r="Y119" s="558">
        <f t="shared" si="75"/>
        <v>155.3902670844634</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52">
        <f t="shared" si="62"/>
        <v>28735.013502467711</v>
      </c>
      <c r="I120" s="553">
        <f>ITECountywide!$B$9*E120</f>
        <v>120.35534684613775</v>
      </c>
      <c r="J120" s="562">
        <f t="shared" si="64"/>
        <v>1.67</v>
      </c>
      <c r="K120" s="416">
        <f t="shared" si="65"/>
        <v>0.64373267284932234</v>
      </c>
      <c r="L120" s="554">
        <f>Passby_Length_Adj!H115</f>
        <v>0.4689899613519371</v>
      </c>
      <c r="M120" s="554">
        <f>Passby_Length_Adj!J115</f>
        <v>1</v>
      </c>
      <c r="N120" s="416">
        <v>0.5</v>
      </c>
      <c r="O120" s="546">
        <f t="shared" si="66"/>
        <v>0.23449498067596855</v>
      </c>
      <c r="P120" s="555">
        <f t="shared" si="67"/>
        <v>134.68147250596425</v>
      </c>
      <c r="Q120" s="556">
        <f t="shared" si="63"/>
        <v>80.647588326924705</v>
      </c>
      <c r="R120" s="561">
        <f t="shared" si="68"/>
        <v>261.71052631578948</v>
      </c>
      <c r="S120" s="564">
        <f t="shared" si="69"/>
        <v>21106.322787138586</v>
      </c>
      <c r="T120" s="555">
        <f t="shared" si="70"/>
        <v>17.704387010535857</v>
      </c>
      <c r="U120" s="559">
        <f t="shared" si="71"/>
        <v>405.42115030277023</v>
      </c>
      <c r="V120" s="558">
        <f t="shared" si="72"/>
        <v>7177.7329472168703</v>
      </c>
      <c r="W120" s="555">
        <f t="shared" si="73"/>
        <v>11.896735640720363</v>
      </c>
      <c r="X120" s="559">
        <f t="shared" si="74"/>
        <v>37.9060089869281</v>
      </c>
      <c r="Y120" s="558">
        <f t="shared" si="75"/>
        <v>450.95776811225392</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52">
        <f t="shared" si="62"/>
        <v>24472.364662116695</v>
      </c>
      <c r="I121" s="553">
        <f>ITECountywide!$B$9*E121</f>
        <v>102.5014286769441</v>
      </c>
      <c r="J121" s="562">
        <f t="shared" si="64"/>
        <v>1.67</v>
      </c>
      <c r="K121" s="416">
        <f t="shared" si="65"/>
        <v>0.64373267284932234</v>
      </c>
      <c r="L121" s="554">
        <f>Passby_Length_Adj!H116</f>
        <v>0.4689899613519371</v>
      </c>
      <c r="M121" s="554">
        <f>Passby_Length_Adj!J116</f>
        <v>1</v>
      </c>
      <c r="N121" s="416">
        <v>0.5</v>
      </c>
      <c r="O121" s="546">
        <f t="shared" si="66"/>
        <v>0.23449498067596855</v>
      </c>
      <c r="P121" s="555">
        <f t="shared" si="67"/>
        <v>114.70236852729333</v>
      </c>
      <c r="Q121" s="556">
        <f t="shared" si="63"/>
        <v>68.684053010355285</v>
      </c>
      <c r="R121" s="561">
        <f t="shared" si="68"/>
        <v>261.71052631578948</v>
      </c>
      <c r="S121" s="564">
        <f t="shared" si="69"/>
        <v>17975.339662841667</v>
      </c>
      <c r="T121" s="555">
        <f t="shared" si="70"/>
        <v>15.078058515750037</v>
      </c>
      <c r="U121" s="559">
        <f t="shared" si="71"/>
        <v>405.42115030277023</v>
      </c>
      <c r="V121" s="558">
        <f t="shared" si="72"/>
        <v>6112.9638277878603</v>
      </c>
      <c r="W121" s="555">
        <f t="shared" si="73"/>
        <v>10.131933742209887</v>
      </c>
      <c r="X121" s="559">
        <f t="shared" si="74"/>
        <v>37.9060089869281</v>
      </c>
      <c r="Y121" s="558">
        <f t="shared" si="75"/>
        <v>384.061171487168</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52">
        <f t="shared" si="62"/>
        <v>9109.7655338460318</v>
      </c>
      <c r="I122" s="553">
        <f>ITECountywide!$B$9*E122</f>
        <v>163.27725367319408</v>
      </c>
      <c r="J122" s="562">
        <f t="shared" si="64"/>
        <v>1.67</v>
      </c>
      <c r="K122" s="416">
        <f t="shared" si="65"/>
        <v>0.64373267284932234</v>
      </c>
      <c r="L122" s="554">
        <f>Passby_Length_Adj!H117</f>
        <v>0.3846286671810874</v>
      </c>
      <c r="M122" s="554">
        <f>Passby_Length_Adj!J117</f>
        <v>0.28494260634706281</v>
      </c>
      <c r="N122" s="416">
        <v>0.5</v>
      </c>
      <c r="O122" s="546">
        <f t="shared" si="66"/>
        <v>5.4798547451188014E-2</v>
      </c>
      <c r="P122" s="555">
        <f t="shared" si="67"/>
        <v>42.697618227223025</v>
      </c>
      <c r="Q122" s="556">
        <f t="shared" si="63"/>
        <v>25.567436064205406</v>
      </c>
      <c r="R122" s="561">
        <f t="shared" si="68"/>
        <v>261.71052631578948</v>
      </c>
      <c r="S122" s="564">
        <f t="shared" si="69"/>
        <v>6691.2671489084942</v>
      </c>
      <c r="T122" s="555">
        <f t="shared" si="70"/>
        <v>5.6127627910319315</v>
      </c>
      <c r="U122" s="559">
        <f t="shared" si="71"/>
        <v>405.42115030277023</v>
      </c>
      <c r="V122" s="558">
        <f t="shared" si="72"/>
        <v>2275.5327471167529</v>
      </c>
      <c r="W122" s="555">
        <f t="shared" si="73"/>
        <v>3.7715824388182342</v>
      </c>
      <c r="X122" s="559">
        <f t="shared" si="74"/>
        <v>37.9060089869281</v>
      </c>
      <c r="Y122" s="558">
        <f t="shared" si="75"/>
        <v>142.9656378207842</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52">
        <f t="shared" si="62"/>
        <v>11039.320666903117</v>
      </c>
      <c r="I123" s="553">
        <f>ITECountywide!$B$9*E123</f>
        <v>197.86129008621077</v>
      </c>
      <c r="J123" s="562">
        <f t="shared" si="64"/>
        <v>1.67</v>
      </c>
      <c r="K123" s="416">
        <f t="shared" si="65"/>
        <v>0.64373267284932234</v>
      </c>
      <c r="L123" s="554">
        <f>Passby_Length_Adj!H118</f>
        <v>0.3846286671810874</v>
      </c>
      <c r="M123" s="554">
        <f>Passby_Length_Adj!J118</f>
        <v>0.28494260634706281</v>
      </c>
      <c r="N123" s="416">
        <v>0.5</v>
      </c>
      <c r="O123" s="546">
        <f t="shared" si="66"/>
        <v>5.4798547451188014E-2</v>
      </c>
      <c r="P123" s="555">
        <f t="shared" si="67"/>
        <v>51.74147430821121</v>
      </c>
      <c r="Q123" s="556">
        <f t="shared" si="63"/>
        <v>30.982918747431864</v>
      </c>
      <c r="R123" s="561">
        <f t="shared" si="68"/>
        <v>261.71052631578948</v>
      </c>
      <c r="S123" s="564">
        <f t="shared" si="69"/>
        <v>8108.5559721897343</v>
      </c>
      <c r="T123" s="555">
        <f t="shared" si="70"/>
        <v>6.8016117481021938</v>
      </c>
      <c r="U123" s="559">
        <f t="shared" si="71"/>
        <v>405.42115030277023</v>
      </c>
      <c r="V123" s="558">
        <f t="shared" si="72"/>
        <v>2757.5172588284272</v>
      </c>
      <c r="W123" s="555">
        <f t="shared" si="73"/>
        <v>4.5704478132926116</v>
      </c>
      <c r="X123" s="559">
        <f t="shared" si="74"/>
        <v>37.9060089869281</v>
      </c>
      <c r="Y123" s="558">
        <f t="shared" si="75"/>
        <v>173.24743588495562</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52">
        <f t="shared" si="62"/>
        <v>109357.49867580707</v>
      </c>
      <c r="I124" s="553">
        <f>ITECountywide!$B$9*E124</f>
        <v>458.03909861474403</v>
      </c>
      <c r="J124" s="562">
        <f t="shared" si="64"/>
        <v>1.67</v>
      </c>
      <c r="K124" s="416">
        <f t="shared" si="65"/>
        <v>0.64373267284932234</v>
      </c>
      <c r="L124" s="554">
        <f>Passby_Length_Adj!H119</f>
        <v>0.4689899613519371</v>
      </c>
      <c r="M124" s="554">
        <f>Passby_Length_Adj!J119</f>
        <v>1</v>
      </c>
      <c r="N124" s="416">
        <v>0.5</v>
      </c>
      <c r="O124" s="546">
        <f t="shared" si="66"/>
        <v>0.23449498067596855</v>
      </c>
      <c r="P124" s="555">
        <f t="shared" si="67"/>
        <v>512.56036298580057</v>
      </c>
      <c r="Q124" s="556">
        <f t="shared" si="63"/>
        <v>306.92237304538958</v>
      </c>
      <c r="R124" s="561">
        <f t="shared" si="68"/>
        <v>261.71052631578948</v>
      </c>
      <c r="S124" s="564">
        <f t="shared" si="69"/>
        <v>80324.815787799991</v>
      </c>
      <c r="T124" s="555">
        <f t="shared" si="70"/>
        <v>67.377990927144737</v>
      </c>
      <c r="U124" s="559">
        <f t="shared" si="71"/>
        <v>405.42115030277023</v>
      </c>
      <c r="V124" s="558">
        <f t="shared" si="72"/>
        <v>27316.462586772635</v>
      </c>
      <c r="W124" s="555">
        <f t="shared" si="73"/>
        <v>45.275679162801744</v>
      </c>
      <c r="X124" s="559">
        <f t="shared" si="74"/>
        <v>37.9060089869281</v>
      </c>
      <c r="Y124" s="558">
        <f t="shared" si="75"/>
        <v>1716.2203012344362</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52">
        <f t="shared" si="62"/>
        <v>2726.3642329148579</v>
      </c>
      <c r="I125" s="553">
        <f>ITECountywide!$B$9*E125</f>
        <v>11.419257306184756</v>
      </c>
      <c r="J125" s="562">
        <f t="shared" si="64"/>
        <v>1.67</v>
      </c>
      <c r="K125" s="416">
        <f t="shared" si="65"/>
        <v>0.64373267284932234</v>
      </c>
      <c r="L125" s="554">
        <f>Passby_Length_Adj!H120</f>
        <v>0.4689899613519371</v>
      </c>
      <c r="M125" s="554">
        <f>Passby_Length_Adj!J120</f>
        <v>1</v>
      </c>
      <c r="N125" s="416">
        <v>0.5</v>
      </c>
      <c r="O125" s="546">
        <f t="shared" si="66"/>
        <v>0.23449498067596855</v>
      </c>
      <c r="P125" s="555">
        <f t="shared" si="67"/>
        <v>12.778513204632151</v>
      </c>
      <c r="Q125" s="556">
        <f t="shared" si="63"/>
        <v>7.6518043141509891</v>
      </c>
      <c r="R125" s="561">
        <f t="shared" si="68"/>
        <v>261.71052631578948</v>
      </c>
      <c r="S125" s="564">
        <f t="shared" si="69"/>
        <v>2002.5577343218838</v>
      </c>
      <c r="T125" s="555">
        <f t="shared" si="70"/>
        <v>1.679783707324938</v>
      </c>
      <c r="U125" s="559">
        <f t="shared" si="71"/>
        <v>405.42115030277023</v>
      </c>
      <c r="V125" s="558">
        <f t="shared" si="72"/>
        <v>681.01984288352833</v>
      </c>
      <c r="W125" s="555">
        <f t="shared" si="73"/>
        <v>1.1287565442249743</v>
      </c>
      <c r="X125" s="559">
        <f t="shared" si="74"/>
        <v>37.9060089869281</v>
      </c>
      <c r="Y125" s="558">
        <f t="shared" si="75"/>
        <v>42.786655709445782</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52">
        <f t="shared" si="62"/>
        <v>36020.080730463909</v>
      </c>
      <c r="I126" s="553">
        <f>ITECountywide!$B$9*E126</f>
        <v>183.95879746106203</v>
      </c>
      <c r="J126" s="562">
        <f t="shared" si="64"/>
        <v>1.67</v>
      </c>
      <c r="K126" s="416">
        <f t="shared" si="65"/>
        <v>0.64373267284932234</v>
      </c>
      <c r="L126" s="554">
        <f>Passby_Length_Adj!H121</f>
        <v>0.3846286671810874</v>
      </c>
      <c r="M126" s="554">
        <f>Passby_Length_Adj!J121</f>
        <v>1</v>
      </c>
      <c r="N126" s="416">
        <v>0.5</v>
      </c>
      <c r="O126" s="546">
        <f t="shared" si="66"/>
        <v>0.1923143335905437</v>
      </c>
      <c r="P126" s="555">
        <f t="shared" si="67"/>
        <v>168.82670029530257</v>
      </c>
      <c r="Q126" s="556">
        <f t="shared" si="63"/>
        <v>101.09383251215723</v>
      </c>
      <c r="R126" s="561">
        <f t="shared" si="68"/>
        <v>261.71052631578948</v>
      </c>
      <c r="S126" s="564">
        <f t="shared" si="69"/>
        <v>26457.320114036938</v>
      </c>
      <c r="T126" s="555">
        <f t="shared" si="70"/>
        <v>22.192905855015958</v>
      </c>
      <c r="U126" s="559">
        <f t="shared" si="71"/>
        <v>405.42115030277023</v>
      </c>
      <c r="V126" s="558">
        <f t="shared" si="72"/>
        <v>8997.4734203016542</v>
      </c>
      <c r="W126" s="555">
        <f t="shared" si="73"/>
        <v>14.912865037315338</v>
      </c>
      <c r="X126" s="559">
        <f t="shared" si="74"/>
        <v>37.9060089869281</v>
      </c>
      <c r="Y126" s="558">
        <f t="shared" si="75"/>
        <v>565.28719612532109</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52">
        <f t="shared" si="62"/>
        <v>1226.7035515714074</v>
      </c>
      <c r="I128" s="553">
        <f>ITECountywide!$B$9*E128</f>
        <v>21.986601765717634</v>
      </c>
      <c r="J128" s="562">
        <f t="shared" ref="J128:J137" si="76">IF(F128="Prod",$M$3,$M$4)</f>
        <v>1.67</v>
      </c>
      <c r="K128" s="416">
        <f t="shared" ref="K128:K137" si="77">IF(F128="Prod",$F$4,$F$5)</f>
        <v>0.64373267284932234</v>
      </c>
      <c r="L128" s="554">
        <f>Passby_Length_Adj!H123</f>
        <v>0.3846286671810874</v>
      </c>
      <c r="M128" s="554">
        <f>Passby_Length_Adj!J123</f>
        <v>0.28494260634706281</v>
      </c>
      <c r="N128" s="416">
        <v>0.5</v>
      </c>
      <c r="O128" s="546">
        <f t="shared" ref="O128:O137" si="78">L128*M128*N128</f>
        <v>5.4798547451188014E-2</v>
      </c>
      <c r="P128" s="555">
        <f t="shared" ref="P128:P137" si="79">IF($F128="Prod",$I128*$O128*$F$4*$F$6,$I128*O128*$F$5*$F$7)</f>
        <v>5.7495793638567427</v>
      </c>
      <c r="Q128" s="556">
        <f>+P128/J128</f>
        <v>3.4428618945249956</v>
      </c>
      <c r="R128" s="561">
        <f t="shared" ref="R128:R137" si="80">+$Q$4</f>
        <v>261.71052631578948</v>
      </c>
      <c r="S128" s="564">
        <f t="shared" ref="S128:S137" si="81">+Q128*R128</f>
        <v>901.03319844871271</v>
      </c>
      <c r="T128" s="555">
        <f t="shared" ref="T128:T137" si="82">IF($F128="Prod",$I128*$O128*$G$4*$G$6,$I128*$O128*$G$5*$G$7)</f>
        <v>0.75580387050640929</v>
      </c>
      <c r="U128" s="559">
        <f t="shared" ref="U128:U137" si="83">+$R$4</f>
        <v>405.42115030277023</v>
      </c>
      <c r="V128" s="558">
        <f t="shared" ref="V128:V137" si="84">+T128*U128</f>
        <v>306.41887458399447</v>
      </c>
      <c r="W128" s="555">
        <f t="shared" ref="W128:W137" si="85">IF($F128="Prod",$I128*$O128*$J$4*$J$6,$I128*$O128*$J$5*$J$7)</f>
        <v>0.50787405620409853</v>
      </c>
      <c r="X128" s="559">
        <f t="shared" ref="X128:X137" si="86">+$S$4</f>
        <v>37.9060089869281</v>
      </c>
      <c r="Y128" s="558">
        <f t="shared" ref="Y128:Y137" si="87">+W128*X128</f>
        <v>19.251478538700187</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52">
        <f t="shared" si="62"/>
        <v>10116.006287196034</v>
      </c>
      <c r="I129" s="553">
        <f>ITECountywide!$B$9*E129</f>
        <v>181.31242989486685</v>
      </c>
      <c r="J129" s="562">
        <f t="shared" si="76"/>
        <v>1.67</v>
      </c>
      <c r="K129" s="416">
        <f t="shared" si="77"/>
        <v>0.64373267284932234</v>
      </c>
      <c r="L129" s="554">
        <f>Passby_Length_Adj!H124</f>
        <v>0.3846286671810874</v>
      </c>
      <c r="M129" s="554">
        <f>Passby_Length_Adj!J124</f>
        <v>0.28494260634706281</v>
      </c>
      <c r="N129" s="416">
        <v>0.5</v>
      </c>
      <c r="O129" s="546">
        <f t="shared" si="78"/>
        <v>5.4798547451188014E-2</v>
      </c>
      <c r="P129" s="555">
        <f t="shared" si="79"/>
        <v>47.413884894195384</v>
      </c>
      <c r="Q129" s="556">
        <f t="shared" si="63"/>
        <v>28.39154784083556</v>
      </c>
      <c r="R129" s="557">
        <f t="shared" si="80"/>
        <v>261.71052631578948</v>
      </c>
      <c r="S129" s="558">
        <f t="shared" si="81"/>
        <v>7430.3669283449908</v>
      </c>
      <c r="T129" s="555">
        <f t="shared" si="82"/>
        <v>6.2327338142420547</v>
      </c>
      <c r="U129" s="559">
        <f t="shared" si="83"/>
        <v>405.42115030277023</v>
      </c>
      <c r="V129" s="558">
        <f t="shared" si="84"/>
        <v>2526.8821125009863</v>
      </c>
      <c r="W129" s="555">
        <f t="shared" si="85"/>
        <v>4.1881815203706489</v>
      </c>
      <c r="X129" s="559">
        <f t="shared" si="86"/>
        <v>37.9060089869281</v>
      </c>
      <c r="Y129" s="558">
        <f t="shared" si="87"/>
        <v>158.75724635005602</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52">
        <f t="shared" si="62"/>
        <v>29755.87317412646</v>
      </c>
      <c r="I130" s="553">
        <f>ITECountywide!$B$9*E130</f>
        <v>151.96675119849681</v>
      </c>
      <c r="J130" s="562">
        <f t="shared" si="76"/>
        <v>1.67</v>
      </c>
      <c r="K130" s="416">
        <f t="shared" si="77"/>
        <v>0.64373267284932234</v>
      </c>
      <c r="L130" s="554">
        <f>Passby_Length_Adj!H125</f>
        <v>0.3846286671810874</v>
      </c>
      <c r="M130" s="554">
        <f>Passby_Length_Adj!J125</f>
        <v>1</v>
      </c>
      <c r="N130" s="416">
        <v>0.5</v>
      </c>
      <c r="O130" s="546">
        <f t="shared" si="78"/>
        <v>0.1923143335905437</v>
      </c>
      <c r="P130" s="555">
        <f t="shared" si="79"/>
        <v>139.46625827922128</v>
      </c>
      <c r="Q130" s="556">
        <f t="shared" si="63"/>
        <v>83.512729508515733</v>
      </c>
      <c r="R130" s="557">
        <f t="shared" si="80"/>
        <v>261.71052631578948</v>
      </c>
      <c r="S130" s="558">
        <f t="shared" si="81"/>
        <v>21856.160393741815</v>
      </c>
      <c r="T130" s="555">
        <f t="shared" si="82"/>
        <v>18.333365128431744</v>
      </c>
      <c r="U130" s="559">
        <f t="shared" si="83"/>
        <v>405.42115030277023</v>
      </c>
      <c r="V130" s="558">
        <f t="shared" si="84"/>
        <v>7432.7339792894927</v>
      </c>
      <c r="W130" s="555">
        <f t="shared" si="85"/>
        <v>12.319387178328091</v>
      </c>
      <c r="X130" s="559">
        <f t="shared" si="86"/>
        <v>37.9060089869281</v>
      </c>
      <c r="Y130" s="558">
        <f t="shared" si="87"/>
        <v>466.97880109515143</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52">
        <f t="shared" si="62"/>
        <v>922.77278450296762</v>
      </c>
      <c r="I131" s="553">
        <f>ITECountywide!$B$9*E131</f>
        <v>4.7127093644572007</v>
      </c>
      <c r="J131" s="562">
        <f t="shared" si="76"/>
        <v>1.67</v>
      </c>
      <c r="K131" s="416">
        <f t="shared" si="77"/>
        <v>0.64373267284932234</v>
      </c>
      <c r="L131" s="554">
        <f>Passby_Length_Adj!H126</f>
        <v>0.3846286671810874</v>
      </c>
      <c r="M131" s="554">
        <f>Passby_Length_Adj!J126</f>
        <v>1</v>
      </c>
      <c r="N131" s="416">
        <v>0.5</v>
      </c>
      <c r="O131" s="546">
        <f t="shared" si="78"/>
        <v>0.1923143335905437</v>
      </c>
      <c r="P131" s="555">
        <f t="shared" si="79"/>
        <v>4.3250509485445532</v>
      </c>
      <c r="Q131" s="556">
        <f t="shared" si="63"/>
        <v>2.5898508673919483</v>
      </c>
      <c r="R131" s="557">
        <f t="shared" si="80"/>
        <v>261.71052631578948</v>
      </c>
      <c r="S131" s="558">
        <f t="shared" si="81"/>
        <v>677.7912335845507</v>
      </c>
      <c r="T131" s="555">
        <f t="shared" si="82"/>
        <v>0.56854424300957229</v>
      </c>
      <c r="U131" s="559">
        <f t="shared" si="83"/>
        <v>405.42115030277023</v>
      </c>
      <c r="V131" s="558">
        <f t="shared" si="84"/>
        <v>230.49986099895852</v>
      </c>
      <c r="W131" s="555">
        <f t="shared" si="85"/>
        <v>0.38204206421341885</v>
      </c>
      <c r="X131" s="559">
        <f t="shared" si="86"/>
        <v>37.9060089869281</v>
      </c>
      <c r="Y131" s="558">
        <f t="shared" si="87"/>
        <v>14.481689919458418</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52">
        <f t="shared" si="62"/>
        <v>11344.732433246534</v>
      </c>
      <c r="I132" s="553">
        <f>ITECountywide!$B$9*E132</f>
        <v>203.3352832710803</v>
      </c>
      <c r="J132" s="562">
        <f t="shared" si="76"/>
        <v>1.67</v>
      </c>
      <c r="K132" s="416">
        <f t="shared" si="77"/>
        <v>0.64373267284932234</v>
      </c>
      <c r="L132" s="554">
        <f>Passby_Length_Adj!H127</f>
        <v>0.3846286671810874</v>
      </c>
      <c r="M132" s="554">
        <f>Passby_Length_Adj!J127</f>
        <v>0.28494260634706281</v>
      </c>
      <c r="N132" s="416">
        <v>0.5</v>
      </c>
      <c r="O132" s="546">
        <f t="shared" si="78"/>
        <v>5.4798547451188014E-2</v>
      </c>
      <c r="P132" s="555">
        <f t="shared" si="79"/>
        <v>53.172944191051059</v>
      </c>
      <c r="Q132" s="556">
        <f t="shared" si="63"/>
        <v>31.840086341946744</v>
      </c>
      <c r="R132" s="557">
        <f t="shared" si="80"/>
        <v>261.71052631578948</v>
      </c>
      <c r="S132" s="558">
        <f t="shared" si="81"/>
        <v>8332.8857544910625</v>
      </c>
      <c r="T132" s="555">
        <f t="shared" si="82"/>
        <v>6.9897838576594378</v>
      </c>
      <c r="U132" s="559">
        <f t="shared" si="83"/>
        <v>405.42115030277023</v>
      </c>
      <c r="V132" s="558">
        <f t="shared" si="84"/>
        <v>2833.8062119400242</v>
      </c>
      <c r="W132" s="555">
        <f t="shared" si="85"/>
        <v>4.6968929616632948</v>
      </c>
      <c r="X132" s="559">
        <f t="shared" si="86"/>
        <v>37.9060089869281</v>
      </c>
      <c r="Y132" s="558">
        <f t="shared" si="87"/>
        <v>178.04046681544818</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52">
        <f t="shared" si="62"/>
        <v>441.93689368236187</v>
      </c>
      <c r="I133" s="553">
        <f>ITECountywide!$B$9*E133</f>
        <v>7.9209768933376798</v>
      </c>
      <c r="J133" s="562">
        <f t="shared" si="76"/>
        <v>1.67</v>
      </c>
      <c r="K133" s="416">
        <f t="shared" si="77"/>
        <v>0.64373267284932234</v>
      </c>
      <c r="L133" s="554">
        <f>Passby_Length_Adj!H128</f>
        <v>0.3846286671810874</v>
      </c>
      <c r="M133" s="554">
        <f>Passby_Length_Adj!J128</f>
        <v>0.28494260634706281</v>
      </c>
      <c r="N133" s="416">
        <v>0.5</v>
      </c>
      <c r="O133" s="546">
        <f t="shared" si="78"/>
        <v>5.4798547451188014E-2</v>
      </c>
      <c r="P133" s="555">
        <f t="shared" si="79"/>
        <v>2.0713653602682576</v>
      </c>
      <c r="Q133" s="556">
        <f t="shared" si="63"/>
        <v>1.240338539082789</v>
      </c>
      <c r="R133" s="557">
        <f t="shared" si="80"/>
        <v>261.71052631578948</v>
      </c>
      <c r="S133" s="558">
        <f t="shared" si="81"/>
        <v>324.60965187311416</v>
      </c>
      <c r="T133" s="555">
        <f t="shared" si="82"/>
        <v>0.27228878104806331</v>
      </c>
      <c r="U133" s="559">
        <f t="shared" si="83"/>
        <v>405.42115030277023</v>
      </c>
      <c r="V133" s="558">
        <f t="shared" si="84"/>
        <v>110.39163082704496</v>
      </c>
      <c r="W133" s="555">
        <f t="shared" si="85"/>
        <v>0.18296864184764305</v>
      </c>
      <c r="X133" s="559">
        <f t="shared" si="86"/>
        <v>37.9060089869281</v>
      </c>
      <c r="Y133" s="558">
        <f t="shared" si="87"/>
        <v>6.9356109822027863</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52">
        <f t="shared" si="62"/>
        <v>33158.471062477794</v>
      </c>
      <c r="I134" s="553">
        <f>ITECountywide!$B$9*E134</f>
        <v>627.56975509846791</v>
      </c>
      <c r="J134" s="562">
        <f t="shared" si="76"/>
        <v>1.67</v>
      </c>
      <c r="K134" s="416">
        <f t="shared" si="77"/>
        <v>0.64373267284932234</v>
      </c>
      <c r="L134" s="554">
        <f>Passby_Length_Adj!H129</f>
        <v>0.3846286671810874</v>
      </c>
      <c r="M134" s="554">
        <f>Passby_Length_Adj!J129</f>
        <v>0.26984126984126988</v>
      </c>
      <c r="N134" s="416">
        <v>0.5</v>
      </c>
      <c r="O134" s="546">
        <f t="shared" si="78"/>
        <v>5.1894343984749895E-2</v>
      </c>
      <c r="P134" s="555">
        <f t="shared" si="79"/>
        <v>155.41428955157431</v>
      </c>
      <c r="Q134" s="556">
        <f t="shared" si="63"/>
        <v>93.06244883327804</v>
      </c>
      <c r="R134" s="557">
        <f t="shared" si="80"/>
        <v>261.71052631578948</v>
      </c>
      <c r="S134" s="558">
        <f t="shared" si="81"/>
        <v>24355.422464393425</v>
      </c>
      <c r="T134" s="555">
        <f t="shared" si="82"/>
        <v>20.429793927792868</v>
      </c>
      <c r="U134" s="559">
        <f t="shared" si="83"/>
        <v>405.42115030277023</v>
      </c>
      <c r="V134" s="558">
        <f t="shared" si="84"/>
        <v>8282.6705546543344</v>
      </c>
      <c r="W134" s="555">
        <f t="shared" si="85"/>
        <v>13.728114811809553</v>
      </c>
      <c r="X134" s="559">
        <f t="shared" si="86"/>
        <v>37.9060089869281</v>
      </c>
      <c r="Y134" s="558">
        <f t="shared" si="87"/>
        <v>520.3780434300337</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52">
        <f t="shared" si="62"/>
        <v>45102.914094312786</v>
      </c>
      <c r="I135" s="553">
        <f>ITECountywide!$B$9*E135</f>
        <v>853.63479815043024</v>
      </c>
      <c r="J135" s="562">
        <f t="shared" si="76"/>
        <v>1.67</v>
      </c>
      <c r="K135" s="416">
        <f t="shared" si="77"/>
        <v>0.64373267284932234</v>
      </c>
      <c r="L135" s="554">
        <f>Passby_Length_Adj!H130</f>
        <v>0.3846286671810874</v>
      </c>
      <c r="M135" s="554">
        <f>Passby_Length_Adj!J130</f>
        <v>0.26984126984126988</v>
      </c>
      <c r="N135" s="416">
        <v>0.5</v>
      </c>
      <c r="O135" s="546">
        <f t="shared" si="78"/>
        <v>5.1894343984749895E-2</v>
      </c>
      <c r="P135" s="555">
        <f t="shared" si="79"/>
        <v>211.39808700665432</v>
      </c>
      <c r="Q135" s="556">
        <f t="shared" si="63"/>
        <v>126.58568084230798</v>
      </c>
      <c r="R135" s="557">
        <f t="shared" si="80"/>
        <v>261.71052631578948</v>
      </c>
      <c r="S135" s="558">
        <f t="shared" si="81"/>
        <v>33128.805157282972</v>
      </c>
      <c r="T135" s="555">
        <f t="shared" si="82"/>
        <v>27.789075037674525</v>
      </c>
      <c r="U135" s="559">
        <f t="shared" si="83"/>
        <v>405.42115030277023</v>
      </c>
      <c r="V135" s="558">
        <f t="shared" si="84"/>
        <v>11266.278767624004</v>
      </c>
      <c r="W135" s="555">
        <f t="shared" si="85"/>
        <v>18.673297145312965</v>
      </c>
      <c r="X135" s="559">
        <f t="shared" si="86"/>
        <v>37.9060089869281</v>
      </c>
      <c r="Y135" s="558">
        <f t="shared" si="87"/>
        <v>707.83016940581206</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52">
        <f t="shared" si="62"/>
        <v>78567.849378261657</v>
      </c>
      <c r="I136" s="553">
        <f>ITECountywide!$B$9*E136</f>
        <v>1487.00481092823</v>
      </c>
      <c r="J136" s="562">
        <f t="shared" si="76"/>
        <v>1.67</v>
      </c>
      <c r="K136" s="416">
        <f t="shared" si="77"/>
        <v>0.64373267284932234</v>
      </c>
      <c r="L136" s="554">
        <f>Passby_Length_Adj!H131</f>
        <v>0.3846286671810874</v>
      </c>
      <c r="M136" s="554">
        <f>Passby_Length_Adj!J131</f>
        <v>0.26984126984126988</v>
      </c>
      <c r="N136" s="416">
        <v>0.5</v>
      </c>
      <c r="O136" s="546">
        <f t="shared" si="78"/>
        <v>5.1894343984749895E-2</v>
      </c>
      <c r="P136" s="555">
        <f t="shared" si="79"/>
        <v>368.24877931525441</v>
      </c>
      <c r="Q136" s="556">
        <f t="shared" si="63"/>
        <v>220.5082510869787</v>
      </c>
      <c r="R136" s="557">
        <f t="shared" si="80"/>
        <v>261.71052631578948</v>
      </c>
      <c r="S136" s="558">
        <f t="shared" si="81"/>
        <v>57709.330448947454</v>
      </c>
      <c r="T136" s="555">
        <f t="shared" si="82"/>
        <v>48.407689519922343</v>
      </c>
      <c r="U136" s="559">
        <f t="shared" si="83"/>
        <v>405.42115030277023</v>
      </c>
      <c r="V136" s="558">
        <f t="shared" si="84"/>
        <v>19625.501168666273</v>
      </c>
      <c r="W136" s="555">
        <f t="shared" si="85"/>
        <v>32.528292838033444</v>
      </c>
      <c r="X136" s="559">
        <f t="shared" si="86"/>
        <v>37.9060089869281</v>
      </c>
      <c r="Y136" s="558">
        <f t="shared" si="87"/>
        <v>1233.0177606479247</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65">
        <f t="shared" si="62"/>
        <v>16473.409604762164</v>
      </c>
      <c r="I137" s="566">
        <f>ITECountywide!$B$9*E137</f>
        <v>311.78197606933963</v>
      </c>
      <c r="J137" s="567">
        <f t="shared" si="76"/>
        <v>1.67</v>
      </c>
      <c r="K137" s="533">
        <f t="shared" si="77"/>
        <v>0.64373267284932234</v>
      </c>
      <c r="L137" s="568">
        <f>Passby_Length_Adj!H132</f>
        <v>0.3846286671810874</v>
      </c>
      <c r="M137" s="568">
        <f>Passby_Length_Adj!J132</f>
        <v>0.26984126984126988</v>
      </c>
      <c r="N137" s="533">
        <v>0.5</v>
      </c>
      <c r="O137" s="569">
        <f t="shared" si="78"/>
        <v>5.1894343984749895E-2</v>
      </c>
      <c r="P137" s="570">
        <f t="shared" si="79"/>
        <v>77.211136948751687</v>
      </c>
      <c r="Q137" s="571">
        <f t="shared" si="63"/>
        <v>46.234213741767476</v>
      </c>
      <c r="R137" s="572">
        <f t="shared" si="80"/>
        <v>261.71052631578948</v>
      </c>
      <c r="S137" s="573">
        <f t="shared" si="81"/>
        <v>12099.980412154673</v>
      </c>
      <c r="T137" s="570">
        <f t="shared" si="82"/>
        <v>10.149694866186209</v>
      </c>
      <c r="U137" s="574">
        <f t="shared" si="83"/>
        <v>405.42115030277023</v>
      </c>
      <c r="V137" s="573">
        <f t="shared" si="84"/>
        <v>4114.9009678713346</v>
      </c>
      <c r="W137" s="570">
        <f t="shared" si="85"/>
        <v>6.8202438517152197</v>
      </c>
      <c r="X137" s="574">
        <f t="shared" si="86"/>
        <v>37.9060089869281</v>
      </c>
      <c r="Y137" s="573">
        <f t="shared" si="87"/>
        <v>258.52822473615822</v>
      </c>
      <c r="Z137" s="551"/>
    </row>
    <row r="138" spans="1:28" s="20" customFormat="1" ht="17.100000000000001" customHeight="1" x14ac:dyDescent="0.25">
      <c r="A138" s="102"/>
      <c r="B138" s="101"/>
      <c r="C138" s="119"/>
      <c r="D138" s="100"/>
      <c r="E138" s="415"/>
      <c r="F138" s="100"/>
      <c r="G138" s="60"/>
      <c r="H138" s="120"/>
      <c r="I138" s="575"/>
      <c r="J138" s="576"/>
      <c r="K138" s="25"/>
      <c r="L138" s="25"/>
      <c r="M138" s="25"/>
      <c r="N138" s="25"/>
      <c r="O138" s="413"/>
      <c r="P138" s="25"/>
      <c r="Q138" s="551"/>
      <c r="R138" s="577"/>
      <c r="S138" s="577"/>
      <c r="T138" s="578"/>
      <c r="U138" s="551"/>
      <c r="V138" s="551"/>
      <c r="W138" s="551"/>
      <c r="X138" s="551"/>
      <c r="Y138" s="579"/>
      <c r="Z138" s="551"/>
    </row>
    <row r="139" spans="1:28" s="20" customFormat="1" x14ac:dyDescent="0.25">
      <c r="B139" s="68"/>
      <c r="C139" s="119"/>
      <c r="D139" s="100"/>
      <c r="E139" s="100"/>
      <c r="F139" s="100"/>
      <c r="G139" s="60"/>
      <c r="H139" s="120"/>
      <c r="I139" s="575"/>
      <c r="J139" s="576"/>
      <c r="K139" s="25"/>
      <c r="L139" s="25"/>
      <c r="M139" s="25"/>
      <c r="N139" s="25"/>
      <c r="O139" s="413"/>
      <c r="P139" s="25"/>
      <c r="Q139" s="551"/>
      <c r="R139" s="577"/>
      <c r="S139" s="577"/>
      <c r="T139" s="578"/>
      <c r="U139" s="551"/>
      <c r="V139" s="551"/>
      <c r="W139" s="551"/>
      <c r="X139" s="551"/>
      <c r="Y139" s="579"/>
      <c r="Z139" s="580"/>
      <c r="AB139" s="68"/>
    </row>
    <row r="140" spans="1:28" s="20" customFormat="1" x14ac:dyDescent="0.25">
      <c r="B140" s="68"/>
      <c r="C140" s="119"/>
      <c r="D140" s="100"/>
      <c r="E140" s="100"/>
      <c r="F140" s="100"/>
      <c r="G140" s="60"/>
      <c r="H140" s="575"/>
      <c r="I140" s="575"/>
      <c r="J140" s="576"/>
      <c r="K140" s="25"/>
      <c r="L140" s="25"/>
      <c r="M140" s="25"/>
      <c r="N140" s="25"/>
      <c r="O140" s="413"/>
      <c r="P140" s="25"/>
      <c r="Q140" s="551"/>
      <c r="R140" s="577"/>
      <c r="S140" s="577"/>
      <c r="T140" s="578"/>
      <c r="U140" s="551"/>
      <c r="V140" s="551"/>
      <c r="W140" s="551"/>
      <c r="X140" s="551"/>
      <c r="Y140" s="579"/>
      <c r="Z140" s="580"/>
      <c r="AB140" s="68"/>
    </row>
    <row r="141" spans="1:28" x14ac:dyDescent="0.25">
      <c r="C141" s="419"/>
      <c r="D141" s="100"/>
      <c r="E141" s="100"/>
      <c r="F141" s="100"/>
      <c r="G141" s="60"/>
      <c r="H141" s="101"/>
      <c r="I141" s="33"/>
      <c r="J141" s="121"/>
      <c r="Y141" s="423"/>
      <c r="Z141" s="64"/>
    </row>
    <row r="142" spans="1:28" x14ac:dyDescent="0.25">
      <c r="C142" s="419"/>
      <c r="D142" s="100"/>
      <c r="E142" s="100"/>
      <c r="F142" s="100"/>
      <c r="G142" s="60"/>
      <c r="H142" s="101"/>
      <c r="I142" s="33"/>
      <c r="J142" s="121"/>
      <c r="Y142" s="423"/>
      <c r="Z142" s="64"/>
    </row>
    <row r="143" spans="1:28" x14ac:dyDescent="0.25">
      <c r="C143" s="419"/>
      <c r="D143" s="100"/>
      <c r="E143" s="100"/>
      <c r="F143" s="100"/>
      <c r="G143" s="60"/>
      <c r="H143" s="101"/>
      <c r="I143" s="33"/>
      <c r="J143" s="121"/>
      <c r="Y143" s="423"/>
      <c r="Z143" s="64"/>
    </row>
    <row r="144" spans="1:28" x14ac:dyDescent="0.25">
      <c r="C144" s="419"/>
      <c r="D144" s="100"/>
      <c r="E144" s="100"/>
      <c r="F144" s="100"/>
      <c r="G144" s="60"/>
      <c r="H144" s="101"/>
      <c r="I144" s="33"/>
      <c r="J144" s="121"/>
      <c r="Y144" s="423"/>
      <c r="Z144" s="64"/>
    </row>
    <row r="145" spans="3:26" x14ac:dyDescent="0.25">
      <c r="C145" s="419"/>
      <c r="F145" s="121"/>
      <c r="G145" s="60"/>
      <c r="H145" s="418"/>
      <c r="I145" s="33"/>
      <c r="J145" s="121"/>
      <c r="Y145" s="423"/>
      <c r="Z145" s="64"/>
    </row>
    <row r="146" spans="3:26" x14ac:dyDescent="0.25">
      <c r="C146" s="419"/>
      <c r="F146" s="121"/>
      <c r="G146" s="60"/>
      <c r="H146" s="418"/>
      <c r="I146" s="33"/>
      <c r="J146" s="121"/>
      <c r="Y146" s="423"/>
      <c r="Z146" s="64"/>
    </row>
    <row r="147" spans="3:26" x14ac:dyDescent="0.25">
      <c r="C147" s="419"/>
      <c r="F147" s="121"/>
      <c r="G147" s="122"/>
      <c r="H147" s="418"/>
      <c r="I147" s="33"/>
      <c r="J147" s="121"/>
      <c r="Y147" s="423"/>
      <c r="Z147" s="64"/>
    </row>
    <row r="148" spans="3:26" x14ac:dyDescent="0.25">
      <c r="C148" s="419"/>
      <c r="F148" s="121"/>
      <c r="G148" s="122"/>
      <c r="H148" s="418"/>
      <c r="I148" s="33"/>
      <c r="J148" s="121"/>
      <c r="Y148" s="423"/>
      <c r="Z148" s="64"/>
    </row>
    <row r="149" spans="3:26" x14ac:dyDescent="0.25">
      <c r="C149" s="419"/>
      <c r="F149" s="121"/>
      <c r="G149" s="122"/>
      <c r="H149" s="418"/>
      <c r="I149" s="33"/>
      <c r="J149" s="121"/>
      <c r="Y149" s="423"/>
      <c r="Z149" s="64"/>
    </row>
    <row r="150" spans="3:26" x14ac:dyDescent="0.25">
      <c r="C150" s="419"/>
      <c r="Y150" s="423"/>
      <c r="Z150" s="64"/>
    </row>
    <row r="151" spans="3:26" x14ac:dyDescent="0.25">
      <c r="C151" s="419"/>
      <c r="Y151" s="423"/>
      <c r="Z151" s="64"/>
    </row>
    <row r="152" spans="3:26" x14ac:dyDescent="0.25">
      <c r="C152" s="419"/>
      <c r="Y152" s="423"/>
    </row>
    <row r="153" spans="3:26" x14ac:dyDescent="0.25">
      <c r="C153" s="419"/>
      <c r="Y153" s="423"/>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T9:V9"/>
    <mergeCell ref="W9:Y9"/>
    <mergeCell ref="I9:O9"/>
    <mergeCell ref="P9:S9"/>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DD22C-312E-47D0-8501-496A1EF8FDF3}">
  <sheetPr>
    <tabColor rgb="FFC00000"/>
  </sheetPr>
  <dimension ref="A1:AJ161"/>
  <sheetViews>
    <sheetView zoomScale="75" zoomScaleNormal="100" workbookViewId="0">
      <selection activeCell="AK46" sqref="AK46"/>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42578125" style="11" customWidth="1"/>
    <col min="10" max="10" width="11.42578125" style="69" customWidth="1"/>
    <col min="11" max="11" width="11.42578125" style="12" customWidth="1"/>
    <col min="12" max="12" width="10.5703125" style="12" customWidth="1"/>
    <col min="13" max="14" width="11.5703125" style="12" customWidth="1"/>
    <col min="15" max="15" width="10" style="412" customWidth="1"/>
    <col min="16" max="16" width="8.5703125" style="12" customWidth="1"/>
    <col min="17" max="17" width="10.5703125" style="11" customWidth="1"/>
    <col min="18" max="18" width="8.5703125" style="13" customWidth="1"/>
    <col min="19" max="19" width="9.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10" t="str">
        <f>+HYPERLINK(ContextAreas_Map!A1,"Context Area")</f>
        <v>Context Area</v>
      </c>
      <c r="C2" s="811"/>
      <c r="E2" s="814" t="s">
        <v>57</v>
      </c>
      <c r="F2" s="815"/>
      <c r="G2" s="815"/>
      <c r="H2" s="815"/>
      <c r="I2" s="815"/>
      <c r="J2" s="816"/>
      <c r="L2" s="439" t="s">
        <v>65</v>
      </c>
      <c r="M2" s="440"/>
      <c r="O2" s="817" t="s">
        <v>58</v>
      </c>
      <c r="P2" s="818"/>
      <c r="Q2" s="818"/>
      <c r="R2" s="818"/>
      <c r="S2" s="819"/>
    </row>
    <row r="3" spans="1:36" ht="17.100000000000001" customHeight="1" thickBot="1" x14ac:dyDescent="0.3">
      <c r="A3" s="10"/>
      <c r="B3" s="812"/>
      <c r="C3" s="813"/>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07" t="s">
        <v>53</v>
      </c>
      <c r="C4" s="809">
        <v>1</v>
      </c>
      <c r="E4" s="445" t="s">
        <v>67</v>
      </c>
      <c r="F4" s="432">
        <f>'2045_24hr_all_productions'!$Q$35</f>
        <v>0.64369868155585797</v>
      </c>
      <c r="G4" s="432">
        <f>'2045_24hr_all_productions'!$S$35</f>
        <v>0.10364097029981702</v>
      </c>
      <c r="H4" s="521">
        <f>'2045_24hr_all_productions'!$T$35</f>
        <v>0.17642753249190635</v>
      </c>
      <c r="I4" s="432">
        <f>'2045_24hr_all_productions'!$R$35</f>
        <v>7.6232815652418712E-2</v>
      </c>
      <c r="J4" s="446">
        <f>+H4+I4</f>
        <v>0.25266034814432503</v>
      </c>
      <c r="K4" s="69"/>
      <c r="L4" s="444" t="s">
        <v>71</v>
      </c>
      <c r="M4" s="442">
        <f>ITECountywide!B4</f>
        <v>1.67</v>
      </c>
      <c r="O4" s="537" t="s">
        <v>120</v>
      </c>
      <c r="P4" s="680"/>
      <c r="Q4" s="681">
        <f>+RoadCapCost!P15</f>
        <v>254.27556818181819</v>
      </c>
      <c r="R4" s="681">
        <f>+TransitCapCost!AD13</f>
        <v>154.50490219883392</v>
      </c>
      <c r="S4" s="536">
        <f>+WalkBikeCapCost!$Z$7</f>
        <v>37.9060089869281</v>
      </c>
      <c r="T4" s="11"/>
    </row>
    <row r="5" spans="1:36" ht="17.100000000000001" customHeight="1" thickBot="1" x14ac:dyDescent="0.3">
      <c r="B5" s="808"/>
      <c r="C5" s="806"/>
      <c r="E5" s="445" t="s">
        <v>70</v>
      </c>
      <c r="F5" s="432">
        <f>'2045_24hr_all_attractions'!$Q$39</f>
        <v>0.72504937644602452</v>
      </c>
      <c r="G5" s="432">
        <f>'2045_24hr_all_attractions'!$S$39</f>
        <v>7.9476327521020254E-2</v>
      </c>
      <c r="H5" s="521">
        <f>'2045_24hr_all_attractions'!$T$39</f>
        <v>0.14009367417188645</v>
      </c>
      <c r="I5" s="432">
        <f>'2045_24hr_all_attractions'!$R$39</f>
        <v>5.5380621861068791E-2</v>
      </c>
      <c r="J5" s="446">
        <f>+H5+I5</f>
        <v>0.19547429603295524</v>
      </c>
      <c r="K5" s="69"/>
      <c r="S5" s="429"/>
      <c r="T5" s="11"/>
    </row>
    <row r="6" spans="1:36" ht="17.100000000000001" customHeight="1" x14ac:dyDescent="0.25">
      <c r="B6" s="803" t="s">
        <v>54</v>
      </c>
      <c r="C6" s="805" t="s">
        <v>124</v>
      </c>
      <c r="E6" s="445" t="s">
        <v>72</v>
      </c>
      <c r="F6" s="434">
        <f>'2045_24hr_all_productions'!$M$35</f>
        <v>7.4108296796813216</v>
      </c>
      <c r="G6" s="434">
        <f>'2045_24hr_all_productions'!$O$35</f>
        <v>6.1592704513558783</v>
      </c>
      <c r="H6" s="435">
        <f>'2045_24hr_all_productions'!$P$35</f>
        <v>0.84086591138769218</v>
      </c>
      <c r="I6" s="434">
        <f>'2045_24hr_all_productions'!$N$35</f>
        <v>3.5767890444683799</v>
      </c>
      <c r="J6" s="447">
        <f>+((H4/J4)*H6)+(I4/J4*I6)</f>
        <v>1.6663501053863081</v>
      </c>
      <c r="K6" s="69"/>
      <c r="O6" s="69"/>
      <c r="P6" s="11"/>
      <c r="S6" s="429"/>
      <c r="U6" s="20"/>
      <c r="V6" s="422"/>
      <c r="W6" s="20"/>
      <c r="X6" s="20"/>
    </row>
    <row r="7" spans="1:36" ht="17.100000000000001" customHeight="1" thickBot="1" x14ac:dyDescent="0.3">
      <c r="B7" s="804"/>
      <c r="C7" s="806"/>
      <c r="E7" s="448" t="s">
        <v>73</v>
      </c>
      <c r="F7" s="449">
        <f>'2045_24hr_all_attractions'!$M$39</f>
        <v>7.994232834705727</v>
      </c>
      <c r="G7" s="449">
        <f>'2045_24hr_all_attractions'!$O$39</f>
        <v>5.6295498437943765</v>
      </c>
      <c r="H7" s="451">
        <f>'2045_24hr_all_attractions'!$P$39</f>
        <v>0.82615080963506005</v>
      </c>
      <c r="I7" s="449">
        <f>'2045_24hr_all_attractions'!$N$39</f>
        <v>4.0010719380476871</v>
      </c>
      <c r="J7" s="450">
        <f>+((H5/J5)*H7)+(I5/J5*I7)</f>
        <v>1.7256506928406465</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2" t="s">
        <v>121</v>
      </c>
      <c r="C9" s="793"/>
      <c r="D9" s="793"/>
      <c r="E9" s="793"/>
      <c r="F9" s="793"/>
      <c r="G9" s="793"/>
      <c r="H9" s="793"/>
      <c r="I9" s="797" t="s">
        <v>74</v>
      </c>
      <c r="J9" s="798"/>
      <c r="K9" s="798"/>
      <c r="L9" s="798"/>
      <c r="M9" s="798"/>
      <c r="N9" s="798"/>
      <c r="O9" s="799"/>
      <c r="P9" s="794" t="s">
        <v>75</v>
      </c>
      <c r="Q9" s="795"/>
      <c r="R9" s="795"/>
      <c r="S9" s="796"/>
      <c r="T9" s="794" t="s">
        <v>61</v>
      </c>
      <c r="U9" s="795"/>
      <c r="V9" s="796"/>
      <c r="W9" s="794" t="s">
        <v>64</v>
      </c>
      <c r="X9" s="795"/>
      <c r="Y9" s="796"/>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8609.6114612269594</v>
      </c>
      <c r="I12" s="553">
        <f>ITECountywide!$B$9*E12</f>
        <v>17.853918169193626</v>
      </c>
      <c r="J12" s="554">
        <f>IF(F12="Prod",$M$3,$M$4)</f>
        <v>1.67</v>
      </c>
      <c r="K12" s="416">
        <f>IF(F12="Prod",$F$4,$F$5)</f>
        <v>0.72504937644602452</v>
      </c>
      <c r="L12" s="554">
        <f>Passby_Length_Adj!H7</f>
        <v>1</v>
      </c>
      <c r="M12" s="554">
        <f>Passby_Length_Adj!J7</f>
        <v>1</v>
      </c>
      <c r="N12" s="416">
        <v>0.5</v>
      </c>
      <c r="O12" s="546">
        <f>L12*M12*N12</f>
        <v>0.5</v>
      </c>
      <c r="P12" s="555">
        <f>IF($F12="Prod",$I12*$O12*$F$4*$F$6,$I12*O12*$F$5*$F$7)</f>
        <v>51.742561045462239</v>
      </c>
      <c r="Q12" s="556">
        <f>+P12/J12</f>
        <v>30.983569488300741</v>
      </c>
      <c r="R12" s="557">
        <f>+$Q$4</f>
        <v>254.27556818181819</v>
      </c>
      <c r="S12" s="582">
        <f>+Q12*R12</f>
        <v>7878.3647359385168</v>
      </c>
      <c r="T12" s="555">
        <f>IF($F12="Prod",$I12*$O12*$G$4*$G$6,$I12*$O12*$G$5*$G$7)</f>
        <v>3.9940638542836853</v>
      </c>
      <c r="U12" s="559">
        <f>+$R$4</f>
        <v>154.50490219883392</v>
      </c>
      <c r="V12" s="582">
        <f>+T12*U12</f>
        <v>617.10244518199841</v>
      </c>
      <c r="W12" s="555">
        <f>IF($F12="Prod",$I12*$O12*$J$4*$J$6,$I12*$O12*$J$5*$J$7)</f>
        <v>3.0112450019680872</v>
      </c>
      <c r="X12" s="559">
        <f>$S$4</f>
        <v>37.9060089869281</v>
      </c>
      <c r="Y12" s="582">
        <f>+W12*X12</f>
        <v>114.14428010644464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4335.3982586482971</v>
      </c>
      <c r="I14" s="553">
        <f>ITECountywide!$B$9*E14</f>
        <v>8.9903994029645062</v>
      </c>
      <c r="J14" s="554">
        <f t="shared" ref="J14:J20" si="1">IF(F14="Prod",$M$3,$M$4)</f>
        <v>1.67</v>
      </c>
      <c r="K14" s="416">
        <f t="shared" ref="K14:K20" si="2">IF(F14="Prod",$F$4,$F$5)</f>
        <v>0.72504937644602452</v>
      </c>
      <c r="L14" s="554">
        <f>Passby_Length_Adj!H9</f>
        <v>1</v>
      </c>
      <c r="M14" s="554">
        <f>Passby_Length_Adj!J9</f>
        <v>1</v>
      </c>
      <c r="N14" s="416">
        <v>0.5</v>
      </c>
      <c r="O14" s="546">
        <f t="shared" ref="O14:O20" si="3">L14*M14*N14</f>
        <v>0.5</v>
      </c>
      <c r="P14" s="555">
        <f t="shared" ref="P14:P20" si="4">IF($F14="Prod",$I14*$O14*$F$4*$F$6,$I14*O14*$F$5*$F$7)</f>
        <v>26.055137338628704</v>
      </c>
      <c r="Q14" s="556">
        <f t="shared" ref="Q14:Q20" si="5">+P14/J14</f>
        <v>15.601878645885453</v>
      </c>
      <c r="R14" s="561">
        <f t="shared" ref="R14:R20" si="6">+$Q$4</f>
        <v>254.27556818181819</v>
      </c>
      <c r="S14" s="582">
        <f t="shared" ref="S14:S20" si="7">+Q14*R14</f>
        <v>3967.1765573862995</v>
      </c>
      <c r="T14" s="555">
        <f t="shared" ref="T14:T20" si="8">IF($F14="Prod",$I14*$O14*$G$4*$G$6,$I14*$O14*$G$5*$G$7)</f>
        <v>2.0112240322078256</v>
      </c>
      <c r="U14" s="559">
        <f t="shared" ref="U14:U20" si="9">+$R$4</f>
        <v>154.50490219883392</v>
      </c>
      <c r="V14" s="582">
        <f t="shared" ref="V14:V20" si="10">+T14*U14</f>
        <v>310.74397239621447</v>
      </c>
      <c r="W14" s="555">
        <f t="shared" ref="W14:W20" si="11">IF($F14="Prod",$I14*$O14*$J$4*$J$6,$I14*$O14*$J$5*$J$7)</f>
        <v>1.516322356320986</v>
      </c>
      <c r="X14" s="559">
        <f t="shared" ref="X14:X20" si="12">$S$4</f>
        <v>37.9060089869281</v>
      </c>
      <c r="Y14" s="582">
        <f t="shared" ref="Y14:Y20" si="13">+W14*X14</f>
        <v>57.477728865783291</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2945.6234136380558</v>
      </c>
      <c r="I15" s="553">
        <f>ITECountywide!$B$9*E15</f>
        <v>6.1083963685464484</v>
      </c>
      <c r="J15" s="554">
        <f t="shared" si="1"/>
        <v>1.67</v>
      </c>
      <c r="K15" s="416">
        <f t="shared" si="2"/>
        <v>0.72504937644602452</v>
      </c>
      <c r="L15" s="554">
        <f>Passby_Length_Adj!H10</f>
        <v>1</v>
      </c>
      <c r="M15" s="554">
        <f>Passby_Length_Adj!J10</f>
        <v>1</v>
      </c>
      <c r="N15" s="416">
        <v>0.5</v>
      </c>
      <c r="O15" s="546">
        <f t="shared" si="3"/>
        <v>0.5</v>
      </c>
      <c r="P15" s="555">
        <f t="shared" si="4"/>
        <v>17.702784844995708</v>
      </c>
      <c r="Q15" s="556">
        <f t="shared" si="5"/>
        <v>10.600469967063299</v>
      </c>
      <c r="R15" s="561">
        <f t="shared" si="6"/>
        <v>254.27556818181819</v>
      </c>
      <c r="S15" s="582">
        <f t="shared" si="7"/>
        <v>2695.4405238693198</v>
      </c>
      <c r="T15" s="555">
        <f t="shared" si="8"/>
        <v>1.3664969734960426</v>
      </c>
      <c r="U15" s="559">
        <f t="shared" si="9"/>
        <v>154.50490219883392</v>
      </c>
      <c r="V15" s="582">
        <f t="shared" si="10"/>
        <v>211.13048124500861</v>
      </c>
      <c r="W15" s="555">
        <f t="shared" si="11"/>
        <v>1.0302432138713149</v>
      </c>
      <c r="X15" s="559">
        <f t="shared" si="12"/>
        <v>37.9060089869281</v>
      </c>
      <c r="Y15" s="582">
        <f t="shared" si="13"/>
        <v>39.052408523727749</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3435.1038621951225</v>
      </c>
      <c r="I16" s="553">
        <f>ITECountywide!$B$9*E16</f>
        <v>7.1234414624295379</v>
      </c>
      <c r="J16" s="554">
        <f t="shared" si="1"/>
        <v>1.67</v>
      </c>
      <c r="K16" s="416">
        <f t="shared" si="2"/>
        <v>0.72504937644602452</v>
      </c>
      <c r="L16" s="554">
        <f>Passby_Length_Adj!H11</f>
        <v>1</v>
      </c>
      <c r="M16" s="554">
        <f>Passby_Length_Adj!J11</f>
        <v>1</v>
      </c>
      <c r="N16" s="416">
        <v>0.5</v>
      </c>
      <c r="O16" s="546">
        <f t="shared" si="3"/>
        <v>0.5</v>
      </c>
      <c r="P16" s="555">
        <f t="shared" si="4"/>
        <v>20.644493899357016</v>
      </c>
      <c r="Q16" s="556">
        <f t="shared" si="5"/>
        <v>12.36197239482456</v>
      </c>
      <c r="R16" s="561">
        <f t="shared" si="6"/>
        <v>254.27556818181819</v>
      </c>
      <c r="S16" s="582">
        <f t="shared" si="7"/>
        <v>3143.3475545419669</v>
      </c>
      <c r="T16" s="555">
        <f t="shared" si="8"/>
        <v>1.5935706545517649</v>
      </c>
      <c r="U16" s="559">
        <f t="shared" si="9"/>
        <v>154.50490219883392</v>
      </c>
      <c r="V16" s="582">
        <f t="shared" si="10"/>
        <v>246.21447812845219</v>
      </c>
      <c r="W16" s="555">
        <f t="shared" si="11"/>
        <v>1.2014408992623939</v>
      </c>
      <c r="X16" s="559">
        <f t="shared" si="12"/>
        <v>37.9060089869281</v>
      </c>
      <c r="Y16" s="582">
        <f t="shared" si="13"/>
        <v>45.541829524703282</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1520.8856794451681</v>
      </c>
      <c r="I17" s="553">
        <f>ITECountywide!$B$9*E17</f>
        <v>3.1538901131367418</v>
      </c>
      <c r="J17" s="554">
        <f t="shared" si="1"/>
        <v>1.67</v>
      </c>
      <c r="K17" s="416">
        <f t="shared" si="2"/>
        <v>0.72504937644602452</v>
      </c>
      <c r="L17" s="554">
        <f>Passby_Length_Adj!H12</f>
        <v>1</v>
      </c>
      <c r="M17" s="554">
        <f>Passby_Length_Adj!J12</f>
        <v>1</v>
      </c>
      <c r="N17" s="416">
        <v>0.5</v>
      </c>
      <c r="O17" s="546">
        <f t="shared" si="3"/>
        <v>0.5</v>
      </c>
      <c r="P17" s="555">
        <f t="shared" si="4"/>
        <v>9.1403102760511956</v>
      </c>
      <c r="Q17" s="556">
        <f t="shared" si="5"/>
        <v>5.4732396862582009</v>
      </c>
      <c r="R17" s="561">
        <f t="shared" si="6"/>
        <v>254.27556818181819</v>
      </c>
      <c r="S17" s="582">
        <f t="shared" si="7"/>
        <v>1391.7111310185803</v>
      </c>
      <c r="T17" s="555">
        <f t="shared" si="8"/>
        <v>0.70555036613742261</v>
      </c>
      <c r="U17" s="559">
        <f t="shared" si="9"/>
        <v>154.50490219883392</v>
      </c>
      <c r="V17" s="582">
        <f t="shared" si="10"/>
        <v>109.01099031641394</v>
      </c>
      <c r="W17" s="555">
        <f t="shared" si="11"/>
        <v>0.53193566532228131</v>
      </c>
      <c r="X17" s="559">
        <f t="shared" si="12"/>
        <v>37.9060089869281</v>
      </c>
      <c r="Y17" s="582">
        <f t="shared" si="13"/>
        <v>20.163558110173973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1319.8490666449452</v>
      </c>
      <c r="I18" s="553">
        <f>ITECountywide!$B$9*E18</f>
        <v>2.736996592434759</v>
      </c>
      <c r="J18" s="562">
        <f t="shared" si="1"/>
        <v>1.67</v>
      </c>
      <c r="K18" s="416">
        <f t="shared" si="2"/>
        <v>0.72504937644602452</v>
      </c>
      <c r="L18" s="554">
        <f>Passby_Length_Adj!H13</f>
        <v>1</v>
      </c>
      <c r="M18" s="554">
        <f>Passby_Length_Adj!J13</f>
        <v>1</v>
      </c>
      <c r="N18" s="416">
        <v>0.5</v>
      </c>
      <c r="O18" s="546">
        <f t="shared" si="3"/>
        <v>0.5</v>
      </c>
      <c r="P18" s="555">
        <f t="shared" si="4"/>
        <v>7.932108343009947</v>
      </c>
      <c r="Q18" s="556">
        <f t="shared" si="5"/>
        <v>4.7497654748562557</v>
      </c>
      <c r="R18" s="561">
        <f t="shared" si="6"/>
        <v>254.27556818181819</v>
      </c>
      <c r="S18" s="582">
        <f t="shared" si="7"/>
        <v>1207.749314849458</v>
      </c>
      <c r="T18" s="555">
        <f t="shared" si="8"/>
        <v>0.61228796141810815</v>
      </c>
      <c r="U18" s="559">
        <f t="shared" si="9"/>
        <v>154.50490219883392</v>
      </c>
      <c r="V18" s="582">
        <f t="shared" si="10"/>
        <v>94.60149159642819</v>
      </c>
      <c r="W18" s="555">
        <f t="shared" si="11"/>
        <v>0.46162233025094529</v>
      </c>
      <c r="X18" s="559">
        <f t="shared" si="12"/>
        <v>37.9060089869281</v>
      </c>
      <c r="Y18" s="582">
        <f t="shared" si="13"/>
        <v>17.498260199059022</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865.3315072705268</v>
      </c>
      <c r="I19" s="553">
        <f>ITECountywide!$B$9*E19</f>
        <v>1.7944547195433187</v>
      </c>
      <c r="J19" s="554">
        <f t="shared" si="1"/>
        <v>1.67</v>
      </c>
      <c r="K19" s="416">
        <f t="shared" si="2"/>
        <v>0.72504937644602452</v>
      </c>
      <c r="L19" s="554">
        <f>Passby_Length_Adj!H14</f>
        <v>1</v>
      </c>
      <c r="M19" s="554">
        <f>Passby_Length_Adj!J14</f>
        <v>1</v>
      </c>
      <c r="N19" s="416">
        <v>0.5</v>
      </c>
      <c r="O19" s="546">
        <f t="shared" si="3"/>
        <v>0.5</v>
      </c>
      <c r="P19" s="555">
        <f t="shared" si="4"/>
        <v>5.2005213639601635</v>
      </c>
      <c r="Q19" s="556">
        <f t="shared" si="5"/>
        <v>3.1140846490779421</v>
      </c>
      <c r="R19" s="561">
        <f t="shared" si="6"/>
        <v>254.27556818181819</v>
      </c>
      <c r="S19" s="582">
        <f t="shared" si="7"/>
        <v>791.83564351057169</v>
      </c>
      <c r="T19" s="555">
        <f t="shared" si="8"/>
        <v>0.40143382900922325</v>
      </c>
      <c r="U19" s="559">
        <f t="shared" si="9"/>
        <v>154.50490219883392</v>
      </c>
      <c r="V19" s="582">
        <f t="shared" si="10"/>
        <v>62.023494490373459</v>
      </c>
      <c r="W19" s="555">
        <f t="shared" si="11"/>
        <v>0.30265305095922906</v>
      </c>
      <c r="X19" s="559">
        <f t="shared" si="12"/>
        <v>37.9060089869281</v>
      </c>
      <c r="Y19" s="582">
        <f t="shared" si="13"/>
        <v>11.472369269581746</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11572.716319456342</v>
      </c>
      <c r="I20" s="553">
        <f>ITECountywide!$B$9*E20</f>
        <v>23.998566148235899</v>
      </c>
      <c r="J20" s="554">
        <f t="shared" si="1"/>
        <v>1.67</v>
      </c>
      <c r="K20" s="416">
        <f t="shared" si="2"/>
        <v>0.72504937644602452</v>
      </c>
      <c r="L20" s="554">
        <f>Passby_Length_Adj!H15</f>
        <v>1</v>
      </c>
      <c r="M20" s="554">
        <f>Passby_Length_Adj!J15</f>
        <v>1</v>
      </c>
      <c r="N20" s="416">
        <v>0.5</v>
      </c>
      <c r="O20" s="546">
        <f t="shared" si="3"/>
        <v>0.5</v>
      </c>
      <c r="P20" s="555">
        <f t="shared" si="4"/>
        <v>69.550406928113716</v>
      </c>
      <c r="Q20" s="556">
        <f t="shared" si="5"/>
        <v>41.646950256355524</v>
      </c>
      <c r="R20" s="561">
        <f t="shared" si="6"/>
        <v>254.27556818181819</v>
      </c>
      <c r="S20" s="582">
        <f t="shared" si="7"/>
        <v>10589.801939474719</v>
      </c>
      <c r="T20" s="555">
        <f t="shared" si="8"/>
        <v>5.3686706021031467</v>
      </c>
      <c r="U20" s="559">
        <f t="shared" si="9"/>
        <v>154.50490219883392</v>
      </c>
      <c r="V20" s="582">
        <f t="shared" si="10"/>
        <v>829.48592631570148</v>
      </c>
      <c r="W20" s="555">
        <f t="shared" si="11"/>
        <v>4.0476024188890829</v>
      </c>
      <c r="X20" s="559">
        <f t="shared" si="12"/>
        <v>37.9060089869281</v>
      </c>
      <c r="Y20" s="582">
        <f t="shared" si="13"/>
        <v>153.4284536659215</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7194.4237160360653</v>
      </c>
      <c r="I22" s="553">
        <f>ITECountywide!$B$9*E22</f>
        <v>17.110760154029219</v>
      </c>
      <c r="J22" s="554">
        <f t="shared" ref="J22:J35" si="14">IF(F22="Prod",$M$3,$M$4)</f>
        <v>1.67</v>
      </c>
      <c r="K22" s="416">
        <f t="shared" ref="K22:K35" si="15">IF(F22="Prod",$F$4,$F$5)</f>
        <v>0.64369868155585797</v>
      </c>
      <c r="L22" s="554">
        <f>Passby_Length_Adj!H17</f>
        <v>1</v>
      </c>
      <c r="M22" s="554">
        <f>Passby_Length_Adj!J17</f>
        <v>1</v>
      </c>
      <c r="N22" s="416">
        <v>0.5</v>
      </c>
      <c r="O22" s="546">
        <f t="shared" ref="O22:O35" si="16">L22*M22*N22</f>
        <v>0.5</v>
      </c>
      <c r="P22" s="555">
        <f t="shared" ref="P22:P35" si="17">IF($F22="Prod",$I22*$O22*$F$4*$F$6,$I22*O22*$F$5*$F$7)</f>
        <v>40.812082867640278</v>
      </c>
      <c r="Q22" s="556">
        <f t="shared" ref="Q22:Q35" si="18">+P22/J22</f>
        <v>24.438372974634898</v>
      </c>
      <c r="R22" s="561">
        <f t="shared" ref="R22:R35" si="19">+$Q$4</f>
        <v>254.27556818181819</v>
      </c>
      <c r="S22" s="582">
        <f t="shared" ref="S22:S35" si="20">+Q22*R22</f>
        <v>6214.0811735644793</v>
      </c>
      <c r="T22" s="555">
        <f t="shared" ref="T22:T35" si="21">IF($F22="Prod",$I22*$O22*$G$4*$G$6,$I22*$O22*$G$5*$G$7)</f>
        <v>5.4613505356378793</v>
      </c>
      <c r="U22" s="559">
        <f t="shared" ref="U22:U35" si="22">+$R$4</f>
        <v>154.50490219883392</v>
      </c>
      <c r="V22" s="582">
        <f t="shared" ref="V22:V35" si="23">+T22*U22</f>
        <v>843.80543038227972</v>
      </c>
      <c r="W22" s="555">
        <f t="shared" ref="W22:W35" si="24">IF($F22="Prod",$I22*$O22*$J$4*$J$6,$I22*$O22*$J$5*$J$7)</f>
        <v>3.6019912340650495</v>
      </c>
      <c r="X22" s="559">
        <f t="shared" ref="X22:X35" si="25">$S$4</f>
        <v>37.9060089869281</v>
      </c>
      <c r="Y22" s="582">
        <f t="shared" ref="Y22:Y35" si="26">+W22*X22</f>
        <v>136.53711208930599</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5578.7268645533904</v>
      </c>
      <c r="I23" s="553">
        <f>ITECountywide!$B$9*E23</f>
        <v>13.268089441471812</v>
      </c>
      <c r="J23" s="554">
        <f t="shared" si="14"/>
        <v>1.67</v>
      </c>
      <c r="K23" s="416">
        <f t="shared" si="15"/>
        <v>0.64369868155585797</v>
      </c>
      <c r="L23" s="554">
        <f>Passby_Length_Adj!H18</f>
        <v>1</v>
      </c>
      <c r="M23" s="554">
        <f>Passby_Length_Adj!J18</f>
        <v>1</v>
      </c>
      <c r="N23" s="416">
        <v>0.5</v>
      </c>
      <c r="O23" s="546">
        <f t="shared" si="16"/>
        <v>0.5</v>
      </c>
      <c r="P23" s="555">
        <f t="shared" si="17"/>
        <v>31.646657477873614</v>
      </c>
      <c r="Q23" s="556">
        <f t="shared" si="18"/>
        <v>18.950094298127912</v>
      </c>
      <c r="R23" s="561">
        <f t="shared" si="19"/>
        <v>254.27556818181819</v>
      </c>
      <c r="S23" s="582">
        <f t="shared" si="20"/>
        <v>4818.5459947555082</v>
      </c>
      <c r="T23" s="555">
        <f t="shared" si="21"/>
        <v>4.2348607967022547</v>
      </c>
      <c r="U23" s="559">
        <f t="shared" si="22"/>
        <v>154.50490219883392</v>
      </c>
      <c r="V23" s="582">
        <f t="shared" si="23"/>
        <v>654.3067532201577</v>
      </c>
      <c r="W23" s="555">
        <f t="shared" si="24"/>
        <v>2.7930694738724755</v>
      </c>
      <c r="X23" s="559">
        <f t="shared" si="25"/>
        <v>37.9060089869281</v>
      </c>
      <c r="Y23" s="582">
        <f t="shared" si="26"/>
        <v>105.87411657772459</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4145.9390905970549</v>
      </c>
      <c r="I24" s="553">
        <f>ITECountywide!$B$9*E24</f>
        <v>9.8604380548642965</v>
      </c>
      <c r="J24" s="554">
        <f t="shared" si="14"/>
        <v>1.67</v>
      </c>
      <c r="K24" s="416">
        <f t="shared" si="15"/>
        <v>0.64369868155585797</v>
      </c>
      <c r="L24" s="554">
        <f>Passby_Length_Adj!H19</f>
        <v>1</v>
      </c>
      <c r="M24" s="554">
        <f>Passby_Length_Adj!J19</f>
        <v>1</v>
      </c>
      <c r="N24" s="416">
        <v>0.5</v>
      </c>
      <c r="O24" s="546">
        <f t="shared" si="16"/>
        <v>0.5</v>
      </c>
      <c r="P24" s="555">
        <f t="shared" si="17"/>
        <v>23.518827415250332</v>
      </c>
      <c r="Q24" s="556">
        <f t="shared" si="18"/>
        <v>14.083130188772655</v>
      </c>
      <c r="R24" s="561">
        <f t="shared" si="19"/>
        <v>254.27556818181819</v>
      </c>
      <c r="S24" s="582">
        <f t="shared" si="20"/>
        <v>3580.9959305286834</v>
      </c>
      <c r="T24" s="555">
        <f t="shared" si="21"/>
        <v>3.1472189527404733</v>
      </c>
      <c r="U24" s="559">
        <f t="shared" si="22"/>
        <v>154.50490219883392</v>
      </c>
      <c r="V24" s="582">
        <f t="shared" si="23"/>
        <v>486.26075649148333</v>
      </c>
      <c r="W24" s="555">
        <f t="shared" si="24"/>
        <v>2.0757237620035882</v>
      </c>
      <c r="X24" s="559">
        <f t="shared" si="25"/>
        <v>37.9060089869281</v>
      </c>
      <c r="Y24" s="582">
        <f t="shared" si="26"/>
        <v>78.68240357688822</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3391.4391458009</v>
      </c>
      <c r="I25" s="553">
        <f>ITECountywide!$B$9*E25</f>
        <v>8.0659833353209791</v>
      </c>
      <c r="J25" s="554">
        <f t="shared" si="14"/>
        <v>1.67</v>
      </c>
      <c r="K25" s="416">
        <f t="shared" si="15"/>
        <v>0.64369868155585797</v>
      </c>
      <c r="L25" s="554">
        <f>Passby_Length_Adj!H20</f>
        <v>1</v>
      </c>
      <c r="M25" s="554">
        <f>Passby_Length_Adj!J20</f>
        <v>1</v>
      </c>
      <c r="N25" s="416">
        <v>0.5</v>
      </c>
      <c r="O25" s="546">
        <f t="shared" si="16"/>
        <v>0.5</v>
      </c>
      <c r="P25" s="555">
        <f t="shared" si="17"/>
        <v>19.23874669078382</v>
      </c>
      <c r="Q25" s="556">
        <f t="shared" si="18"/>
        <v>11.52020759927175</v>
      </c>
      <c r="R25" s="561">
        <f t="shared" si="19"/>
        <v>254.27556818181819</v>
      </c>
      <c r="S25" s="582">
        <f t="shared" si="20"/>
        <v>2929.3073328773239</v>
      </c>
      <c r="T25" s="555">
        <f t="shared" si="21"/>
        <v>2.5744713859733652</v>
      </c>
      <c r="U25" s="559">
        <f t="shared" si="22"/>
        <v>154.50490219883392</v>
      </c>
      <c r="V25" s="582">
        <f t="shared" si="23"/>
        <v>397.76844970351118</v>
      </c>
      <c r="W25" s="555">
        <f t="shared" si="24"/>
        <v>1.6979725626683768</v>
      </c>
      <c r="X25" s="559">
        <f t="shared" si="25"/>
        <v>37.9060089869281</v>
      </c>
      <c r="Y25" s="582">
        <f t="shared" si="26"/>
        <v>64.363363220064826</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4466.0299762681507</v>
      </c>
      <c r="I26" s="553">
        <f>ITECountywide!$B$9*E26</f>
        <v>10.621721875276615</v>
      </c>
      <c r="J26" s="554">
        <f t="shared" si="14"/>
        <v>1.67</v>
      </c>
      <c r="K26" s="416">
        <f t="shared" si="15"/>
        <v>0.64369868155585797</v>
      </c>
      <c r="L26" s="554">
        <f>Passby_Length_Adj!H22</f>
        <v>1</v>
      </c>
      <c r="M26" s="554">
        <f>Passby_Length_Adj!J22</f>
        <v>1</v>
      </c>
      <c r="N26" s="416">
        <v>0.5</v>
      </c>
      <c r="O26" s="546">
        <f t="shared" si="16"/>
        <v>0.5</v>
      </c>
      <c r="P26" s="555">
        <f t="shared" si="17"/>
        <v>25.33461923775128</v>
      </c>
      <c r="Q26" s="556">
        <f t="shared" si="18"/>
        <v>15.170430681288192</v>
      </c>
      <c r="R26" s="561">
        <f t="shared" si="19"/>
        <v>254.27556818181819</v>
      </c>
      <c r="S26" s="582">
        <f t="shared" si="20"/>
        <v>3857.469881047442</v>
      </c>
      <c r="T26" s="555">
        <f t="shared" si="21"/>
        <v>3.3902027689447012</v>
      </c>
      <c r="U26" s="559">
        <f t="shared" si="22"/>
        <v>154.50490219883392</v>
      </c>
      <c r="V26" s="582">
        <f t="shared" si="23"/>
        <v>523.80294725001704</v>
      </c>
      <c r="W26" s="555">
        <f t="shared" si="24"/>
        <v>2.2359818465700418</v>
      </c>
      <c r="X26" s="559">
        <f t="shared" si="25"/>
        <v>37.9060089869281</v>
      </c>
      <c r="Y26" s="582">
        <f t="shared" si="26"/>
        <v>84.757147970692088</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2621.6967778775493</v>
      </c>
      <c r="I27" s="553">
        <f>ITECountywide!$B$9*E27</f>
        <v>6.2352770052818345</v>
      </c>
      <c r="J27" s="554">
        <f t="shared" si="14"/>
        <v>1.67</v>
      </c>
      <c r="K27" s="416">
        <f t="shared" si="15"/>
        <v>0.64369868155585797</v>
      </c>
      <c r="L27" s="554">
        <f>Passby_Length_Adj!H22</f>
        <v>1</v>
      </c>
      <c r="M27" s="554">
        <f>Passby_Length_Adj!J22</f>
        <v>1</v>
      </c>
      <c r="N27" s="416">
        <v>0.5</v>
      </c>
      <c r="O27" s="546">
        <f t="shared" si="16"/>
        <v>0.5</v>
      </c>
      <c r="P27" s="555">
        <f t="shared" si="17"/>
        <v>14.872199689055355</v>
      </c>
      <c r="Q27" s="556">
        <f t="shared" si="18"/>
        <v>8.9055087958415307</v>
      </c>
      <c r="R27" s="561">
        <f t="shared" si="19"/>
        <v>254.27556818181819</v>
      </c>
      <c r="S27" s="582">
        <f t="shared" si="20"/>
        <v>2264.4533090107848</v>
      </c>
      <c r="T27" s="555">
        <f t="shared" si="21"/>
        <v>1.9901531612917698</v>
      </c>
      <c r="U27" s="559">
        <f t="shared" si="22"/>
        <v>154.50490219883392</v>
      </c>
      <c r="V27" s="582">
        <f t="shared" si="23"/>
        <v>307.48841954608503</v>
      </c>
      <c r="W27" s="555">
        <f t="shared" si="24"/>
        <v>1.3125900259728573</v>
      </c>
      <c r="X27" s="559">
        <f t="shared" si="25"/>
        <v>37.9060089869281</v>
      </c>
      <c r="Y27" s="582">
        <f t="shared" si="26"/>
        <v>49.755049320679319</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3810.6057817987635</v>
      </c>
      <c r="I28" s="553">
        <f>ITECountywide!$B$9*E28</f>
        <v>9.0629026239561554</v>
      </c>
      <c r="J28" s="554">
        <f t="shared" si="14"/>
        <v>1.67</v>
      </c>
      <c r="K28" s="416">
        <f t="shared" si="15"/>
        <v>0.64369868155585797</v>
      </c>
      <c r="L28" s="554">
        <f>Passby_Length_Adj!H23</f>
        <v>1</v>
      </c>
      <c r="M28" s="554">
        <f>Passby_Length_Adj!J23</f>
        <v>1</v>
      </c>
      <c r="N28" s="416">
        <v>0.5</v>
      </c>
      <c r="O28" s="546">
        <f t="shared" si="16"/>
        <v>0.5</v>
      </c>
      <c r="P28" s="555">
        <f t="shared" si="17"/>
        <v>21.616569315487439</v>
      </c>
      <c r="Q28" s="556">
        <f t="shared" si="18"/>
        <v>12.944053482327808</v>
      </c>
      <c r="R28" s="561">
        <f t="shared" si="19"/>
        <v>254.27556818181819</v>
      </c>
      <c r="S28" s="582">
        <f t="shared" si="20"/>
        <v>3291.3565537947457</v>
      </c>
      <c r="T28" s="555">
        <f t="shared" si="21"/>
        <v>2.8926644786217586</v>
      </c>
      <c r="U28" s="559">
        <f t="shared" si="22"/>
        <v>154.50490219883392</v>
      </c>
      <c r="V28" s="582">
        <f t="shared" si="23"/>
        <v>446.93084236349574</v>
      </c>
      <c r="W28" s="555">
        <f t="shared" si="24"/>
        <v>1.9078343400768274</v>
      </c>
      <c r="X28" s="559">
        <f t="shared" si="25"/>
        <v>37.9060089869281</v>
      </c>
      <c r="Y28" s="582">
        <f t="shared" si="26"/>
        <v>72.318385640522266</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3254.257337656144</v>
      </c>
      <c r="I29" s="553">
        <f>ITECountywide!$B$9*E29</f>
        <v>7.739718840858556</v>
      </c>
      <c r="J29" s="554">
        <f t="shared" si="14"/>
        <v>1.67</v>
      </c>
      <c r="K29" s="416">
        <f t="shared" si="15"/>
        <v>0.64369868155585797</v>
      </c>
      <c r="L29" s="554">
        <f>Passby_Length_Adj!H24</f>
        <v>1</v>
      </c>
      <c r="M29" s="554">
        <f>Passby_Length_Adj!J24</f>
        <v>1</v>
      </c>
      <c r="N29" s="416">
        <v>0.5</v>
      </c>
      <c r="O29" s="546">
        <f t="shared" si="16"/>
        <v>0.5</v>
      </c>
      <c r="P29" s="555">
        <f t="shared" si="17"/>
        <v>18.460550195426272</v>
      </c>
      <c r="Q29" s="556">
        <f t="shared" si="18"/>
        <v>11.054221673907948</v>
      </c>
      <c r="R29" s="561">
        <f t="shared" si="19"/>
        <v>254.27556818181819</v>
      </c>
      <c r="S29" s="582">
        <f t="shared" si="20"/>
        <v>2810.818496940713</v>
      </c>
      <c r="T29" s="555">
        <f t="shared" si="21"/>
        <v>2.4703354647429818</v>
      </c>
      <c r="U29" s="559">
        <f t="shared" si="22"/>
        <v>154.50490219883392</v>
      </c>
      <c r="V29" s="582">
        <f t="shared" si="23"/>
        <v>381.67893937842535</v>
      </c>
      <c r="W29" s="555">
        <f t="shared" si="24"/>
        <v>1.6292905264256106</v>
      </c>
      <c r="X29" s="559">
        <f t="shared" si="25"/>
        <v>37.9060089869281</v>
      </c>
      <c r="Y29" s="582">
        <f t="shared" si="26"/>
        <v>61.759901337006006</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2819.8482785310848</v>
      </c>
      <c r="I30" s="553">
        <f>ITECountywide!$B$9*E30</f>
        <v>6.7065479417275551</v>
      </c>
      <c r="J30" s="554">
        <f t="shared" si="14"/>
        <v>1.67</v>
      </c>
      <c r="K30" s="416">
        <f t="shared" si="15"/>
        <v>0.64369868155585797</v>
      </c>
      <c r="L30" s="554">
        <f>Passby_Length_Adj!H25</f>
        <v>1</v>
      </c>
      <c r="M30" s="554">
        <f>Passby_Length_Adj!J25</f>
        <v>1</v>
      </c>
      <c r="N30" s="416">
        <v>0.5</v>
      </c>
      <c r="O30" s="546">
        <f t="shared" si="16"/>
        <v>0.5</v>
      </c>
      <c r="P30" s="555">
        <f t="shared" si="17"/>
        <v>15.996261293460705</v>
      </c>
      <c r="Q30" s="556">
        <f t="shared" si="18"/>
        <v>9.5785995769225778</v>
      </c>
      <c r="R30" s="561">
        <f t="shared" si="19"/>
        <v>254.27556818181819</v>
      </c>
      <c r="S30" s="582">
        <f t="shared" si="20"/>
        <v>2435.6038498081116</v>
      </c>
      <c r="T30" s="555">
        <f t="shared" si="21"/>
        <v>2.1405717141801013</v>
      </c>
      <c r="U30" s="559">
        <f t="shared" si="22"/>
        <v>154.50490219883392</v>
      </c>
      <c r="V30" s="582">
        <f t="shared" si="23"/>
        <v>330.72882334898679</v>
      </c>
      <c r="W30" s="555">
        <f t="shared" si="24"/>
        <v>1.4117974116568524</v>
      </c>
      <c r="X30" s="559">
        <f t="shared" si="25"/>
        <v>37.9060089869281</v>
      </c>
      <c r="Y30" s="582">
        <f t="shared" si="26"/>
        <v>53.515605373986475</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1539.4847358467007</v>
      </c>
      <c r="I31" s="553">
        <f>ITECountywide!$B$9*E31</f>
        <v>3.6614126600782866</v>
      </c>
      <c r="J31" s="554">
        <f t="shared" si="14"/>
        <v>1.67</v>
      </c>
      <c r="K31" s="416">
        <f t="shared" si="15"/>
        <v>0.64369868155585797</v>
      </c>
      <c r="L31" s="554">
        <f>Passby_Length_Adj!H26</f>
        <v>1</v>
      </c>
      <c r="M31" s="554">
        <f>Passby_Length_Adj!J26</f>
        <v>1</v>
      </c>
      <c r="N31" s="416">
        <v>0.5</v>
      </c>
      <c r="O31" s="546">
        <f t="shared" si="16"/>
        <v>0.5</v>
      </c>
      <c r="P31" s="555">
        <f t="shared" si="17"/>
        <v>8.7330940034569249</v>
      </c>
      <c r="Q31" s="556">
        <f t="shared" si="18"/>
        <v>5.2293976068604344</v>
      </c>
      <c r="R31" s="557">
        <f t="shared" si="19"/>
        <v>254.27556818181819</v>
      </c>
      <c r="S31" s="582">
        <f t="shared" si="20"/>
        <v>1329.7080477330774</v>
      </c>
      <c r="T31" s="555">
        <f t="shared" si="21"/>
        <v>1.1686364493631904</v>
      </c>
      <c r="U31" s="559">
        <f t="shared" si="22"/>
        <v>154.50490219883392</v>
      </c>
      <c r="V31" s="582">
        <f t="shared" si="23"/>
        <v>180.56006031485228</v>
      </c>
      <c r="W31" s="555">
        <f t="shared" si="24"/>
        <v>0.77076507339103828</v>
      </c>
      <c r="X31" s="559">
        <f t="shared" si="25"/>
        <v>37.9060089869281</v>
      </c>
      <c r="Y31" s="582">
        <f t="shared" si="26"/>
        <v>29.216627798770993</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1981.5150065353573</v>
      </c>
      <c r="I32" s="553">
        <f>ITECountywide!$B$9*E32</f>
        <v>4.7127093644572007</v>
      </c>
      <c r="J32" s="562">
        <f t="shared" si="14"/>
        <v>1.67</v>
      </c>
      <c r="K32" s="416">
        <f t="shared" si="15"/>
        <v>0.64369868155585797</v>
      </c>
      <c r="L32" s="554">
        <f>Passby_Length_Adj!H27</f>
        <v>1</v>
      </c>
      <c r="M32" s="554">
        <f>Passby_Length_Adj!J27</f>
        <v>1</v>
      </c>
      <c r="N32" s="416">
        <v>0.5</v>
      </c>
      <c r="O32" s="546">
        <f t="shared" si="16"/>
        <v>0.5</v>
      </c>
      <c r="P32" s="555">
        <f t="shared" si="17"/>
        <v>11.240616044053469</v>
      </c>
      <c r="Q32" s="556">
        <f t="shared" si="18"/>
        <v>6.7309078108104607</v>
      </c>
      <c r="R32" s="557">
        <f t="shared" si="19"/>
        <v>254.27556818181819</v>
      </c>
      <c r="S32" s="582">
        <f t="shared" si="20"/>
        <v>1711.5054079732679</v>
      </c>
      <c r="T32" s="555">
        <f t="shared" si="21"/>
        <v>1.5041855288833146</v>
      </c>
      <c r="U32" s="563">
        <f t="shared" si="22"/>
        <v>154.50490219883392</v>
      </c>
      <c r="V32" s="583">
        <f t="shared" si="23"/>
        <v>232.40403802901778</v>
      </c>
      <c r="W32" s="555">
        <f t="shared" si="24"/>
        <v>0.99207385683995031</v>
      </c>
      <c r="X32" s="563">
        <f t="shared" si="25"/>
        <v>37.9060089869281</v>
      </c>
      <c r="Y32" s="583">
        <f t="shared" si="26"/>
        <v>37.605560533071575</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1829.0907752634064</v>
      </c>
      <c r="I33" s="553">
        <f>ITECountywide!$B$9*E33</f>
        <v>4.3501932594989539</v>
      </c>
      <c r="J33" s="562">
        <f t="shared" si="14"/>
        <v>1.67</v>
      </c>
      <c r="K33" s="416">
        <f t="shared" si="15"/>
        <v>0.64369868155585797</v>
      </c>
      <c r="L33" s="554">
        <f>Passby_Length_Adj!H28</f>
        <v>1</v>
      </c>
      <c r="M33" s="554">
        <f>Passby_Length_Adj!J28</f>
        <v>1</v>
      </c>
      <c r="N33" s="416">
        <v>0.5</v>
      </c>
      <c r="O33" s="546">
        <f t="shared" si="16"/>
        <v>0.5</v>
      </c>
      <c r="P33" s="555">
        <f t="shared" si="17"/>
        <v>10.37595327143397</v>
      </c>
      <c r="Q33" s="556">
        <f t="shared" si="18"/>
        <v>6.2131456715173474</v>
      </c>
      <c r="R33" s="557">
        <f t="shared" si="19"/>
        <v>254.27556818181819</v>
      </c>
      <c r="S33" s="582">
        <f t="shared" si="20"/>
        <v>1579.8511458214778</v>
      </c>
      <c r="T33" s="555">
        <f t="shared" si="21"/>
        <v>1.388478949738444</v>
      </c>
      <c r="U33" s="559">
        <f t="shared" si="22"/>
        <v>154.50490219883392</v>
      </c>
      <c r="V33" s="582">
        <f t="shared" si="23"/>
        <v>214.52680433447793</v>
      </c>
      <c r="W33" s="555">
        <f t="shared" si="24"/>
        <v>0.91576048323687698</v>
      </c>
      <c r="X33" s="559">
        <f t="shared" si="25"/>
        <v>37.9060089869281</v>
      </c>
      <c r="Y33" s="582">
        <f t="shared" si="26"/>
        <v>34.712825107450676</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6577.1055793846663</v>
      </c>
      <c r="I34" s="553">
        <f>ITECountywide!$B$9*E34</f>
        <v>15.642569928948324</v>
      </c>
      <c r="J34" s="562">
        <f t="shared" si="14"/>
        <v>1.67</v>
      </c>
      <c r="K34" s="416">
        <f t="shared" si="15"/>
        <v>0.64369868155585797</v>
      </c>
      <c r="L34" s="554">
        <f>Passby_Length_Adj!H29</f>
        <v>1</v>
      </c>
      <c r="M34" s="554">
        <f>Passby_Length_Adj!J29</f>
        <v>1</v>
      </c>
      <c r="N34" s="416">
        <v>0.5</v>
      </c>
      <c r="O34" s="546">
        <f t="shared" si="16"/>
        <v>0.5</v>
      </c>
      <c r="P34" s="555">
        <f t="shared" si="17"/>
        <v>37.310198638531318</v>
      </c>
      <c r="Q34" s="556">
        <f t="shared" si="18"/>
        <v>22.341436310497798</v>
      </c>
      <c r="R34" s="557">
        <f t="shared" si="19"/>
        <v>254.27556818181819</v>
      </c>
      <c r="S34" s="582">
        <f t="shared" si="20"/>
        <v>5680.8814118497312</v>
      </c>
      <c r="T34" s="555">
        <f t="shared" si="21"/>
        <v>4.9927388901011556</v>
      </c>
      <c r="U34" s="559">
        <f t="shared" si="22"/>
        <v>154.50490219883392</v>
      </c>
      <c r="V34" s="582">
        <f t="shared" si="23"/>
        <v>771.40263391939368</v>
      </c>
      <c r="W34" s="555">
        <f t="shared" si="24"/>
        <v>3.2929220709726046</v>
      </c>
      <c r="X34" s="559">
        <f t="shared" si="25"/>
        <v>37.9060089869281</v>
      </c>
      <c r="Y34" s="582">
        <f t="shared" si="26"/>
        <v>124.82153361554144</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5967.4086542968635</v>
      </c>
      <c r="I35" s="553">
        <f>ITECountywide!$B$9*E35</f>
        <v>14.192505509115339</v>
      </c>
      <c r="J35" s="562">
        <f t="shared" si="14"/>
        <v>1.67</v>
      </c>
      <c r="K35" s="416">
        <f t="shared" si="15"/>
        <v>0.64369868155585797</v>
      </c>
      <c r="L35" s="554">
        <f>Passby_Length_Adj!H30</f>
        <v>1</v>
      </c>
      <c r="M35" s="554">
        <f>Passby_Length_Adj!J30</f>
        <v>1</v>
      </c>
      <c r="N35" s="416">
        <v>0.5</v>
      </c>
      <c r="O35" s="546">
        <f t="shared" si="16"/>
        <v>0.5</v>
      </c>
      <c r="P35" s="555">
        <f t="shared" si="17"/>
        <v>33.851547548053325</v>
      </c>
      <c r="Q35" s="556">
        <f t="shared" si="18"/>
        <v>20.270387753325345</v>
      </c>
      <c r="R35" s="561">
        <f t="shared" si="19"/>
        <v>254.27556818181819</v>
      </c>
      <c r="S35" s="582">
        <f t="shared" si="20"/>
        <v>5154.2643632425707</v>
      </c>
      <c r="T35" s="555">
        <f t="shared" si="21"/>
        <v>4.5299125735216741</v>
      </c>
      <c r="U35" s="559">
        <f t="shared" si="22"/>
        <v>154.50490219883392</v>
      </c>
      <c r="V35" s="582">
        <f t="shared" si="23"/>
        <v>699.89369914123426</v>
      </c>
      <c r="W35" s="555">
        <f t="shared" si="24"/>
        <v>2.9876685765603117</v>
      </c>
      <c r="X35" s="559">
        <f t="shared" si="25"/>
        <v>37.9060089869281</v>
      </c>
      <c r="Y35" s="582">
        <f t="shared" si="26"/>
        <v>113.25059191305786</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6371.3328671675326</v>
      </c>
      <c r="I37" s="553">
        <f>ITECountywide!$B$9*E37</f>
        <v>15.153173187254691</v>
      </c>
      <c r="J37" s="562">
        <f>IF(F37="Prod",$M$3,$M$4)</f>
        <v>1.67</v>
      </c>
      <c r="K37" s="416">
        <f>IF(F37="Prod",$F$4,$F$5)</f>
        <v>0.64369868155585797</v>
      </c>
      <c r="L37" s="554">
        <f>Passby_Length_Adj!H32</f>
        <v>1</v>
      </c>
      <c r="M37" s="554">
        <f>Passby_Length_Adj!J32</f>
        <v>1</v>
      </c>
      <c r="N37" s="416">
        <v>0.5</v>
      </c>
      <c r="O37" s="546">
        <f>L37*M37*N37</f>
        <v>0.5</v>
      </c>
      <c r="P37" s="555">
        <f>IF($F37="Prod",$I37*$O37*$F$4*$F$6,$I37*O37*$F$5*$F$7)</f>
        <v>36.142903895494996</v>
      </c>
      <c r="Q37" s="556">
        <f>+P37/J37</f>
        <v>21.642457422452093</v>
      </c>
      <c r="R37" s="561">
        <f>+$Q$4</f>
        <v>254.27556818181819</v>
      </c>
      <c r="S37" s="582">
        <f>+Q37*R37</f>
        <v>5503.1481579448146</v>
      </c>
      <c r="T37" s="555">
        <f>IF($F37="Prod",$I37*$O37*$G$4*$G$6,$I37*$O37*$G$5*$G$7)</f>
        <v>4.8365350082555807</v>
      </c>
      <c r="U37" s="559">
        <f>+$R$4</f>
        <v>154.50490219883392</v>
      </c>
      <c r="V37" s="582">
        <f>+T37*U37</f>
        <v>747.26836843176488</v>
      </c>
      <c r="W37" s="555">
        <f>IF($F37="Prod",$I37*$O37*$J$4*$J$6,$I37*$O37*$J$5*$J$7)</f>
        <v>3.1898990166084555</v>
      </c>
      <c r="X37" s="559">
        <f>$S$4</f>
        <v>37.9060089869281</v>
      </c>
      <c r="Y37" s="582">
        <f>+W37*X37</f>
        <v>120.91634079095323</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3399.0603573644971</v>
      </c>
      <c r="I38" s="553">
        <f>ITECountywide!$B$9*E38</f>
        <v>8.0841091405688896</v>
      </c>
      <c r="J38" s="562">
        <f>IF(F38="Prod",$M$3,$M$4)</f>
        <v>1.67</v>
      </c>
      <c r="K38" s="416">
        <f>IF(F38="Prod",$F$4,$F$5)</f>
        <v>0.64369868155585797</v>
      </c>
      <c r="L38" s="554">
        <f>Passby_Length_Adj!H33</f>
        <v>1</v>
      </c>
      <c r="M38" s="554">
        <f>Passby_Length_Adj!J33</f>
        <v>1</v>
      </c>
      <c r="N38" s="416">
        <v>0.5</v>
      </c>
      <c r="O38" s="546">
        <f>L38*M38*N38</f>
        <v>0.5</v>
      </c>
      <c r="P38" s="555">
        <f>IF($F38="Prod",$I38*$O38*$F$4*$F$6,$I38*O38*$F$5*$F$7)</f>
        <v>19.281979829414794</v>
      </c>
      <c r="Q38" s="556">
        <f>+P38/J38</f>
        <v>11.546095706236404</v>
      </c>
      <c r="R38" s="561">
        <f>+$Q$4</f>
        <v>254.27556818181819</v>
      </c>
      <c r="S38" s="582">
        <f>+Q38*R38</f>
        <v>2935.8900459849128</v>
      </c>
      <c r="T38" s="555">
        <f>IF($F38="Prod",$I38*$O38*$G$4*$G$6,$I38*$O38*$G$5*$G$7)</f>
        <v>2.5802567149306084</v>
      </c>
      <c r="U38" s="559">
        <f>+$R$4</f>
        <v>154.50490219883392</v>
      </c>
      <c r="V38" s="582">
        <f>+T38*U38</f>
        <v>398.66231138823815</v>
      </c>
      <c r="W38" s="555">
        <f>IF($F38="Prod",$I38*$O38*$J$4*$J$6,$I38*$O38*$J$5*$J$7)</f>
        <v>1.70178823134853</v>
      </c>
      <c r="X38" s="559">
        <f>$S$4</f>
        <v>37.9060089869281</v>
      </c>
      <c r="Y38" s="582">
        <f>+W38*X38</f>
        <v>64.507999991345855</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2553.1058738051715</v>
      </c>
      <c r="I39" s="553">
        <f>ITECountywide!$B$9*E39</f>
        <v>6.0721447580506238</v>
      </c>
      <c r="J39" s="562">
        <f>IF(F39="Prod",$M$3,$M$4)</f>
        <v>1.67</v>
      </c>
      <c r="K39" s="416">
        <f>IF(F39="Prod",$F$4,$F$5)</f>
        <v>0.64369868155585797</v>
      </c>
      <c r="L39" s="554">
        <f>Passby_Length_Adj!H34</f>
        <v>1</v>
      </c>
      <c r="M39" s="554">
        <f>Passby_Length_Adj!J34</f>
        <v>1</v>
      </c>
      <c r="N39" s="416">
        <v>0.5</v>
      </c>
      <c r="O39" s="546">
        <f>L39*M39*N39</f>
        <v>0.5</v>
      </c>
      <c r="P39" s="555">
        <f>IF($F39="Prod",$I39*$O39*$F$4*$F$6,$I39*O39*$F$5*$F$7)</f>
        <v>14.483101441376583</v>
      </c>
      <c r="Q39" s="556">
        <f>+P39/J39</f>
        <v>8.6725158331596308</v>
      </c>
      <c r="R39" s="561">
        <f>+$Q$4</f>
        <v>254.27556818181819</v>
      </c>
      <c r="S39" s="582">
        <f>+Q39*R39</f>
        <v>2205.2088910424795</v>
      </c>
      <c r="T39" s="555">
        <f>IF($F39="Prod",$I39*$O39*$G$4*$G$6,$I39*$O39*$G$5*$G$7)</f>
        <v>1.9380852006765781</v>
      </c>
      <c r="U39" s="559">
        <f>+$R$4</f>
        <v>154.50490219883392</v>
      </c>
      <c r="V39" s="582">
        <f>+T39*U39</f>
        <v>299.44366438354211</v>
      </c>
      <c r="W39" s="555">
        <f>IF($F39="Prod",$I39*$O39*$J$4*$J$6,$I39*$O39*$J$5*$J$7)</f>
        <v>1.2782490078514743</v>
      </c>
      <c r="X39" s="559">
        <f>$S$4</f>
        <v>37.9060089869281</v>
      </c>
      <c r="Y39" s="582">
        <f>+W39*X39</f>
        <v>48.453318379149913</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3063.7270485662061</v>
      </c>
      <c r="I40" s="553">
        <f>ITECountywide!$B$9*E40</f>
        <v>7.2865737096607477</v>
      </c>
      <c r="J40" s="562">
        <f>IF(F40="Prod",$M$3,$M$4)</f>
        <v>1.67</v>
      </c>
      <c r="K40" s="416">
        <f>IF(F40="Prod",$F$4,$F$5)</f>
        <v>0.64369868155585797</v>
      </c>
      <c r="L40" s="554">
        <f>Passby_Length_Adj!H35</f>
        <v>1</v>
      </c>
      <c r="M40" s="554">
        <f>Passby_Length_Adj!J35</f>
        <v>1</v>
      </c>
      <c r="N40" s="416">
        <v>0.5</v>
      </c>
      <c r="O40" s="546">
        <f>L40*M40*N40</f>
        <v>0.5</v>
      </c>
      <c r="P40" s="555">
        <f>IF($F40="Prod",$I40*$O40*$F$4*$F$6,$I40*O40*$F$5*$F$7)</f>
        <v>17.379721729651898</v>
      </c>
      <c r="Q40" s="556">
        <f>+P40/J40</f>
        <v>10.407018999791557</v>
      </c>
      <c r="R40" s="561">
        <f>+$Q$4</f>
        <v>254.27556818181819</v>
      </c>
      <c r="S40" s="582">
        <f>+Q40*R40</f>
        <v>2646.2506692509755</v>
      </c>
      <c r="T40" s="555">
        <f>IF($F40="Prod",$I40*$O40*$G$4*$G$6,$I40*$O40*$G$5*$G$7)</f>
        <v>2.3257022408118933</v>
      </c>
      <c r="U40" s="559">
        <f>+$R$4</f>
        <v>154.50490219883392</v>
      </c>
      <c r="V40" s="582">
        <f>+T40*U40</f>
        <v>359.33239726025045</v>
      </c>
      <c r="W40" s="555">
        <f>IF($F40="Prod",$I40*$O40*$J$4*$J$6,$I40*$O40*$J$5*$J$7)</f>
        <v>1.5338988094217691</v>
      </c>
      <c r="X40" s="559">
        <f>$S$4</f>
        <v>37.9060089869281</v>
      </c>
      <c r="Y40" s="582">
        <f>+W40*X40</f>
        <v>58.143982054979894</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927.91523617679468</v>
      </c>
      <c r="I42" s="553">
        <f>ITECountywide!$B$9*E42</f>
        <v>4.368319064746867</v>
      </c>
      <c r="J42" s="562">
        <f t="shared" ref="J42:J50" si="27">IF(F42="Prod",$M$3,$M$4)</f>
        <v>1.67</v>
      </c>
      <c r="K42" s="416">
        <f t="shared" ref="K42:K50" si="28">IF(F42="Prod",$F$4,$F$5)</f>
        <v>0.72504937644602452</v>
      </c>
      <c r="L42" s="554">
        <f>Passby_Length_Adj!H37</f>
        <v>0.4404979999697734</v>
      </c>
      <c r="M42" s="554">
        <f>Passby_Length_Adj!J37</f>
        <v>1</v>
      </c>
      <c r="N42" s="416">
        <v>0.5</v>
      </c>
      <c r="O42" s="546">
        <f t="shared" ref="O42:O50" si="29">L42*M42*N42</f>
        <v>0.2202489999848867</v>
      </c>
      <c r="P42" s="555">
        <f t="shared" ref="P42:P50" si="30">IF($F42="Prod",$I42*$O42*$F$4*$F$6,$I42*O42*$F$5*$F$7)</f>
        <v>5.5766408239344631</v>
      </c>
      <c r="Q42" s="556">
        <f t="shared" ref="Q42:Q50" si="31">+P42/J42</f>
        <v>3.3393058825954869</v>
      </c>
      <c r="R42" s="557">
        <f t="shared" ref="R42:R50" si="32">+$Q$4</f>
        <v>254.27556818181819</v>
      </c>
      <c r="S42" s="582">
        <f t="shared" ref="S42:S50" si="33">+Q42*R42</f>
        <v>849.10390062985527</v>
      </c>
      <c r="T42" s="555">
        <f t="shared" ref="T42:T50" si="34">IF($F42="Prod",$I42*$O42*$G$4*$G$6,$I42*$O42*$G$5*$G$7)</f>
        <v>0.43046689404549265</v>
      </c>
      <c r="U42" s="559">
        <f t="shared" ref="U42:U50" si="35">+$R$4</f>
        <v>154.50490219883392</v>
      </c>
      <c r="V42" s="583">
        <f t="shared" ref="V42:V50" si="36">+T42*U42</f>
        <v>66.509245364334646</v>
      </c>
      <c r="W42" s="555">
        <f t="shared" ref="W42:W50" si="37">IF($F42="Prod",$I42*$O42*$J$4*$J$6,$I42*$O42*$J$5*$J$7)</f>
        <v>0.32454195288264615</v>
      </c>
      <c r="X42" s="563">
        <f t="shared" ref="X42:X50" si="38">$S$4</f>
        <v>37.9060089869281</v>
      </c>
      <c r="Y42" s="583">
        <f t="shared" ref="Y42:Y50" si="39">+W42*X42</f>
        <v>12.302090182604781</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11697.122354792953</v>
      </c>
      <c r="I43" s="553">
        <f>ITECountywide!$B$9*E43</f>
        <v>55.066196343157593</v>
      </c>
      <c r="J43" s="562">
        <f t="shared" si="27"/>
        <v>1.67</v>
      </c>
      <c r="K43" s="416">
        <f t="shared" si="28"/>
        <v>0.72504937644602452</v>
      </c>
      <c r="L43" s="554">
        <f>Passby_Length_Adj!H38</f>
        <v>0.4404979999697734</v>
      </c>
      <c r="M43" s="554">
        <f>Passby_Length_Adj!J38</f>
        <v>1</v>
      </c>
      <c r="N43" s="416">
        <v>0.5</v>
      </c>
      <c r="O43" s="546">
        <f t="shared" si="29"/>
        <v>0.2202489999848867</v>
      </c>
      <c r="P43" s="555">
        <f t="shared" si="30"/>
        <v>70.298069805447696</v>
      </c>
      <c r="Q43" s="556">
        <f t="shared" si="31"/>
        <v>42.094652578112395</v>
      </c>
      <c r="R43" s="557">
        <f t="shared" si="32"/>
        <v>254.27556818181819</v>
      </c>
      <c r="S43" s="582">
        <f t="shared" si="33"/>
        <v>10703.641701715767</v>
      </c>
      <c r="T43" s="555">
        <f t="shared" si="34"/>
        <v>5.4263835025319773</v>
      </c>
      <c r="U43" s="559">
        <f t="shared" si="35"/>
        <v>154.50490219883392</v>
      </c>
      <c r="V43" s="583">
        <f t="shared" si="36"/>
        <v>838.40285235206898</v>
      </c>
      <c r="W43" s="555">
        <f t="shared" si="37"/>
        <v>4.0911139122716955</v>
      </c>
      <c r="X43" s="563">
        <f t="shared" si="38"/>
        <v>37.9060089869281</v>
      </c>
      <c r="Y43" s="583">
        <f t="shared" si="39"/>
        <v>155.07780072511747</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30066.763814541868</v>
      </c>
      <c r="I44" s="553">
        <f>ITECountywide!$B$9*E44</f>
        <v>141.54441318094723</v>
      </c>
      <c r="J44" s="562">
        <f t="shared" si="27"/>
        <v>1.67</v>
      </c>
      <c r="K44" s="416">
        <f t="shared" si="28"/>
        <v>0.72504937644602452</v>
      </c>
      <c r="L44" s="554">
        <f>Passby_Length_Adj!H39</f>
        <v>0.4404979999697734</v>
      </c>
      <c r="M44" s="554">
        <f>Passby_Length_Adj!J39</f>
        <v>1</v>
      </c>
      <c r="N44" s="416">
        <v>0.5</v>
      </c>
      <c r="O44" s="546">
        <f t="shared" si="29"/>
        <v>0.2202489999848867</v>
      </c>
      <c r="P44" s="555">
        <f t="shared" si="30"/>
        <v>180.69704644856523</v>
      </c>
      <c r="Q44" s="556">
        <f t="shared" si="31"/>
        <v>108.20182422069774</v>
      </c>
      <c r="R44" s="557">
        <f t="shared" si="32"/>
        <v>254.27556818181819</v>
      </c>
      <c r="S44" s="582">
        <f t="shared" si="33"/>
        <v>27513.080332027137</v>
      </c>
      <c r="T44" s="555">
        <f t="shared" si="34"/>
        <v>13.948199068884863</v>
      </c>
      <c r="U44" s="559">
        <f t="shared" si="35"/>
        <v>154.50490219883392</v>
      </c>
      <c r="V44" s="582">
        <f t="shared" si="36"/>
        <v>2155.065132987922</v>
      </c>
      <c r="W44" s="555">
        <f t="shared" si="37"/>
        <v>10.515967261662171</v>
      </c>
      <c r="X44" s="559">
        <f t="shared" si="38"/>
        <v>37.9060089869281</v>
      </c>
      <c r="Y44" s="582">
        <f t="shared" si="39"/>
        <v>398.61834952680795</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84705.955169665904</v>
      </c>
      <c r="I45" s="553">
        <f>ITECountywide!$B$9*E45</f>
        <v>398.76771545407081</v>
      </c>
      <c r="J45" s="562">
        <f t="shared" si="27"/>
        <v>1.67</v>
      </c>
      <c r="K45" s="416">
        <f t="shared" si="28"/>
        <v>0.72504937644602452</v>
      </c>
      <c r="L45" s="554">
        <f>Passby_Length_Adj!H40</f>
        <v>0.4404979999697734</v>
      </c>
      <c r="M45" s="554">
        <f>Passby_Length_Adj!J40</f>
        <v>1</v>
      </c>
      <c r="N45" s="416">
        <v>0.5</v>
      </c>
      <c r="O45" s="546">
        <f t="shared" si="29"/>
        <v>0.2202489999848867</v>
      </c>
      <c r="P45" s="555">
        <f t="shared" si="30"/>
        <v>509.07094658322893</v>
      </c>
      <c r="Q45" s="556">
        <f t="shared" si="31"/>
        <v>304.83290214564607</v>
      </c>
      <c r="R45" s="557">
        <f t="shared" si="32"/>
        <v>254.27556818181819</v>
      </c>
      <c r="S45" s="582">
        <f t="shared" si="33"/>
        <v>77511.559393596734</v>
      </c>
      <c r="T45" s="555">
        <f t="shared" si="34"/>
        <v>39.295733066393517</v>
      </c>
      <c r="U45" s="559">
        <f t="shared" si="35"/>
        <v>154.50490219883392</v>
      </c>
      <c r="V45" s="583">
        <f t="shared" si="36"/>
        <v>6071.3833942546144</v>
      </c>
      <c r="W45" s="555">
        <f t="shared" si="37"/>
        <v>29.626236362731181</v>
      </c>
      <c r="X45" s="563">
        <f t="shared" si="38"/>
        <v>37.9060089869281</v>
      </c>
      <c r="Y45" s="583">
        <f t="shared" si="39"/>
        <v>1123.0123818145441</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20564.295752781163</v>
      </c>
      <c r="I46" s="553">
        <f>ITECountywide!$B$9*E46</f>
        <v>96.80992582909964</v>
      </c>
      <c r="J46" s="562">
        <f t="shared" si="27"/>
        <v>1.67</v>
      </c>
      <c r="K46" s="416">
        <f t="shared" si="28"/>
        <v>0.72504937644602452</v>
      </c>
      <c r="L46" s="554">
        <f>Passby_Length_Adj!H41</f>
        <v>0.4404979999697734</v>
      </c>
      <c r="M46" s="554">
        <f>Passby_Length_Adj!J41</f>
        <v>1</v>
      </c>
      <c r="N46" s="416">
        <v>0.5</v>
      </c>
      <c r="O46" s="546">
        <f t="shared" si="29"/>
        <v>0.2202489999848867</v>
      </c>
      <c r="P46" s="555">
        <f t="shared" si="30"/>
        <v>123.58854207731935</v>
      </c>
      <c r="Q46" s="556">
        <f t="shared" si="31"/>
        <v>74.0051150163589</v>
      </c>
      <c r="R46" s="557">
        <f t="shared" si="32"/>
        <v>254.27556818181819</v>
      </c>
      <c r="S46" s="582">
        <f t="shared" si="33"/>
        <v>18817.692669145465</v>
      </c>
      <c r="T46" s="555">
        <f t="shared" si="34"/>
        <v>9.539932286709444</v>
      </c>
      <c r="U46" s="559">
        <f t="shared" si="35"/>
        <v>154.50490219883392</v>
      </c>
      <c r="V46" s="583">
        <f t="shared" si="36"/>
        <v>1473.9663049415406</v>
      </c>
      <c r="W46" s="555">
        <f t="shared" si="37"/>
        <v>7.1924422006066919</v>
      </c>
      <c r="X46" s="563">
        <f t="shared" si="38"/>
        <v>37.9060089869281</v>
      </c>
      <c r="Y46" s="583">
        <f t="shared" si="39"/>
        <v>272.63677869415818</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11674.020730655773</v>
      </c>
      <c r="I47" s="553">
        <f>ITECountywide!$B$9*E47</f>
        <v>54.957441511670126</v>
      </c>
      <c r="J47" s="562">
        <f t="shared" si="27"/>
        <v>1.67</v>
      </c>
      <c r="K47" s="416">
        <f t="shared" si="28"/>
        <v>0.72504937644602452</v>
      </c>
      <c r="L47" s="554">
        <f>Passby_Length_Adj!H42</f>
        <v>0.4404979999697734</v>
      </c>
      <c r="M47" s="554">
        <f>Passby_Length_Adj!J42</f>
        <v>1</v>
      </c>
      <c r="N47" s="416">
        <v>0.5</v>
      </c>
      <c r="O47" s="546">
        <f t="shared" si="29"/>
        <v>0.2202489999848867</v>
      </c>
      <c r="P47" s="555">
        <f t="shared" si="30"/>
        <v>70.159232274561376</v>
      </c>
      <c r="Q47" s="556">
        <f t="shared" si="31"/>
        <v>42.011516332072681</v>
      </c>
      <c r="R47" s="557">
        <f t="shared" si="32"/>
        <v>254.27556818181819</v>
      </c>
      <c r="S47" s="582">
        <f t="shared" si="33"/>
        <v>10682.502185517515</v>
      </c>
      <c r="T47" s="555">
        <f t="shared" si="34"/>
        <v>5.4156664844229612</v>
      </c>
      <c r="U47" s="559">
        <f t="shared" si="35"/>
        <v>154.50490219883392</v>
      </c>
      <c r="V47" s="583">
        <f t="shared" si="36"/>
        <v>836.74702051727229</v>
      </c>
      <c r="W47" s="555">
        <f t="shared" si="37"/>
        <v>4.0830340296273153</v>
      </c>
      <c r="X47" s="563">
        <f t="shared" si="38"/>
        <v>37.9060089869281</v>
      </c>
      <c r="Y47" s="583">
        <f t="shared" si="39"/>
        <v>154.77152462098627</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14900.547568482139</v>
      </c>
      <c r="I48" s="553">
        <f>ITECountywide!$B$9*E48</f>
        <v>70.146866309420645</v>
      </c>
      <c r="J48" s="562">
        <f t="shared" si="27"/>
        <v>1.67</v>
      </c>
      <c r="K48" s="416">
        <f t="shared" si="28"/>
        <v>0.72504937644602452</v>
      </c>
      <c r="L48" s="554">
        <f>Passby_Length_Adj!H43</f>
        <v>0.4404979999697734</v>
      </c>
      <c r="M48" s="554">
        <f>Passby_Length_Adj!J43</f>
        <v>1</v>
      </c>
      <c r="N48" s="416">
        <v>0.5</v>
      </c>
      <c r="O48" s="546">
        <f t="shared" si="29"/>
        <v>0.2202489999848867</v>
      </c>
      <c r="P48" s="555">
        <f t="shared" si="30"/>
        <v>89.550207421686196</v>
      </c>
      <c r="Q48" s="556">
        <f t="shared" si="31"/>
        <v>53.622878695620479</v>
      </c>
      <c r="R48" s="557">
        <f t="shared" si="32"/>
        <v>254.27556818181819</v>
      </c>
      <c r="S48" s="582">
        <f t="shared" si="33"/>
        <v>13634.987947873611</v>
      </c>
      <c r="T48" s="555">
        <f t="shared" si="34"/>
        <v>6.9124766803155877</v>
      </c>
      <c r="U48" s="559">
        <f t="shared" si="35"/>
        <v>154.50490219883392</v>
      </c>
      <c r="V48" s="583">
        <f t="shared" si="36"/>
        <v>1068.0115334438801</v>
      </c>
      <c r="W48" s="555">
        <f t="shared" si="37"/>
        <v>5.2115243056258942</v>
      </c>
      <c r="X48" s="563">
        <f t="shared" si="38"/>
        <v>37.9060089869281</v>
      </c>
      <c r="Y48" s="583">
        <f t="shared" si="39"/>
        <v>197.54808716464936</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1547.8088171911675</v>
      </c>
      <c r="I49" s="553">
        <f>ITECountywide!$B$9*E49</f>
        <v>7.2865737096607477</v>
      </c>
      <c r="J49" s="562">
        <f t="shared" si="27"/>
        <v>1.67</v>
      </c>
      <c r="K49" s="416">
        <f t="shared" si="28"/>
        <v>0.72504937644602452</v>
      </c>
      <c r="L49" s="554">
        <f>Passby_Length_Adj!H44</f>
        <v>0.4404979999697734</v>
      </c>
      <c r="M49" s="554">
        <f>Passby_Length_Adj!J44</f>
        <v>1</v>
      </c>
      <c r="N49" s="416">
        <v>0.5</v>
      </c>
      <c r="O49" s="546">
        <f t="shared" si="29"/>
        <v>0.2202489999848867</v>
      </c>
      <c r="P49" s="555">
        <f t="shared" si="30"/>
        <v>9.3021145693844538</v>
      </c>
      <c r="Q49" s="556">
        <f t="shared" si="31"/>
        <v>5.5701284846613497</v>
      </c>
      <c r="R49" s="561">
        <f t="shared" si="32"/>
        <v>254.27556818181819</v>
      </c>
      <c r="S49" s="583">
        <f t="shared" si="33"/>
        <v>1416.3475852829947</v>
      </c>
      <c r="T49" s="555">
        <f t="shared" si="34"/>
        <v>0.71804021330409962</v>
      </c>
      <c r="U49" s="559">
        <f t="shared" si="35"/>
        <v>154.50490219883392</v>
      </c>
      <c r="V49" s="582">
        <f t="shared" si="36"/>
        <v>110.94073293137976</v>
      </c>
      <c r="W49" s="555">
        <f t="shared" si="37"/>
        <v>0.54135213717354236</v>
      </c>
      <c r="X49" s="559">
        <f t="shared" si="38"/>
        <v>37.9060089869281</v>
      </c>
      <c r="Y49" s="582">
        <f t="shared" si="39"/>
        <v>20.520498976793029</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11096.480127226234</v>
      </c>
      <c r="I50" s="553">
        <f>ITECountywide!$B$9*E50</f>
        <v>52.238570724483274</v>
      </c>
      <c r="J50" s="562">
        <f t="shared" si="27"/>
        <v>1.67</v>
      </c>
      <c r="K50" s="416">
        <f t="shared" si="28"/>
        <v>0.72504937644602452</v>
      </c>
      <c r="L50" s="554">
        <f>Passby_Length_Adj!H45</f>
        <v>0.4404979999697734</v>
      </c>
      <c r="M50" s="554">
        <f>Passby_Length_Adj!J45</f>
        <v>1</v>
      </c>
      <c r="N50" s="416">
        <v>0.5</v>
      </c>
      <c r="O50" s="546">
        <f t="shared" si="29"/>
        <v>0.2202489999848867</v>
      </c>
      <c r="P50" s="555">
        <f t="shared" si="30"/>
        <v>66.688294002402998</v>
      </c>
      <c r="Q50" s="556">
        <f t="shared" si="31"/>
        <v>39.933110181079641</v>
      </c>
      <c r="R50" s="561">
        <f t="shared" si="32"/>
        <v>254.27556818181819</v>
      </c>
      <c r="S50" s="583">
        <f t="shared" si="33"/>
        <v>10154.014280561174</v>
      </c>
      <c r="T50" s="555">
        <f t="shared" si="34"/>
        <v>5.1477410316975503</v>
      </c>
      <c r="U50" s="559">
        <f t="shared" si="35"/>
        <v>154.50490219883392</v>
      </c>
      <c r="V50" s="582">
        <f t="shared" si="36"/>
        <v>795.35122464735446</v>
      </c>
      <c r="W50" s="555">
        <f t="shared" si="37"/>
        <v>3.8810369635177837</v>
      </c>
      <c r="X50" s="559">
        <f t="shared" si="38"/>
        <v>37.9060089869281</v>
      </c>
      <c r="Y50" s="582">
        <f t="shared" si="39"/>
        <v>147.11462201770524</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1651.9965138800967</v>
      </c>
      <c r="I52" s="553">
        <f>ITECountywide!$B$9*E52</f>
        <v>3.4257771918554263</v>
      </c>
      <c r="J52" s="562">
        <f t="shared" ref="J52:J60" si="40">IF(F52="Prod",$M$3,$M$4)</f>
        <v>1.67</v>
      </c>
      <c r="K52" s="416">
        <f t="shared" ref="K52:K60" si="41">IF(F52="Prod",$F$4,$F$5)</f>
        <v>0.72504937644602452</v>
      </c>
      <c r="L52" s="554">
        <f>Passby_Length_Adj!H47</f>
        <v>1</v>
      </c>
      <c r="M52" s="554">
        <f>Passby_Length_Adj!J47</f>
        <v>1</v>
      </c>
      <c r="N52" s="416">
        <v>0.5</v>
      </c>
      <c r="O52" s="546">
        <f t="shared" ref="O52:O60" si="42">L52*M52*N52</f>
        <v>0.5</v>
      </c>
      <c r="P52" s="555">
        <f t="shared" ref="P52:P60" si="43">IF($F52="Prod",$I52*$O52*$F$4*$F$6,$I52*O52*$F$5*$F$7)</f>
        <v>9.9282680584694027</v>
      </c>
      <c r="Q52" s="556">
        <f t="shared" ref="Q52:Q60" si="44">+P52/J52</f>
        <v>5.9450706936942534</v>
      </c>
      <c r="R52" s="557">
        <f t="shared" ref="R52:R60" si="45">+$Q$4</f>
        <v>254.27556818181819</v>
      </c>
      <c r="S52" s="582">
        <f t="shared" ref="S52:S60" si="46">+Q52*R52</f>
        <v>1511.6862285201823</v>
      </c>
      <c r="T52" s="555">
        <f t="shared" ref="T52:T60" si="47">IF($F52="Prod",$I52*$O52*$G$4*$G$6,$I52*$O52*$G$5*$G$7)</f>
        <v>0.76637367356306241</v>
      </c>
      <c r="U52" s="563">
        <f t="shared" ref="U52:U60" si="48">+$R$4</f>
        <v>154.50490219883392</v>
      </c>
      <c r="V52" s="583">
        <f t="shared" ref="V52:V60" si="49">+T52*U52</f>
        <v>118.40848948162203</v>
      </c>
      <c r="W52" s="555">
        <f t="shared" ref="W52:W60" si="50">IF($F52="Prod",$I52*$O52*$J$4*$J$6,$I52*$O52*$J$5*$J$7)</f>
        <v>0.57779218819489175</v>
      </c>
      <c r="X52" s="563">
        <f t="shared" ref="X52:X60" si="51">$S$4</f>
        <v>37.9060089869281</v>
      </c>
      <c r="Y52" s="583">
        <f t="shared" ref="Y52:Y60" si="52">+W52*X52</f>
        <v>21.901795878292418</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1774.3666260193631</v>
      </c>
      <c r="I53" s="553">
        <f>ITECountywide!$B$9*E53</f>
        <v>3.6795384653261984</v>
      </c>
      <c r="J53" s="562">
        <f t="shared" si="40"/>
        <v>1.67</v>
      </c>
      <c r="K53" s="416">
        <f t="shared" si="41"/>
        <v>0.72504937644602452</v>
      </c>
      <c r="L53" s="554">
        <f>Passby_Length_Adj!H48</f>
        <v>1</v>
      </c>
      <c r="M53" s="554">
        <f>Passby_Length_Adj!J48</f>
        <v>1</v>
      </c>
      <c r="N53" s="416">
        <v>0.5</v>
      </c>
      <c r="O53" s="546">
        <f t="shared" si="42"/>
        <v>0.5</v>
      </c>
      <c r="P53" s="555">
        <f t="shared" si="43"/>
        <v>10.663695322059729</v>
      </c>
      <c r="Q53" s="556">
        <f t="shared" si="44"/>
        <v>6.3854463006345688</v>
      </c>
      <c r="R53" s="557">
        <f t="shared" si="45"/>
        <v>254.27556818181819</v>
      </c>
      <c r="S53" s="582">
        <f t="shared" si="46"/>
        <v>1623.6629861883439</v>
      </c>
      <c r="T53" s="555">
        <f t="shared" si="47"/>
        <v>0.82314209382699288</v>
      </c>
      <c r="U53" s="563">
        <f t="shared" si="48"/>
        <v>154.50490219883392</v>
      </c>
      <c r="V53" s="583">
        <f t="shared" si="49"/>
        <v>127.17948870248291</v>
      </c>
      <c r="W53" s="555">
        <f t="shared" si="50"/>
        <v>0.62059160954266157</v>
      </c>
      <c r="X53" s="563">
        <f t="shared" si="51"/>
        <v>37.9060089869281</v>
      </c>
      <c r="Y53" s="583">
        <f t="shared" si="52"/>
        <v>23.524151128536303</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1848.041747520419</v>
      </c>
      <c r="I54" s="553">
        <f>ITECountywide!$B$9*E54</f>
        <v>7.4497059568919601</v>
      </c>
      <c r="J54" s="562">
        <f t="shared" si="40"/>
        <v>1.67</v>
      </c>
      <c r="K54" s="416">
        <f t="shared" si="41"/>
        <v>0.72504937644602452</v>
      </c>
      <c r="L54" s="554">
        <f>Passby_Length_Adj!H49</f>
        <v>0.51442567196884992</v>
      </c>
      <c r="M54" s="554">
        <f>Passby_Length_Adj!J49</f>
        <v>1</v>
      </c>
      <c r="N54" s="416">
        <v>0.5</v>
      </c>
      <c r="O54" s="546">
        <f t="shared" si="42"/>
        <v>0.25721283598442496</v>
      </c>
      <c r="P54" s="555">
        <f t="shared" si="43"/>
        <v>11.106472500677841</v>
      </c>
      <c r="Q54" s="556">
        <f t="shared" si="44"/>
        <v>6.6505823357352343</v>
      </c>
      <c r="R54" s="557">
        <f t="shared" si="45"/>
        <v>254.27556818181819</v>
      </c>
      <c r="S54" s="582">
        <f t="shared" si="46"/>
        <v>1691.0806021590402</v>
      </c>
      <c r="T54" s="555">
        <f t="shared" si="47"/>
        <v>0.85732053975019495</v>
      </c>
      <c r="U54" s="563">
        <f t="shared" si="48"/>
        <v>154.50490219883392</v>
      </c>
      <c r="V54" s="583">
        <f t="shared" si="49"/>
        <v>132.46022614715537</v>
      </c>
      <c r="W54" s="555">
        <f t="shared" si="50"/>
        <v>0.6463597690453935</v>
      </c>
      <c r="X54" s="563">
        <f t="shared" si="51"/>
        <v>37.9060089869281</v>
      </c>
      <c r="Y54" s="583">
        <f t="shared" si="52"/>
        <v>24.500919214223458</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1115.120081228866</v>
      </c>
      <c r="I55" s="553">
        <f>ITECountywide!$B$9*E55</f>
        <v>4.4951997014822531</v>
      </c>
      <c r="J55" s="562">
        <f t="shared" si="40"/>
        <v>1.67</v>
      </c>
      <c r="K55" s="416">
        <f t="shared" si="41"/>
        <v>0.72504937644602452</v>
      </c>
      <c r="L55" s="554">
        <f>Passby_Length_Adj!H50</f>
        <v>0.51442567196884992</v>
      </c>
      <c r="M55" s="554">
        <f>Passby_Length_Adj!J50</f>
        <v>1</v>
      </c>
      <c r="N55" s="416">
        <v>0.5</v>
      </c>
      <c r="O55" s="546">
        <f t="shared" si="42"/>
        <v>0.25721283598442496</v>
      </c>
      <c r="P55" s="555">
        <f t="shared" si="43"/>
        <v>6.7017157668323701</v>
      </c>
      <c r="Q55" s="556">
        <f t="shared" si="44"/>
        <v>4.0130034531930363</v>
      </c>
      <c r="R55" s="557">
        <f t="shared" si="45"/>
        <v>254.27556818181819</v>
      </c>
      <c r="S55" s="582">
        <f t="shared" si="46"/>
        <v>1020.4087331762578</v>
      </c>
      <c r="T55" s="555">
        <f t="shared" si="47"/>
        <v>0.51731263712420517</v>
      </c>
      <c r="U55" s="563">
        <f t="shared" si="48"/>
        <v>154.50490219883392</v>
      </c>
      <c r="V55" s="583">
        <f t="shared" si="49"/>
        <v>79.927338405096179</v>
      </c>
      <c r="W55" s="555">
        <f t="shared" si="50"/>
        <v>0.39001757353590655</v>
      </c>
      <c r="X55" s="563">
        <f t="shared" si="51"/>
        <v>37.9060089869281</v>
      </c>
      <c r="Y55" s="583">
        <f t="shared" si="52"/>
        <v>14.784009647511965</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1617.0336246974493</v>
      </c>
      <c r="I56" s="553">
        <f>ITECountywide!$B$9*E56</f>
        <v>3.3532739708637775</v>
      </c>
      <c r="J56" s="562">
        <f t="shared" si="40"/>
        <v>1.67</v>
      </c>
      <c r="K56" s="416">
        <f t="shared" si="41"/>
        <v>0.72504937644602452</v>
      </c>
      <c r="L56" s="554">
        <f>Passby_Length_Adj!H51</f>
        <v>1</v>
      </c>
      <c r="M56" s="554">
        <f>Passby_Length_Adj!J51</f>
        <v>1</v>
      </c>
      <c r="N56" s="416">
        <v>0.5</v>
      </c>
      <c r="O56" s="546">
        <f t="shared" si="42"/>
        <v>0.5</v>
      </c>
      <c r="P56" s="555">
        <f t="shared" si="43"/>
        <v>9.718145983157882</v>
      </c>
      <c r="Q56" s="556">
        <f t="shared" si="44"/>
        <v>5.8192490917113071</v>
      </c>
      <c r="R56" s="557">
        <f t="shared" si="45"/>
        <v>254.27556818181819</v>
      </c>
      <c r="S56" s="582">
        <f t="shared" si="46"/>
        <v>1479.6928691864221</v>
      </c>
      <c r="T56" s="555">
        <f t="shared" si="47"/>
        <v>0.75015412491622535</v>
      </c>
      <c r="U56" s="563">
        <f t="shared" si="48"/>
        <v>154.50490219883392</v>
      </c>
      <c r="V56" s="583">
        <f t="shared" si="49"/>
        <v>115.90248970423323</v>
      </c>
      <c r="W56" s="555">
        <f t="shared" si="50"/>
        <v>0.56556378209552916</v>
      </c>
      <c r="X56" s="563">
        <f t="shared" si="51"/>
        <v>37.9060089869281</v>
      </c>
      <c r="Y56" s="583">
        <f t="shared" si="52"/>
        <v>21.438265806794174</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517.09197315048209</v>
      </c>
      <c r="I57" s="553">
        <f>ITECountywide!$B$9*E57</f>
        <v>2.0844676035099154</v>
      </c>
      <c r="J57" s="562">
        <f t="shared" si="40"/>
        <v>1.67</v>
      </c>
      <c r="K57" s="416">
        <f t="shared" si="41"/>
        <v>0.72504937644602452</v>
      </c>
      <c r="L57" s="554">
        <f>Passby_Length_Adj!H52</f>
        <v>0.51442567196884992</v>
      </c>
      <c r="M57" s="554">
        <f>Passby_Length_Adj!J52</f>
        <v>1</v>
      </c>
      <c r="N57" s="416">
        <v>0.5</v>
      </c>
      <c r="O57" s="546">
        <f t="shared" si="42"/>
        <v>0.25721283598442496</v>
      </c>
      <c r="P57" s="555">
        <f t="shared" si="43"/>
        <v>3.1076504563940421</v>
      </c>
      <c r="Q57" s="556">
        <f t="shared" si="44"/>
        <v>1.8608685367628996</v>
      </c>
      <c r="R57" s="557">
        <f t="shared" si="45"/>
        <v>254.27556818181819</v>
      </c>
      <c r="S57" s="582">
        <f t="shared" si="46"/>
        <v>473.17340449705495</v>
      </c>
      <c r="T57" s="555">
        <f t="shared" si="47"/>
        <v>0.23988287608582096</v>
      </c>
      <c r="U57" s="563">
        <f t="shared" si="48"/>
        <v>154.50490219883392</v>
      </c>
      <c r="V57" s="583">
        <f t="shared" si="49"/>
        <v>37.063080308814762</v>
      </c>
      <c r="W57" s="555">
        <f t="shared" si="50"/>
        <v>0.18085492321221469</v>
      </c>
      <c r="X57" s="563">
        <f t="shared" si="51"/>
        <v>37.9060089869281</v>
      </c>
      <c r="Y57" s="583">
        <f t="shared" si="52"/>
        <v>6.8554883446124011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701.44650270848012</v>
      </c>
      <c r="I58" s="553">
        <f>ITECountywide!$B$9*E58</f>
        <v>2.8276256186743205</v>
      </c>
      <c r="J58" s="562">
        <f t="shared" si="40"/>
        <v>1.67</v>
      </c>
      <c r="K58" s="416">
        <f t="shared" si="41"/>
        <v>0.72504937644602452</v>
      </c>
      <c r="L58" s="554">
        <f>Passby_Length_Adj!H53</f>
        <v>0.51442567196884992</v>
      </c>
      <c r="M58" s="554">
        <f>Passby_Length_Adj!J53</f>
        <v>1</v>
      </c>
      <c r="N58" s="416">
        <v>0.5</v>
      </c>
      <c r="O58" s="546">
        <f t="shared" si="42"/>
        <v>0.25721283598442496</v>
      </c>
      <c r="P58" s="555">
        <f t="shared" si="43"/>
        <v>4.2155954017171355</v>
      </c>
      <c r="Q58" s="556">
        <f t="shared" si="44"/>
        <v>2.5243086237827161</v>
      </c>
      <c r="R58" s="557">
        <f t="shared" si="45"/>
        <v>254.27556818181819</v>
      </c>
      <c r="S58" s="582">
        <f t="shared" si="46"/>
        <v>641.87000957861369</v>
      </c>
      <c r="T58" s="555">
        <f t="shared" si="47"/>
        <v>0.32540633625554843</v>
      </c>
      <c r="U58" s="563">
        <f t="shared" si="48"/>
        <v>154.50490219883392</v>
      </c>
      <c r="V58" s="583">
        <f t="shared" si="49"/>
        <v>50.276874158044372</v>
      </c>
      <c r="W58" s="555">
        <f t="shared" si="50"/>
        <v>0.24533363496613475</v>
      </c>
      <c r="X58" s="563">
        <f t="shared" si="51"/>
        <v>37.9060089869281</v>
      </c>
      <c r="Y58" s="583">
        <f t="shared" si="52"/>
        <v>9.2996189718220421</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2648.6216940720506</v>
      </c>
      <c r="I59" s="553">
        <f>ITECountywide!$B$9*E59</f>
        <v>12.597434647299055</v>
      </c>
      <c r="J59" s="562">
        <f t="shared" si="40"/>
        <v>1.67</v>
      </c>
      <c r="K59" s="416">
        <f t="shared" si="41"/>
        <v>0.72504937644602452</v>
      </c>
      <c r="L59" s="554">
        <f>Passby_Length_Adj!H54</f>
        <v>0.4360013208727776</v>
      </c>
      <c r="M59" s="554">
        <f>Passby_Length_Adj!J54</f>
        <v>1</v>
      </c>
      <c r="N59" s="416">
        <v>0.5</v>
      </c>
      <c r="O59" s="546">
        <f t="shared" si="42"/>
        <v>0.2180006604363888</v>
      </c>
      <c r="P59" s="555">
        <f t="shared" si="43"/>
        <v>15.917846038586289</v>
      </c>
      <c r="Q59" s="556">
        <f t="shared" si="44"/>
        <v>9.5316443344828077</v>
      </c>
      <c r="R59" s="557">
        <f t="shared" si="45"/>
        <v>254.27556818181819</v>
      </c>
      <c r="S59" s="582">
        <f t="shared" si="46"/>
        <v>2423.6642788576241</v>
      </c>
      <c r="T59" s="555">
        <f t="shared" si="47"/>
        <v>1.228715630154257</v>
      </c>
      <c r="U59" s="559">
        <f t="shared" si="48"/>
        <v>154.50490219883392</v>
      </c>
      <c r="V59" s="582">
        <f t="shared" si="49"/>
        <v>189.84258826716206</v>
      </c>
      <c r="W59" s="555">
        <f t="shared" si="50"/>
        <v>0.92636571049654504</v>
      </c>
      <c r="X59" s="559">
        <f t="shared" si="51"/>
        <v>37.9060089869281</v>
      </c>
      <c r="Y59" s="582">
        <f t="shared" si="52"/>
        <v>35.114826947264071</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41623.319571941909</v>
      </c>
      <c r="I60" s="553">
        <f>ITECountywide!$B$9*E60</f>
        <v>86.315084590558413</v>
      </c>
      <c r="J60" s="562">
        <f t="shared" si="40"/>
        <v>1.67</v>
      </c>
      <c r="K60" s="416">
        <f t="shared" si="41"/>
        <v>0.72504937644602452</v>
      </c>
      <c r="L60" s="554">
        <f>Passby_Length_Adj!H55</f>
        <v>1</v>
      </c>
      <c r="M60" s="554">
        <f>Passby_Length_Adj!J55</f>
        <v>1</v>
      </c>
      <c r="N60" s="416">
        <v>0.5</v>
      </c>
      <c r="O60" s="546">
        <f t="shared" si="42"/>
        <v>0.5</v>
      </c>
      <c r="P60" s="555">
        <f t="shared" si="43"/>
        <v>250.15033065836664</v>
      </c>
      <c r="Q60" s="556">
        <f t="shared" si="44"/>
        <v>149.79061716069859</v>
      </c>
      <c r="R60" s="561">
        <f t="shared" si="45"/>
        <v>254.27556818181819</v>
      </c>
      <c r="S60" s="583">
        <f t="shared" si="46"/>
        <v>38088.094286841842</v>
      </c>
      <c r="T60" s="555">
        <f t="shared" si="47"/>
        <v>19.309372664059808</v>
      </c>
      <c r="U60" s="559">
        <f t="shared" si="48"/>
        <v>154.50490219883392</v>
      </c>
      <c r="V60" s="582">
        <f t="shared" si="49"/>
        <v>2983.3927349813976</v>
      </c>
      <c r="W60" s="555">
        <f t="shared" si="50"/>
        <v>14.5579174612914</v>
      </c>
      <c r="X60" s="559">
        <f t="shared" si="51"/>
        <v>37.9060089869281</v>
      </c>
      <c r="Y60" s="582">
        <f t="shared" si="52"/>
        <v>551.83255011866925</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9370.0543009495432</v>
      </c>
      <c r="I62" s="553">
        <f>ITECountywide!$B$9*E62</f>
        <v>19.430863225761996</v>
      </c>
      <c r="J62" s="562">
        <f>IF(F62="Prod",$M$3,$M$4)</f>
        <v>1.67</v>
      </c>
      <c r="K62" s="416">
        <f>IF(F62="Prod",$F$4,$F$5)</f>
        <v>0.72504937644602452</v>
      </c>
      <c r="L62" s="554">
        <f>Passby_Length_Adj!H57</f>
        <v>1</v>
      </c>
      <c r="M62" s="554">
        <f>Passby_Length_Adj!J57</f>
        <v>1</v>
      </c>
      <c r="N62" s="416">
        <v>0.5</v>
      </c>
      <c r="O62" s="546">
        <f>L62*M62*N62</f>
        <v>0.5</v>
      </c>
      <c r="P62" s="555">
        <f>IF($F62="Prod",$I62*$O62*$F$4*$F$6,$I62*O62*$F$5*$F$7)</f>
        <v>56.312716183487829</v>
      </c>
      <c r="Q62" s="556">
        <f>+P62/J62</f>
        <v>33.720189331429836</v>
      </c>
      <c r="R62" s="557">
        <f>+$Q$4</f>
        <v>254.27556818181819</v>
      </c>
      <c r="S62" s="582">
        <f>+Q62*R62</f>
        <v>8574.2203014478055</v>
      </c>
      <c r="T62" s="555">
        <f>IF($F62="Prod",$I62*$O62*$G$4*$G$6,$I62*$O62*$G$5*$G$7)</f>
        <v>4.3468390373523969</v>
      </c>
      <c r="U62" s="559">
        <f>+$R$4</f>
        <v>154.50490219883392</v>
      </c>
      <c r="V62" s="582">
        <f>+T62*U62</f>
        <v>671.60794034020546</v>
      </c>
      <c r="W62" s="555">
        <f>IF($F62="Prod",$I62*$O62*$J$4*$J$6,$I62*$O62*$J$5*$J$7)</f>
        <v>3.2772128346292275</v>
      </c>
      <c r="X62" s="559">
        <f>$S$4</f>
        <v>37.9060089869281</v>
      </c>
      <c r="Y62" s="582">
        <f>+W62*X62</f>
        <v>124.22605916153161</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2674.6610224725387</v>
      </c>
      <c r="I63" s="553">
        <f>ITECountywide!$B$9*E63</f>
        <v>5.5464964058611672</v>
      </c>
      <c r="J63" s="562">
        <f>IF(F63="Prod",$M$3,$M$4)</f>
        <v>1.67</v>
      </c>
      <c r="K63" s="416">
        <f>IF(F63="Prod",$F$4,$F$5)</f>
        <v>0.72504937644602452</v>
      </c>
      <c r="L63" s="554">
        <f>Passby_Length_Adj!H58</f>
        <v>1</v>
      </c>
      <c r="M63" s="554">
        <f>Passby_Length_Adj!J58</f>
        <v>1</v>
      </c>
      <c r="N63" s="416">
        <v>0.5</v>
      </c>
      <c r="O63" s="546">
        <f>L63*M63*N63</f>
        <v>0.5</v>
      </c>
      <c r="P63" s="555">
        <f>IF($F63="Prod",$I63*$O63*$F$4*$F$6,$I63*O63*$F$5*$F$7)</f>
        <v>16.074338761331418</v>
      </c>
      <c r="Q63" s="556">
        <f>+P63/J63</f>
        <v>9.6253525516954603</v>
      </c>
      <c r="R63" s="557">
        <f>+$Q$4</f>
        <v>254.27556818181819</v>
      </c>
      <c r="S63" s="582">
        <f>+Q63*R63</f>
        <v>2447.4919890326769</v>
      </c>
      <c r="T63" s="555">
        <f>IF($F63="Prod",$I63*$O63*$G$4*$G$6,$I63*$O63*$G$5*$G$7)</f>
        <v>1.2407954714830536</v>
      </c>
      <c r="U63" s="563">
        <f>+$R$4</f>
        <v>154.50490219883392</v>
      </c>
      <c r="V63" s="583">
        <f>+T63*U63</f>
        <v>191.70898297024522</v>
      </c>
      <c r="W63" s="555">
        <f>IF($F63="Prod",$I63*$O63*$J$4*$J$6,$I63*$O63*$J$5*$J$7)</f>
        <v>0.93547306660125351</v>
      </c>
      <c r="X63" s="563">
        <f>$S$4</f>
        <v>37.9060089869281</v>
      </c>
      <c r="Y63" s="583">
        <f>+W63*X63</f>
        <v>35.460050469616306</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12829.133911634182</v>
      </c>
      <c r="I64" s="553">
        <f>ITECountywide!$B$9*E64</f>
        <v>69.168072826033367</v>
      </c>
      <c r="J64" s="562">
        <f>IF(F64="Prod",$M$3,$M$4)</f>
        <v>1.67</v>
      </c>
      <c r="K64" s="416">
        <f>IF(F64="Prod",$F$4,$F$5)</f>
        <v>0.72504937644602452</v>
      </c>
      <c r="L64" s="554">
        <f>Passby_Length_Adj!H59</f>
        <v>0.3846286671810874</v>
      </c>
      <c r="M64" s="554">
        <f>Passby_Length_Adj!J59</f>
        <v>1</v>
      </c>
      <c r="N64" s="416">
        <v>0.5</v>
      </c>
      <c r="O64" s="546">
        <f>L64*M64*N64</f>
        <v>0.1923143335905437</v>
      </c>
      <c r="P64" s="555">
        <f>IF($F64="Prod",$I64*$O64*$F$4*$F$6,$I64*O64*$F$5*$F$7)</f>
        <v>77.101300978864529</v>
      </c>
      <c r="Q64" s="556">
        <f>+P64/J64</f>
        <v>46.168443699918882</v>
      </c>
      <c r="R64" s="557">
        <f>+$Q$4</f>
        <v>254.27556818181819</v>
      </c>
      <c r="S64" s="582">
        <f>+Q64*R64</f>
        <v>11739.507253867157</v>
      </c>
      <c r="T64" s="555">
        <f>IF($F64="Prod",$I64*$O64*$G$4*$G$6,$I64*$O64*$G$5*$G$7)</f>
        <v>5.9515322229094947</v>
      </c>
      <c r="U64" s="559">
        <f>+$R$4</f>
        <v>154.50490219883392</v>
      </c>
      <c r="V64" s="582">
        <f>+T64*U64</f>
        <v>919.54090403384009</v>
      </c>
      <c r="W64" s="555">
        <f>IF($F64="Prod",$I64*$O64*$J$4*$J$6,$I64*$O64*$J$5*$J$7)</f>
        <v>4.4870393449186272</v>
      </c>
      <c r="X64" s="559">
        <f>$S$4</f>
        <v>37.9060089869281</v>
      </c>
      <c r="Y64" s="582">
        <f>+W64*X64</f>
        <v>170.08575373318547</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7228.1545885779615</v>
      </c>
      <c r="I65" s="553">
        <f>ITECountywide!$B$9*E65</f>
        <v>38.970481283011466</v>
      </c>
      <c r="J65" s="562">
        <f>IF(F65="Prod",$M$3,$M$4)</f>
        <v>1.67</v>
      </c>
      <c r="K65" s="416">
        <f>IF(F65="Prod",$F$4,$F$5)</f>
        <v>0.72504937644602452</v>
      </c>
      <c r="L65" s="554">
        <f>Passby_Length_Adj!H60</f>
        <v>0.3846286671810874</v>
      </c>
      <c r="M65" s="554">
        <f>Passby_Length_Adj!J60</f>
        <v>1</v>
      </c>
      <c r="N65" s="416">
        <v>0.5</v>
      </c>
      <c r="O65" s="546">
        <f>L65*M65*N65</f>
        <v>0.1923143335905437</v>
      </c>
      <c r="P65" s="555">
        <f>IF($F65="Prod",$I65*$O65*$F$4*$F$6,$I65*O65*$F$5*$F$7)</f>
        <v>43.440198402662148</v>
      </c>
      <c r="Q65" s="556">
        <f>+P65/J65</f>
        <v>26.012094851893504</v>
      </c>
      <c r="R65" s="557">
        <f>+$Q$4</f>
        <v>254.27556818181819</v>
      </c>
      <c r="S65" s="582">
        <f>+Q65*R65</f>
        <v>6614.2401980645691</v>
      </c>
      <c r="T65" s="555">
        <f>IF($F65="Prod",$I65*$O65*$G$4*$G$6,$I65*$O65*$G$5*$G$7)</f>
        <v>3.3531955658426145</v>
      </c>
      <c r="U65" s="559">
        <f>+$R$4</f>
        <v>154.50490219883392</v>
      </c>
      <c r="V65" s="582">
        <f>+T65*U65</f>
        <v>518.08515295407676</v>
      </c>
      <c r="W65" s="555">
        <f>IF($F65="Prod",$I65*$O65*$J$4*$J$6,$I65*$O65*$J$5*$J$7)</f>
        <v>2.5280751026140069</v>
      </c>
      <c r="X65" s="559">
        <f>$S$4</f>
        <v>37.9060089869281</v>
      </c>
      <c r="Y65" s="582">
        <f>+W65*X65</f>
        <v>95.829237559315729</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8384.6593227504363</v>
      </c>
      <c r="I66" s="553">
        <f>ITECountywide!$B$9*E66</f>
        <v>45.205758288293303</v>
      </c>
      <c r="J66" s="562">
        <f>IF(F66="Prod",$M$3,$M$4)</f>
        <v>1.67</v>
      </c>
      <c r="K66" s="416">
        <f>IF(F66="Prod",$F$4,$F$5)</f>
        <v>0.72504937644602452</v>
      </c>
      <c r="L66" s="554">
        <f>Passby_Length_Adj!H61</f>
        <v>0.3846286671810874</v>
      </c>
      <c r="M66" s="554">
        <f>Passby_Length_Adj!J61</f>
        <v>1</v>
      </c>
      <c r="N66" s="416">
        <v>0.5</v>
      </c>
      <c r="O66" s="546">
        <f>L66*M66*N66</f>
        <v>0.1923143335905437</v>
      </c>
      <c r="P66" s="555">
        <f>IF($F66="Prod",$I66*$O66*$F$4*$F$6,$I66*O66*$F$5*$F$7)</f>
        <v>50.390630147088103</v>
      </c>
      <c r="Q66" s="556">
        <f>+P66/J66</f>
        <v>30.174030028196469</v>
      </c>
      <c r="R66" s="557">
        <f>+$Q$4</f>
        <v>254.27556818181819</v>
      </c>
      <c r="S66" s="582">
        <f>+Q66*R66</f>
        <v>7672.5186297549008</v>
      </c>
      <c r="T66" s="555">
        <f>IF($F66="Prod",$I66*$O66*$G$4*$G$6,$I66*$O66*$G$5*$G$7)</f>
        <v>3.8897068563774337</v>
      </c>
      <c r="U66" s="559">
        <f>+$R$4</f>
        <v>154.50490219883392</v>
      </c>
      <c r="V66" s="582">
        <f>+T66*U66</f>
        <v>600.97877742672915</v>
      </c>
      <c r="W66" s="555">
        <f>IF($F66="Prod",$I66*$O66*$J$4*$J$6,$I66*$O66*$J$5*$J$7)</f>
        <v>2.9325671190322486</v>
      </c>
      <c r="X66" s="559">
        <f>$S$4</f>
        <v>37.9060089869281</v>
      </c>
      <c r="Y66" s="582">
        <f>+W66*X66</f>
        <v>111.16191556880626</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12771.068680777847</v>
      </c>
      <c r="I68" s="553">
        <f>ITECountywide!$B$9*E68</f>
        <v>20.049119939245994</v>
      </c>
      <c r="J68" s="562">
        <f t="shared" ref="J68:J87" si="53">IF(F68="Prod",$M$3,$M$4)</f>
        <v>1.67</v>
      </c>
      <c r="K68" s="416">
        <f t="shared" ref="K68:K87" si="54">IF(F68="Prod",$F$4,$F$5)</f>
        <v>0.72504937644602452</v>
      </c>
      <c r="L68" s="554">
        <f>Passby_Length_Adj!H63</f>
        <v>1.3209364175632392</v>
      </c>
      <c r="M68" s="554">
        <f>Passby_Length_Adj!J63</f>
        <v>1</v>
      </c>
      <c r="N68" s="416">
        <v>0.5</v>
      </c>
      <c r="O68" s="546">
        <f t="shared" ref="O68:O87" si="55">L68*M68*N68</f>
        <v>0.6604682087816196</v>
      </c>
      <c r="P68" s="555">
        <f t="shared" ref="P68:P87" si="56">IF($F68="Prod",$I68*$O68*$F$4*$F$6,$I68*O68*$F$5*$F$7)</f>
        <v>76.752337060372597</v>
      </c>
      <c r="Q68" s="556">
        <f t="shared" ref="Q68:Q87" si="57">+P68/J68</f>
        <v>45.959483269684192</v>
      </c>
      <c r="R68" s="561">
        <f t="shared" ref="R68:R87" si="58">+$Q$4</f>
        <v>254.27556818181819</v>
      </c>
      <c r="S68" s="583">
        <f t="shared" ref="S68:S87" si="59">+Q68*R68</f>
        <v>11686.373721741715</v>
      </c>
      <c r="T68" s="555">
        <f t="shared" ref="T68:T87" si="60">IF($F68="Prod",$I68*$O68*$G$4*$G$6,$I68*$O68*$G$5*$G$7)</f>
        <v>5.9245953232830306</v>
      </c>
      <c r="U68" s="559">
        <f t="shared" ref="U68:U87" si="61">+$R$4</f>
        <v>154.50490219883392</v>
      </c>
      <c r="V68" s="582">
        <f t="shared" ref="V68:V87" si="62">+T68*U68</f>
        <v>915.37902099151347</v>
      </c>
      <c r="W68" s="555">
        <f t="shared" ref="W68:W87" si="63">IF($F68="Prod",$I68*$O68*$J$4*$J$6,$I68*$O68*$J$5*$J$7)</f>
        <v>4.4667308052137074</v>
      </c>
      <c r="X68" s="559">
        <f t="shared" ref="X68:X87" si="64">$S$4</f>
        <v>37.9060089869281</v>
      </c>
      <c r="Y68" s="582">
        <f t="shared" ref="Y68:Y87" si="65">+W68*X68</f>
        <v>169.31593804461937</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12357.015824230779</v>
      </c>
      <c r="I69" s="553">
        <f>ITECountywide!$B$9*E69</f>
        <v>19.399104220937762</v>
      </c>
      <c r="J69" s="562">
        <f t="shared" si="53"/>
        <v>1.67</v>
      </c>
      <c r="K69" s="416">
        <f t="shared" si="54"/>
        <v>0.72504937644602452</v>
      </c>
      <c r="L69" s="554">
        <f>Passby_Length_Adj!H64</f>
        <v>1.3209364175632392</v>
      </c>
      <c r="M69" s="554">
        <f>Passby_Length_Adj!J64</f>
        <v>1</v>
      </c>
      <c r="N69" s="416">
        <v>0.5</v>
      </c>
      <c r="O69" s="546">
        <f t="shared" si="55"/>
        <v>0.6604682087816196</v>
      </c>
      <c r="P69" s="555">
        <f t="shared" si="56"/>
        <v>74.263937287349435</v>
      </c>
      <c r="Q69" s="556">
        <f t="shared" si="57"/>
        <v>44.469423525358948</v>
      </c>
      <c r="R69" s="561">
        <f t="shared" si="58"/>
        <v>254.27556818181819</v>
      </c>
      <c r="S69" s="583">
        <f t="shared" si="59"/>
        <v>11307.487933628559</v>
      </c>
      <c r="T69" s="555">
        <f t="shared" si="60"/>
        <v>5.732513072470069</v>
      </c>
      <c r="U69" s="559">
        <f t="shared" si="61"/>
        <v>154.50490219883392</v>
      </c>
      <c r="V69" s="582">
        <f t="shared" si="62"/>
        <v>885.70137161552498</v>
      </c>
      <c r="W69" s="555">
        <f t="shared" si="63"/>
        <v>4.3219142126830281</v>
      </c>
      <c r="X69" s="559">
        <f t="shared" si="64"/>
        <v>37.9060089869281</v>
      </c>
      <c r="Y69" s="582">
        <f t="shared" si="65"/>
        <v>163.82651898669513</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12169.091044441893</v>
      </c>
      <c r="I70" s="553">
        <f>ITECountywide!$B$9*E70</f>
        <v>19.10408376934355</v>
      </c>
      <c r="J70" s="562">
        <f t="shared" si="53"/>
        <v>1.67</v>
      </c>
      <c r="K70" s="416">
        <f t="shared" si="54"/>
        <v>0.72504937644602452</v>
      </c>
      <c r="L70" s="554">
        <f>Passby_Length_Adj!H65</f>
        <v>1.3209364175632392</v>
      </c>
      <c r="M70" s="554">
        <f>Passby_Length_Adj!J65</f>
        <v>1</v>
      </c>
      <c r="N70" s="416">
        <v>0.5</v>
      </c>
      <c r="O70" s="546">
        <f t="shared" si="55"/>
        <v>0.6604682087816196</v>
      </c>
      <c r="P70" s="555">
        <f t="shared" si="56"/>
        <v>73.134535637347952</v>
      </c>
      <c r="Q70" s="556">
        <f t="shared" si="57"/>
        <v>43.793135112184402</v>
      </c>
      <c r="R70" s="561">
        <f t="shared" si="58"/>
        <v>254.27556818181819</v>
      </c>
      <c r="S70" s="583">
        <f t="shared" si="59"/>
        <v>11135.524313113821</v>
      </c>
      <c r="T70" s="555">
        <f t="shared" si="60"/>
        <v>5.6453333462235094</v>
      </c>
      <c r="U70" s="559">
        <f t="shared" si="61"/>
        <v>154.50490219883392</v>
      </c>
      <c r="V70" s="582">
        <f t="shared" si="62"/>
        <v>872.23167653807911</v>
      </c>
      <c r="W70" s="555">
        <f t="shared" si="63"/>
        <v>4.2561867920632146</v>
      </c>
      <c r="X70" s="559">
        <f t="shared" si="64"/>
        <v>37.9060089869281</v>
      </c>
      <c r="Y70" s="582">
        <f t="shared" si="65"/>
        <v>161.33505478999288</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12046.872093021399</v>
      </c>
      <c r="I71" s="553">
        <f>ITECountywide!$B$9*E71</f>
        <v>18.912213967596532</v>
      </c>
      <c r="J71" s="562">
        <f t="shared" si="53"/>
        <v>1.67</v>
      </c>
      <c r="K71" s="416">
        <f t="shared" si="54"/>
        <v>0.72504937644602452</v>
      </c>
      <c r="L71" s="554">
        <f>Passby_Length_Adj!H66</f>
        <v>1.3209364175632392</v>
      </c>
      <c r="M71" s="554">
        <f>Passby_Length_Adj!J66</f>
        <v>1</v>
      </c>
      <c r="N71" s="416">
        <v>0.5</v>
      </c>
      <c r="O71" s="546">
        <f t="shared" si="55"/>
        <v>0.6604682087816196</v>
      </c>
      <c r="P71" s="555">
        <f t="shared" si="56"/>
        <v>72.400016828541439</v>
      </c>
      <c r="Q71" s="556">
        <f t="shared" si="57"/>
        <v>43.353303490144576</v>
      </c>
      <c r="R71" s="561">
        <f t="shared" si="58"/>
        <v>254.27556818181819</v>
      </c>
      <c r="S71" s="583">
        <f t="shared" si="59"/>
        <v>11023.685877515314</v>
      </c>
      <c r="T71" s="555">
        <f t="shared" si="60"/>
        <v>5.5886350505599447</v>
      </c>
      <c r="U71" s="559">
        <f t="shared" si="61"/>
        <v>154.50490219883392</v>
      </c>
      <c r="V71" s="582">
        <f t="shared" si="62"/>
        <v>863.47151191173953</v>
      </c>
      <c r="W71" s="555">
        <f t="shared" si="63"/>
        <v>4.2134402397631296</v>
      </c>
      <c r="X71" s="559">
        <f t="shared" si="64"/>
        <v>37.9060089869281</v>
      </c>
      <c r="Y71" s="582">
        <f t="shared" si="65"/>
        <v>159.71470359434568</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11918.654772109678</v>
      </c>
      <c r="I72" s="553">
        <f>ITECountywide!$B$9*E72</f>
        <v>18.710927410496026</v>
      </c>
      <c r="J72" s="562">
        <f t="shared" si="53"/>
        <v>1.67</v>
      </c>
      <c r="K72" s="416">
        <f t="shared" si="54"/>
        <v>0.72504937644602452</v>
      </c>
      <c r="L72" s="554">
        <f>Passby_Length_Adj!H67</f>
        <v>1.3209364175632392</v>
      </c>
      <c r="M72" s="554">
        <f>Passby_Length_Adj!J67</f>
        <v>1</v>
      </c>
      <c r="N72" s="416">
        <v>0.5</v>
      </c>
      <c r="O72" s="546">
        <f t="shared" si="55"/>
        <v>0.6604682087816196</v>
      </c>
      <c r="P72" s="555">
        <f t="shared" si="56"/>
        <v>71.629448657812986</v>
      </c>
      <c r="Q72" s="556">
        <f t="shared" si="57"/>
        <v>42.891885423840115</v>
      </c>
      <c r="R72" s="561">
        <f t="shared" si="58"/>
        <v>254.27556818181819</v>
      </c>
      <c r="S72" s="583">
        <f t="shared" si="59"/>
        <v>10906.358536536391</v>
      </c>
      <c r="T72" s="555">
        <f t="shared" si="60"/>
        <v>5.5291540659356269</v>
      </c>
      <c r="U72" s="559">
        <f t="shared" si="61"/>
        <v>154.50490219883392</v>
      </c>
      <c r="V72" s="582">
        <f t="shared" si="62"/>
        <v>854.28140819966893</v>
      </c>
      <c r="W72" s="555">
        <f t="shared" si="63"/>
        <v>4.1685957344680986</v>
      </c>
      <c r="X72" s="559">
        <f t="shared" si="64"/>
        <v>37.9060089869281</v>
      </c>
      <c r="Y72" s="582">
        <f t="shared" si="65"/>
        <v>158.01482737361789</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11798.951050338654</v>
      </c>
      <c r="I73" s="553">
        <f>ITECountywide!$B$9*E73</f>
        <v>18.523006232171017</v>
      </c>
      <c r="J73" s="562">
        <f t="shared" si="53"/>
        <v>1.67</v>
      </c>
      <c r="K73" s="416">
        <f t="shared" si="54"/>
        <v>0.72504937644602452</v>
      </c>
      <c r="L73" s="554">
        <f>Passby_Length_Adj!H68</f>
        <v>1.3209364175632392</v>
      </c>
      <c r="M73" s="554">
        <f>Passby_Length_Adj!J68</f>
        <v>1</v>
      </c>
      <c r="N73" s="416">
        <v>0.5</v>
      </c>
      <c r="O73" s="546">
        <f t="shared" si="55"/>
        <v>0.6604682087816196</v>
      </c>
      <c r="P73" s="555">
        <f t="shared" si="56"/>
        <v>70.910046027508514</v>
      </c>
      <c r="Q73" s="556">
        <f t="shared" si="57"/>
        <v>42.461105405693722</v>
      </c>
      <c r="R73" s="561">
        <f t="shared" si="58"/>
        <v>254.27556818181819</v>
      </c>
      <c r="S73" s="583">
        <f t="shared" si="59"/>
        <v>10796.821702660844</v>
      </c>
      <c r="T73" s="555">
        <f t="shared" si="60"/>
        <v>5.4736226043241478</v>
      </c>
      <c r="U73" s="559">
        <f t="shared" si="61"/>
        <v>154.50490219883392</v>
      </c>
      <c r="V73" s="582">
        <f t="shared" si="62"/>
        <v>845.70152515442908</v>
      </c>
      <c r="W73" s="555">
        <f t="shared" si="63"/>
        <v>4.1267288934935342</v>
      </c>
      <c r="X73" s="559">
        <f t="shared" si="64"/>
        <v>37.9060089869281</v>
      </c>
      <c r="Y73" s="582">
        <f t="shared" si="65"/>
        <v>156.42782252338176</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11710.328154199104</v>
      </c>
      <c r="I74" s="553">
        <f>ITECountywide!$B$9*E74</f>
        <v>18.383878402035741</v>
      </c>
      <c r="J74" s="562">
        <f t="shared" si="53"/>
        <v>1.67</v>
      </c>
      <c r="K74" s="416">
        <f t="shared" si="54"/>
        <v>0.72504937644602452</v>
      </c>
      <c r="L74" s="554">
        <f>Passby_Length_Adj!H69</f>
        <v>1.3209364175632392</v>
      </c>
      <c r="M74" s="554">
        <f>Passby_Length_Adj!J69</f>
        <v>1</v>
      </c>
      <c r="N74" s="416">
        <v>0.5</v>
      </c>
      <c r="O74" s="546">
        <f t="shared" si="55"/>
        <v>0.6604682087816196</v>
      </c>
      <c r="P74" s="555">
        <f t="shared" si="56"/>
        <v>70.377434813381456</v>
      </c>
      <c r="Q74" s="556">
        <f t="shared" si="57"/>
        <v>42.142176534958956</v>
      </c>
      <c r="R74" s="561">
        <f t="shared" si="58"/>
        <v>254.27556818181819</v>
      </c>
      <c r="S74" s="583">
        <f t="shared" si="59"/>
        <v>10715.725882845174</v>
      </c>
      <c r="T74" s="555">
        <f t="shared" si="60"/>
        <v>5.4325097727257656</v>
      </c>
      <c r="U74" s="559">
        <f t="shared" si="61"/>
        <v>154.50490219883392</v>
      </c>
      <c r="V74" s="582">
        <f t="shared" si="62"/>
        <v>839.34939112920392</v>
      </c>
      <c r="W74" s="555">
        <f t="shared" si="63"/>
        <v>4.0957326918342636</v>
      </c>
      <c r="X74" s="559">
        <f t="shared" si="64"/>
        <v>37.9060089869281</v>
      </c>
      <c r="Y74" s="582">
        <f t="shared" si="65"/>
        <v>155.25288022472481</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11640.042340176937</v>
      </c>
      <c r="I75" s="553">
        <f>ITECountywide!$B$9*E75</f>
        <v>18.273537697543336</v>
      </c>
      <c r="J75" s="562">
        <f t="shared" si="53"/>
        <v>1.67</v>
      </c>
      <c r="K75" s="416">
        <f t="shared" si="54"/>
        <v>0.72504937644602452</v>
      </c>
      <c r="L75" s="554">
        <f>Passby_Length_Adj!H70</f>
        <v>1.3209364175632392</v>
      </c>
      <c r="M75" s="554">
        <f>Passby_Length_Adj!J70</f>
        <v>1</v>
      </c>
      <c r="N75" s="416">
        <v>0.5</v>
      </c>
      <c r="O75" s="546">
        <f t="shared" si="55"/>
        <v>0.6604682087816196</v>
      </c>
      <c r="P75" s="555">
        <f t="shared" si="56"/>
        <v>69.955026898802501</v>
      </c>
      <c r="Q75" s="556">
        <f t="shared" si="57"/>
        <v>41.889237663953594</v>
      </c>
      <c r="R75" s="561">
        <f t="shared" si="58"/>
        <v>254.27556818181819</v>
      </c>
      <c r="S75" s="583">
        <f t="shared" si="59"/>
        <v>10651.409707705019</v>
      </c>
      <c r="T75" s="555">
        <f t="shared" si="60"/>
        <v>5.3999036521686339</v>
      </c>
      <c r="U75" s="559">
        <f t="shared" si="61"/>
        <v>154.50490219883392</v>
      </c>
      <c r="V75" s="582">
        <f t="shared" si="62"/>
        <v>834.31158566144086</v>
      </c>
      <c r="W75" s="555">
        <f t="shared" si="63"/>
        <v>4.0711499557681066</v>
      </c>
      <c r="X75" s="559">
        <f t="shared" si="64"/>
        <v>37.9060089869281</v>
      </c>
      <c r="Y75" s="582">
        <f t="shared" si="65"/>
        <v>154.32104681047778</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11581.852775479039</v>
      </c>
      <c r="I76" s="553">
        <f>ITECountywide!$B$9*E76</f>
        <v>18.182186723634896</v>
      </c>
      <c r="J76" s="562">
        <f t="shared" si="53"/>
        <v>1.67</v>
      </c>
      <c r="K76" s="416">
        <f t="shared" si="54"/>
        <v>0.72504937644602452</v>
      </c>
      <c r="L76" s="554">
        <f>Passby_Length_Adj!H71</f>
        <v>1.3209364175632392</v>
      </c>
      <c r="M76" s="554">
        <f>Passby_Length_Adj!J71</f>
        <v>1</v>
      </c>
      <c r="N76" s="416">
        <v>0.5</v>
      </c>
      <c r="O76" s="546">
        <f t="shared" si="55"/>
        <v>0.6604682087816196</v>
      </c>
      <c r="P76" s="555">
        <f t="shared" si="56"/>
        <v>69.605315751307728</v>
      </c>
      <c r="Q76" s="556">
        <f t="shared" si="57"/>
        <v>41.679829791202231</v>
      </c>
      <c r="R76" s="561">
        <f t="shared" si="58"/>
        <v>254.27556818181819</v>
      </c>
      <c r="S76" s="583">
        <f t="shared" si="59"/>
        <v>10598.162401879419</v>
      </c>
      <c r="T76" s="555">
        <f t="shared" si="60"/>
        <v>5.3729090731329796</v>
      </c>
      <c r="U76" s="559">
        <f t="shared" si="61"/>
        <v>154.50490219883392</v>
      </c>
      <c r="V76" s="582">
        <f t="shared" si="62"/>
        <v>830.14079086763843</v>
      </c>
      <c r="W76" s="555">
        <f t="shared" si="63"/>
        <v>4.0507979298198569</v>
      </c>
      <c r="X76" s="559">
        <f t="shared" si="64"/>
        <v>37.9060089869281</v>
      </c>
      <c r="Y76" s="582">
        <f t="shared" si="65"/>
        <v>153.54958273198125</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11509.93155658572</v>
      </c>
      <c r="I77" s="553">
        <f>ITECountywide!$B$9*E77</f>
        <v>18.069278620185472</v>
      </c>
      <c r="J77" s="562">
        <f t="shared" si="53"/>
        <v>1.67</v>
      </c>
      <c r="K77" s="416">
        <f t="shared" si="54"/>
        <v>0.72504937644602452</v>
      </c>
      <c r="L77" s="554">
        <f>Passby_Length_Adj!H72</f>
        <v>1.3209364175632392</v>
      </c>
      <c r="M77" s="554">
        <f>Passby_Length_Adj!J72</f>
        <v>1</v>
      </c>
      <c r="N77" s="416">
        <v>0.5</v>
      </c>
      <c r="O77" s="546">
        <f t="shared" si="55"/>
        <v>0.6604682087816196</v>
      </c>
      <c r="P77" s="555">
        <f t="shared" si="56"/>
        <v>69.173079282123169</v>
      </c>
      <c r="Q77" s="556">
        <f t="shared" si="57"/>
        <v>41.421005558157589</v>
      </c>
      <c r="R77" s="561">
        <f t="shared" si="58"/>
        <v>254.27556818181819</v>
      </c>
      <c r="S77" s="583">
        <f t="shared" si="59"/>
        <v>10532.34972296277</v>
      </c>
      <c r="T77" s="555">
        <f t="shared" si="60"/>
        <v>5.3395442758907929</v>
      </c>
      <c r="U77" s="559">
        <f t="shared" si="61"/>
        <v>154.50490219883392</v>
      </c>
      <c r="V77" s="582">
        <f t="shared" si="62"/>
        <v>824.98576613285047</v>
      </c>
      <c r="W77" s="555">
        <f t="shared" si="63"/>
        <v>4.0256432045568999</v>
      </c>
      <c r="X77" s="559">
        <f t="shared" si="64"/>
        <v>37.9060089869281</v>
      </c>
      <c r="Y77" s="582">
        <f t="shared" si="65"/>
        <v>152.5960674900999</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18692.874263361584</v>
      </c>
      <c r="I78" s="553">
        <f>ITECountywide!$B$9*E78</f>
        <v>29.345678696370033</v>
      </c>
      <c r="J78" s="562">
        <f t="shared" si="53"/>
        <v>1.67</v>
      </c>
      <c r="K78" s="416">
        <f t="shared" si="54"/>
        <v>0.72504937644602452</v>
      </c>
      <c r="L78" s="554">
        <f>Passby_Length_Adj!H73</f>
        <v>1.3209364175632392</v>
      </c>
      <c r="M78" s="554">
        <f>Passby_Length_Adj!J73</f>
        <v>1</v>
      </c>
      <c r="N78" s="416">
        <v>0.5</v>
      </c>
      <c r="O78" s="546">
        <f t="shared" si="55"/>
        <v>0.6604682087816196</v>
      </c>
      <c r="P78" s="555">
        <f t="shared" si="56"/>
        <v>112.34156059689343</v>
      </c>
      <c r="Q78" s="556">
        <f t="shared" si="57"/>
        <v>67.270395567002055</v>
      </c>
      <c r="R78" s="561">
        <f t="shared" si="58"/>
        <v>254.27556818181819</v>
      </c>
      <c r="S78" s="583">
        <f t="shared" si="59"/>
        <v>17105.21805461511</v>
      </c>
      <c r="T78" s="555">
        <f t="shared" si="60"/>
        <v>8.6717657079175989</v>
      </c>
      <c r="U78" s="559">
        <f t="shared" si="61"/>
        <v>154.50490219883392</v>
      </c>
      <c r="V78" s="582">
        <f t="shared" si="62"/>
        <v>1339.8303125930104</v>
      </c>
      <c r="W78" s="555">
        <f t="shared" si="63"/>
        <v>6.5379052761509522</v>
      </c>
      <c r="X78" s="559">
        <f t="shared" si="64"/>
        <v>37.9060089869281</v>
      </c>
      <c r="Y78" s="582">
        <f t="shared" si="65"/>
        <v>247.82589615346262</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9179.0210249366628</v>
      </c>
      <c r="I79" s="553">
        <f>ITECountywide!$B$9*E79</f>
        <v>14.410015172090286</v>
      </c>
      <c r="J79" s="562">
        <f t="shared" si="53"/>
        <v>1.67</v>
      </c>
      <c r="K79" s="416">
        <f t="shared" si="54"/>
        <v>0.72504937644602452</v>
      </c>
      <c r="L79" s="554">
        <f>Passby_Length_Adj!H74</f>
        <v>1.3209364175632392</v>
      </c>
      <c r="M79" s="554">
        <f>Passby_Length_Adj!J74</f>
        <v>1</v>
      </c>
      <c r="N79" s="416">
        <v>0.5</v>
      </c>
      <c r="O79" s="546">
        <f t="shared" si="55"/>
        <v>0.6604682087816196</v>
      </c>
      <c r="P79" s="555">
        <f t="shared" si="56"/>
        <v>55.164632905824753</v>
      </c>
      <c r="Q79" s="556">
        <f t="shared" si="57"/>
        <v>33.032714314865125</v>
      </c>
      <c r="R79" s="561">
        <f t="shared" si="58"/>
        <v>254.27556818181819</v>
      </c>
      <c r="S79" s="583">
        <f t="shared" si="59"/>
        <v>8399.4122010000083</v>
      </c>
      <c r="T79" s="555">
        <f t="shared" si="60"/>
        <v>4.2582172562041327</v>
      </c>
      <c r="U79" s="559">
        <f t="shared" si="61"/>
        <v>154.50490219883392</v>
      </c>
      <c r="V79" s="582">
        <f t="shared" si="62"/>
        <v>657.91544071120643</v>
      </c>
      <c r="W79" s="555">
        <f t="shared" si="63"/>
        <v>3.2103982053983988</v>
      </c>
      <c r="X79" s="559">
        <f t="shared" si="64"/>
        <v>37.9060089869281</v>
      </c>
      <c r="Y79" s="582">
        <f t="shared" si="65"/>
        <v>121.69338322544955</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12989.180695665093</v>
      </c>
      <c r="I80" s="553">
        <f>ITECountywide!$B$9*E80</f>
        <v>20.391530903901348</v>
      </c>
      <c r="J80" s="562">
        <f t="shared" si="53"/>
        <v>1.67</v>
      </c>
      <c r="K80" s="416">
        <f t="shared" si="54"/>
        <v>0.72504937644602452</v>
      </c>
      <c r="L80" s="554">
        <f>Passby_Length_Adj!H75</f>
        <v>1.3209364175632392</v>
      </c>
      <c r="M80" s="554">
        <f>Passby_Length_Adj!J75</f>
        <v>1</v>
      </c>
      <c r="N80" s="416">
        <v>0.5</v>
      </c>
      <c r="O80" s="546">
        <f t="shared" si="55"/>
        <v>0.6604682087816196</v>
      </c>
      <c r="P80" s="555">
        <f t="shared" si="56"/>
        <v>78.063159772393519</v>
      </c>
      <c r="Q80" s="556">
        <f t="shared" si="57"/>
        <v>46.74440704933744</v>
      </c>
      <c r="R80" s="561">
        <f t="shared" si="58"/>
        <v>254.27556818181819</v>
      </c>
      <c r="S80" s="583">
        <f t="shared" si="59"/>
        <v>11885.960661792466</v>
      </c>
      <c r="T80" s="555">
        <f t="shared" si="60"/>
        <v>6.025779136137924</v>
      </c>
      <c r="U80" s="559">
        <f t="shared" si="61"/>
        <v>154.50490219883392</v>
      </c>
      <c r="V80" s="582">
        <f t="shared" si="62"/>
        <v>931.01241610076386</v>
      </c>
      <c r="W80" s="555">
        <f t="shared" si="63"/>
        <v>4.5430163283939597</v>
      </c>
      <c r="X80" s="559">
        <f t="shared" si="64"/>
        <v>37.9060089869281</v>
      </c>
      <c r="Y80" s="582">
        <f t="shared" si="65"/>
        <v>172.20761777186254</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11699.524636395952</v>
      </c>
      <c r="I81" s="553">
        <f>ITECountywide!$B$9*E81</f>
        <v>63.077802262734835</v>
      </c>
      <c r="J81" s="562">
        <f t="shared" si="53"/>
        <v>1.67</v>
      </c>
      <c r="K81" s="416">
        <f t="shared" si="54"/>
        <v>0.72504937644602452</v>
      </c>
      <c r="L81" s="554">
        <f>Passby_Length_Adj!H76</f>
        <v>0.3846286671810874</v>
      </c>
      <c r="M81" s="554">
        <f>Passby_Length_Adj!J76</f>
        <v>1</v>
      </c>
      <c r="N81" s="416">
        <v>0.5</v>
      </c>
      <c r="O81" s="546">
        <f t="shared" si="55"/>
        <v>0.1923143335905437</v>
      </c>
      <c r="P81" s="555">
        <f t="shared" si="56"/>
        <v>70.312507181983364</v>
      </c>
      <c r="Q81" s="556">
        <f t="shared" si="57"/>
        <v>42.103297713762494</v>
      </c>
      <c r="R81" s="561">
        <f t="shared" si="58"/>
        <v>254.27556818181819</v>
      </c>
      <c r="S81" s="583">
        <f t="shared" si="59"/>
        <v>10705.839948495204</v>
      </c>
      <c r="T81" s="555">
        <f t="shared" si="60"/>
        <v>5.4274979391313014</v>
      </c>
      <c r="U81" s="559">
        <f t="shared" si="61"/>
        <v>154.50490219883392</v>
      </c>
      <c r="V81" s="582">
        <f t="shared" si="62"/>
        <v>838.57503826985442</v>
      </c>
      <c r="W81" s="555">
        <f t="shared" si="63"/>
        <v>4.0919541195798805</v>
      </c>
      <c r="X81" s="559">
        <f t="shared" si="64"/>
        <v>37.9060089869281</v>
      </c>
      <c r="Y81" s="582">
        <f t="shared" si="65"/>
        <v>155.10964963089242</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26082.274836895496</v>
      </c>
      <c r="I82" s="553">
        <f>ITECountywide!$B$9*E82</f>
        <v>40.946194055033907</v>
      </c>
      <c r="J82" s="562">
        <f t="shared" si="53"/>
        <v>1.67</v>
      </c>
      <c r="K82" s="416">
        <f t="shared" si="54"/>
        <v>0.72504937644602452</v>
      </c>
      <c r="L82" s="554">
        <f>Passby_Length_Adj!H77</f>
        <v>1.3209364175632392</v>
      </c>
      <c r="M82" s="554">
        <f>Passby_Length_Adj!J77</f>
        <v>1</v>
      </c>
      <c r="N82" s="416">
        <v>0.5</v>
      </c>
      <c r="O82" s="546">
        <f t="shared" si="55"/>
        <v>0.6604682087816196</v>
      </c>
      <c r="P82" s="555">
        <f t="shared" si="56"/>
        <v>156.75082482296617</v>
      </c>
      <c r="Q82" s="556">
        <f t="shared" si="57"/>
        <v>93.86276935506956</v>
      </c>
      <c r="R82" s="561">
        <f t="shared" si="58"/>
        <v>254.27556818181819</v>
      </c>
      <c r="S82" s="583">
        <f t="shared" si="59"/>
        <v>23867.009008879264</v>
      </c>
      <c r="T82" s="555">
        <f t="shared" si="60"/>
        <v>12.099764505364949</v>
      </c>
      <c r="U82" s="559">
        <f t="shared" si="61"/>
        <v>154.50490219883392</v>
      </c>
      <c r="V82" s="582">
        <f t="shared" si="62"/>
        <v>1869.4729315303334</v>
      </c>
      <c r="W82" s="555">
        <f t="shared" si="63"/>
        <v>9.122376787415071</v>
      </c>
      <c r="X82" s="559">
        <f t="shared" si="64"/>
        <v>37.9060089869281</v>
      </c>
      <c r="Y82" s="582">
        <f t="shared" si="65"/>
        <v>345.79289648589997</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3768.7261831608807</v>
      </c>
      <c r="I83" s="553">
        <f>ITECountywide!$B$9*E83</f>
        <v>20.319027682909702</v>
      </c>
      <c r="J83" s="562">
        <f t="shared" si="53"/>
        <v>1.67</v>
      </c>
      <c r="K83" s="416">
        <f t="shared" si="54"/>
        <v>0.72504937644602452</v>
      </c>
      <c r="L83" s="554">
        <f>Passby_Length_Adj!H78</f>
        <v>0.3846286671810874</v>
      </c>
      <c r="M83" s="554">
        <f>Passby_Length_Adj!J78</f>
        <v>1</v>
      </c>
      <c r="N83" s="416">
        <v>0.5</v>
      </c>
      <c r="O83" s="546">
        <f t="shared" si="55"/>
        <v>0.1923143335905437</v>
      </c>
      <c r="P83" s="555">
        <f t="shared" si="56"/>
        <v>22.649517399713613</v>
      </c>
      <c r="Q83" s="556">
        <f t="shared" si="57"/>
        <v>13.562585269289588</v>
      </c>
      <c r="R83" s="561">
        <f t="shared" si="58"/>
        <v>254.27556818181819</v>
      </c>
      <c r="S83" s="583">
        <f t="shared" si="59"/>
        <v>3448.6340753629679</v>
      </c>
      <c r="T83" s="555">
        <f t="shared" si="60"/>
        <v>1.7483405717718936</v>
      </c>
      <c r="U83" s="559">
        <f t="shared" si="61"/>
        <v>154.50490219883392</v>
      </c>
      <c r="V83" s="582">
        <f t="shared" si="62"/>
        <v>270.12718905186978</v>
      </c>
      <c r="W83" s="555">
        <f t="shared" si="63"/>
        <v>1.3181266000140941</v>
      </c>
      <c r="X83" s="559">
        <f t="shared" si="64"/>
        <v>37.9060089869281</v>
      </c>
      <c r="Y83" s="582">
        <f t="shared" si="65"/>
        <v>49.964918746043232</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39233.098670106643</v>
      </c>
      <c r="I84" s="553">
        <f>ITECountywide!$B$9*E84</f>
        <v>61.591486232406027</v>
      </c>
      <c r="J84" s="562">
        <f t="shared" si="53"/>
        <v>1.67</v>
      </c>
      <c r="K84" s="416">
        <f t="shared" si="54"/>
        <v>0.72504937644602452</v>
      </c>
      <c r="L84" s="554">
        <f>Passby_Length_Adj!H79</f>
        <v>1.3209364175632392</v>
      </c>
      <c r="M84" s="554">
        <f>Passby_Length_Adj!J79</f>
        <v>1</v>
      </c>
      <c r="N84" s="416">
        <v>0.5</v>
      </c>
      <c r="O84" s="546">
        <f t="shared" si="55"/>
        <v>0.6604682087816196</v>
      </c>
      <c r="P84" s="555">
        <f t="shared" si="56"/>
        <v>235.78543725030502</v>
      </c>
      <c r="Q84" s="556">
        <f t="shared" si="57"/>
        <v>141.18888458102097</v>
      </c>
      <c r="R84" s="561">
        <f t="shared" si="58"/>
        <v>254.27556818181819</v>
      </c>
      <c r="S84" s="583">
        <f t="shared" si="59"/>
        <v>35900.883847796256</v>
      </c>
      <c r="T84" s="555">
        <f t="shared" si="60"/>
        <v>18.20053111519703</v>
      </c>
      <c r="U84" s="559">
        <f t="shared" si="61"/>
        <v>154.50490219883392</v>
      </c>
      <c r="V84" s="582">
        <f t="shared" si="62"/>
        <v>2812.0712799203507</v>
      </c>
      <c r="W84" s="555">
        <f t="shared" si="63"/>
        <v>13.721928430117934</v>
      </c>
      <c r="X84" s="559">
        <f t="shared" si="64"/>
        <v>37.9060089869281</v>
      </c>
      <c r="Y84" s="582">
        <f t="shared" si="65"/>
        <v>520.14354239003467</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12781.35380453445</v>
      </c>
      <c r="I85" s="553">
        <f>ITECountywide!$B$9*E85</f>
        <v>20.065266409438927</v>
      </c>
      <c r="J85" s="562">
        <f t="shared" si="53"/>
        <v>1.67</v>
      </c>
      <c r="K85" s="416">
        <f t="shared" si="54"/>
        <v>0.72504937644602452</v>
      </c>
      <c r="L85" s="554">
        <f>Passby_Length_Adj!H80</f>
        <v>1.3209364175632392</v>
      </c>
      <c r="M85" s="554">
        <f>Passby_Length_Adj!J80</f>
        <v>1</v>
      </c>
      <c r="N85" s="416">
        <v>0.5</v>
      </c>
      <c r="O85" s="546">
        <f t="shared" si="55"/>
        <v>0.6604682087816196</v>
      </c>
      <c r="P85" s="555">
        <f t="shared" si="56"/>
        <v>76.814149216035219</v>
      </c>
      <c r="Q85" s="556">
        <f t="shared" si="57"/>
        <v>45.996496536548037</v>
      </c>
      <c r="R85" s="561">
        <f t="shared" si="58"/>
        <v>254.27556818181819</v>
      </c>
      <c r="S85" s="583">
        <f t="shared" si="59"/>
        <v>11695.785291203785</v>
      </c>
      <c r="T85" s="555">
        <f t="shared" si="60"/>
        <v>5.929366669959717</v>
      </c>
      <c r="U85" s="559">
        <f t="shared" si="61"/>
        <v>154.50490219883392</v>
      </c>
      <c r="V85" s="582">
        <f t="shared" si="62"/>
        <v>916.11621744315164</v>
      </c>
      <c r="W85" s="555">
        <f t="shared" si="63"/>
        <v>4.4703280671396568</v>
      </c>
      <c r="X85" s="559">
        <f t="shared" si="64"/>
        <v>37.9060089869281</v>
      </c>
      <c r="Y85" s="582">
        <f t="shared" si="65"/>
        <v>169.45229588751275</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13000.726634061237</v>
      </c>
      <c r="I86" s="553">
        <f>ITECountywide!$B$9*E86</f>
        <v>20.40965670914926</v>
      </c>
      <c r="J86" s="562">
        <f t="shared" si="53"/>
        <v>1.67</v>
      </c>
      <c r="K86" s="416">
        <f t="shared" si="54"/>
        <v>0.72504937644602452</v>
      </c>
      <c r="L86" s="554">
        <f>Passby_Length_Adj!H81</f>
        <v>1.3209364175632392</v>
      </c>
      <c r="M86" s="554">
        <f>Passby_Length_Adj!J81</f>
        <v>1</v>
      </c>
      <c r="N86" s="416">
        <v>0.5</v>
      </c>
      <c r="O86" s="546">
        <f t="shared" si="55"/>
        <v>0.6604682087816196</v>
      </c>
      <c r="P86" s="555">
        <f t="shared" si="56"/>
        <v>78.132549247746752</v>
      </c>
      <c r="Q86" s="556">
        <f t="shared" si="57"/>
        <v>46.785957633381294</v>
      </c>
      <c r="R86" s="561">
        <f t="shared" si="58"/>
        <v>254.27556818181819</v>
      </c>
      <c r="S86" s="583">
        <f t="shared" si="59"/>
        <v>11896.525960158502</v>
      </c>
      <c r="T86" s="555">
        <f t="shared" si="60"/>
        <v>6.0311353842589348</v>
      </c>
      <c r="U86" s="559">
        <f t="shared" si="61"/>
        <v>154.50490219883392</v>
      </c>
      <c r="V86" s="582">
        <f t="shared" si="62"/>
        <v>931.83998269285337</v>
      </c>
      <c r="W86" s="555">
        <f t="shared" si="63"/>
        <v>4.5470545651303107</v>
      </c>
      <c r="X86" s="559">
        <f t="shared" si="64"/>
        <v>37.9060089869281</v>
      </c>
      <c r="Y86" s="582">
        <f t="shared" si="65"/>
        <v>172.36069120988199</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14363.147364806551</v>
      </c>
      <c r="I87" s="553">
        <f>ITECountywide!$B$9*E87</f>
        <v>22.548501728402911</v>
      </c>
      <c r="J87" s="562">
        <f t="shared" si="53"/>
        <v>1.67</v>
      </c>
      <c r="K87" s="416">
        <f t="shared" si="54"/>
        <v>0.72504937644602452</v>
      </c>
      <c r="L87" s="554">
        <f>Passby_Length_Adj!H82</f>
        <v>1.3209364175632392</v>
      </c>
      <c r="M87" s="554">
        <f>Passby_Length_Adj!J82</f>
        <v>1</v>
      </c>
      <c r="N87" s="416">
        <v>0.5</v>
      </c>
      <c r="O87" s="546">
        <f t="shared" si="55"/>
        <v>0.6604682087816196</v>
      </c>
      <c r="P87" s="555">
        <f t="shared" si="56"/>
        <v>86.3205073394289</v>
      </c>
      <c r="Q87" s="556">
        <f t="shared" si="57"/>
        <v>51.688926550556232</v>
      </c>
      <c r="R87" s="561">
        <f t="shared" si="58"/>
        <v>254.27556818181819</v>
      </c>
      <c r="S87" s="583">
        <f t="shared" si="59"/>
        <v>13143.231167350954</v>
      </c>
      <c r="T87" s="555">
        <f t="shared" si="60"/>
        <v>6.6631726625382885</v>
      </c>
      <c r="U87" s="559">
        <f t="shared" si="61"/>
        <v>154.50490219883392</v>
      </c>
      <c r="V87" s="582">
        <f t="shared" si="62"/>
        <v>1029.4928405594221</v>
      </c>
      <c r="W87" s="555">
        <f t="shared" si="63"/>
        <v>5.0235665000196317</v>
      </c>
      <c r="X87" s="559">
        <f t="shared" si="64"/>
        <v>37.9060089869281</v>
      </c>
      <c r="Y87" s="582">
        <f t="shared" si="65"/>
        <v>190.42335689617511</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7399.2563759930235</v>
      </c>
      <c r="I89" s="553">
        <f>ITECountywide!$B$9*E89</f>
        <v>32.717078472481724</v>
      </c>
      <c r="J89" s="562">
        <f t="shared" ref="J89:J126" si="67">IF(F89="Prod",$M$3,$M$4)</f>
        <v>1.67</v>
      </c>
      <c r="K89" s="416">
        <f t="shared" ref="K89:K126" si="68">IF(F89="Prod",$F$4,$F$5)</f>
        <v>0.72504937644602452</v>
      </c>
      <c r="L89" s="554">
        <f>Passby_Length_Adj!H84</f>
        <v>0.4689899613519371</v>
      </c>
      <c r="M89" s="554">
        <f>Passby_Length_Adj!J84</f>
        <v>1</v>
      </c>
      <c r="N89" s="416">
        <v>0.5</v>
      </c>
      <c r="O89" s="546">
        <f t="shared" ref="O89:O126" si="69">L89*M89*N89</f>
        <v>0.23449498067596855</v>
      </c>
      <c r="P89" s="555">
        <f t="shared" ref="P89:P126" si="70">IF($F89="Prod",$I89*$O89*$F$4*$F$6,$I89*O89*$F$5*$F$7)</f>
        <v>44.468496220767165</v>
      </c>
      <c r="Q89" s="556">
        <f t="shared" ref="Q89:Q126" si="71">+P89/J89</f>
        <v>26.627842048363572</v>
      </c>
      <c r="R89" s="561">
        <f t="shared" ref="R89:R126" si="72">+$Q$4</f>
        <v>254.27556818181819</v>
      </c>
      <c r="S89" s="583">
        <f t="shared" ref="S89:S126" si="73">+Q89*R89</f>
        <v>6770.8096663033566</v>
      </c>
      <c r="T89" s="555">
        <f t="shared" ref="T89:T126" si="74">IF($F89="Prod",$I89*$O89*$G$4*$G$6,$I89*$O89*$G$5*$G$7)</f>
        <v>3.4325709787280232</v>
      </c>
      <c r="U89" s="559">
        <f t="shared" ref="U89:U126" si="75">+$R$4</f>
        <v>154.50490219883392</v>
      </c>
      <c r="V89" s="582">
        <f t="shared" ref="V89:V126" si="76">+T89*U89</f>
        <v>530.34904335892884</v>
      </c>
      <c r="W89" s="555">
        <f t="shared" ref="W89:W126" si="77">IF($F89="Prod",$I89*$O89*$J$4*$J$6,$I89*$O89*$J$5*$J$7)</f>
        <v>2.5879186164010965</v>
      </c>
      <c r="X89" s="559">
        <f t="shared" ref="X89:X126" si="78">$S$4</f>
        <v>37.9060089869281</v>
      </c>
      <c r="Y89" s="582">
        <f t="shared" ref="Y89:Y126" si="79">+W89*X89</f>
        <v>98.097666330738505</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20783.506828966551</v>
      </c>
      <c r="I90" s="553">
        <f>ITECountywide!$B$9*E90</f>
        <v>91.897832606915415</v>
      </c>
      <c r="J90" s="562">
        <f t="shared" si="67"/>
        <v>1.67</v>
      </c>
      <c r="K90" s="416">
        <f t="shared" si="68"/>
        <v>0.72504937644602452</v>
      </c>
      <c r="L90" s="554">
        <f>Passby_Length_Adj!H85</f>
        <v>0.4689899613519371</v>
      </c>
      <c r="M90" s="554">
        <f>Passby_Length_Adj!J85</f>
        <v>1</v>
      </c>
      <c r="N90" s="416">
        <v>0.5</v>
      </c>
      <c r="O90" s="546">
        <f t="shared" si="69"/>
        <v>0.23449498067596855</v>
      </c>
      <c r="P90" s="555">
        <f t="shared" si="70"/>
        <v>124.9059699940662</v>
      </c>
      <c r="Q90" s="556">
        <f t="shared" si="71"/>
        <v>74.793994008422871</v>
      </c>
      <c r="R90" s="561">
        <f t="shared" si="72"/>
        <v>254.27556818181819</v>
      </c>
      <c r="S90" s="583">
        <f t="shared" si="73"/>
        <v>19018.285323079232</v>
      </c>
      <c r="T90" s="555">
        <f t="shared" si="74"/>
        <v>9.6416259624105685</v>
      </c>
      <c r="U90" s="559">
        <f t="shared" si="75"/>
        <v>154.50490219883392</v>
      </c>
      <c r="V90" s="582">
        <f t="shared" si="76"/>
        <v>1489.6784763599828</v>
      </c>
      <c r="W90" s="555">
        <f t="shared" si="77"/>
        <v>7.2691121247388129</v>
      </c>
      <c r="X90" s="559">
        <f t="shared" si="78"/>
        <v>37.9060089869281</v>
      </c>
      <c r="Y90" s="582">
        <f t="shared" si="79"/>
        <v>275.54302952733747</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3746.7702646302628</v>
      </c>
      <c r="I91" s="553">
        <f>ITECountywide!$B$9*E91</f>
        <v>16.566985996591853</v>
      </c>
      <c r="J91" s="562">
        <f t="shared" si="67"/>
        <v>1.67</v>
      </c>
      <c r="K91" s="416">
        <f t="shared" si="68"/>
        <v>0.72504937644602452</v>
      </c>
      <c r="L91" s="554">
        <f>Passby_Length_Adj!H86</f>
        <v>0.4689899613519371</v>
      </c>
      <c r="M91" s="554">
        <f>Passby_Length_Adj!J86</f>
        <v>1</v>
      </c>
      <c r="N91" s="416">
        <v>0.5</v>
      </c>
      <c r="O91" s="546">
        <f t="shared" si="69"/>
        <v>0.23449498067596855</v>
      </c>
      <c r="P91" s="555">
        <f t="shared" si="70"/>
        <v>22.517565399324759</v>
      </c>
      <c r="Q91" s="556">
        <f t="shared" si="71"/>
        <v>13.483572095404048</v>
      </c>
      <c r="R91" s="561">
        <f t="shared" si="72"/>
        <v>254.27556818181819</v>
      </c>
      <c r="S91" s="583">
        <f t="shared" si="73"/>
        <v>3428.5429556793729</v>
      </c>
      <c r="T91" s="555">
        <f t="shared" si="74"/>
        <v>1.7381550551564617</v>
      </c>
      <c r="U91" s="559">
        <f t="shared" si="75"/>
        <v>154.50490219883392</v>
      </c>
      <c r="V91" s="582">
        <f t="shared" si="76"/>
        <v>268.55347680335791</v>
      </c>
      <c r="W91" s="555">
        <f t="shared" si="77"/>
        <v>1.310447432349364</v>
      </c>
      <c r="X91" s="559">
        <f t="shared" si="78"/>
        <v>37.9060089869281</v>
      </c>
      <c r="Y91" s="582">
        <f t="shared" si="79"/>
        <v>49.673832147531847</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27916.307989203597</v>
      </c>
      <c r="I92" s="553">
        <f>ITECountywide!$B$9*E92</f>
        <v>123.43673373828283</v>
      </c>
      <c r="J92" s="562">
        <f t="shared" si="67"/>
        <v>1.67</v>
      </c>
      <c r="K92" s="416">
        <f t="shared" si="68"/>
        <v>0.72504937644602452</v>
      </c>
      <c r="L92" s="554">
        <f>Passby_Length_Adj!H87</f>
        <v>0.4689899613519371</v>
      </c>
      <c r="M92" s="554">
        <f>Passby_Length_Adj!J87</f>
        <v>1</v>
      </c>
      <c r="N92" s="416">
        <v>0.5</v>
      </c>
      <c r="O92" s="546">
        <f t="shared" si="69"/>
        <v>0.23449498067596855</v>
      </c>
      <c r="P92" s="555">
        <f t="shared" si="70"/>
        <v>167.77310762516586</v>
      </c>
      <c r="Q92" s="556">
        <f t="shared" si="71"/>
        <v>100.46293869770412</v>
      </c>
      <c r="R92" s="561">
        <f t="shared" si="72"/>
        <v>254.27556818181819</v>
      </c>
      <c r="S92" s="583">
        <f t="shared" si="73"/>
        <v>25545.270818573885</v>
      </c>
      <c r="T92" s="555">
        <f t="shared" si="74"/>
        <v>12.950586351876918</v>
      </c>
      <c r="U92" s="559">
        <f t="shared" si="75"/>
        <v>154.50490219883392</v>
      </c>
      <c r="V92" s="582">
        <f t="shared" si="76"/>
        <v>2000.9290777142967</v>
      </c>
      <c r="W92" s="555">
        <f t="shared" si="77"/>
        <v>9.7638369959509479</v>
      </c>
      <c r="X92" s="559">
        <f t="shared" si="78"/>
        <v>37.9060089869281</v>
      </c>
      <c r="Y92" s="582">
        <f t="shared" si="79"/>
        <v>370.10809291541767</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15474.899068905077</v>
      </c>
      <c r="I93" s="553">
        <f>ITECountywide!$B$9*E93</f>
        <v>68.42491481086897</v>
      </c>
      <c r="J93" s="562">
        <f t="shared" si="67"/>
        <v>1.67</v>
      </c>
      <c r="K93" s="416">
        <f t="shared" si="68"/>
        <v>0.72504937644602452</v>
      </c>
      <c r="L93" s="554">
        <f>Passby_Length_Adj!H88</f>
        <v>0.4689899613519371</v>
      </c>
      <c r="M93" s="554">
        <f>Passby_Length_Adj!J88</f>
        <v>1</v>
      </c>
      <c r="N93" s="416">
        <v>0.5</v>
      </c>
      <c r="O93" s="546">
        <f t="shared" si="69"/>
        <v>0.23449498067596855</v>
      </c>
      <c r="P93" s="555">
        <f t="shared" si="70"/>
        <v>93.001979630690329</v>
      </c>
      <c r="Q93" s="556">
        <f t="shared" si="71"/>
        <v>55.689808162090017</v>
      </c>
      <c r="R93" s="561">
        <f t="shared" si="72"/>
        <v>254.27556818181819</v>
      </c>
      <c r="S93" s="583">
        <f t="shared" si="73"/>
        <v>14160.557612351895</v>
      </c>
      <c r="T93" s="555">
        <f t="shared" si="74"/>
        <v>7.1789226840433713</v>
      </c>
      <c r="U93" s="559">
        <f t="shared" si="75"/>
        <v>154.50490219883392</v>
      </c>
      <c r="V93" s="582">
        <f t="shared" si="76"/>
        <v>1109.1787471911114</v>
      </c>
      <c r="W93" s="555">
        <f t="shared" si="77"/>
        <v>5.4124059705895498</v>
      </c>
      <c r="X93" s="559">
        <f t="shared" si="78"/>
        <v>37.9060089869281</v>
      </c>
      <c r="Y93" s="582">
        <f t="shared" si="79"/>
        <v>205.16270936207079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15020.90943270676</v>
      </c>
      <c r="I94" s="553">
        <f>ITECountywide!$B$9*E94</f>
        <v>284.21511603055654</v>
      </c>
      <c r="J94" s="562">
        <f t="shared" si="67"/>
        <v>1.67</v>
      </c>
      <c r="K94" s="416">
        <f t="shared" si="68"/>
        <v>0.72504937644602452</v>
      </c>
      <c r="L94" s="554">
        <f>Passby_Length_Adj!H89</f>
        <v>0.3846286671810874</v>
      </c>
      <c r="M94" s="554">
        <f>Passby_Length_Adj!J89</f>
        <v>0.28494260634706281</v>
      </c>
      <c r="N94" s="416">
        <v>0.5</v>
      </c>
      <c r="O94" s="546">
        <f t="shared" si="69"/>
        <v>5.4798547451188014E-2</v>
      </c>
      <c r="P94" s="555">
        <f t="shared" si="70"/>
        <v>90.27356539611219</v>
      </c>
      <c r="Q94" s="556">
        <f t="shared" si="71"/>
        <v>54.056027183300714</v>
      </c>
      <c r="R94" s="561">
        <f t="shared" si="72"/>
        <v>254.27556818181819</v>
      </c>
      <c r="S94" s="583">
        <f t="shared" si="73"/>
        <v>13745.127025685599</v>
      </c>
      <c r="T94" s="555">
        <f t="shared" si="74"/>
        <v>6.9683134591875167</v>
      </c>
      <c r="U94" s="559">
        <f t="shared" si="75"/>
        <v>154.50490219883392</v>
      </c>
      <c r="V94" s="582">
        <f t="shared" si="76"/>
        <v>1076.6385895025853</v>
      </c>
      <c r="W94" s="555">
        <f t="shared" si="77"/>
        <v>5.2536213344762865</v>
      </c>
      <c r="X94" s="559">
        <f t="shared" si="78"/>
        <v>37.9060089869281</v>
      </c>
      <c r="Y94" s="582">
        <f t="shared" si="79"/>
        <v>199.1438175185753</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8017.4970157077887</v>
      </c>
      <c r="I95" s="553">
        <f>ITECountywide!$B$9*E95</f>
        <v>160.19124330117839</v>
      </c>
      <c r="J95" s="562">
        <f t="shared" si="67"/>
        <v>1.67</v>
      </c>
      <c r="K95" s="416">
        <f t="shared" si="68"/>
        <v>0.72504937644602452</v>
      </c>
      <c r="L95" s="554">
        <f>Passby_Length_Adj!H90</f>
        <v>0.3846286671810874</v>
      </c>
      <c r="M95" s="554">
        <f>Passby_Length_Adj!J90</f>
        <v>0.26984126984126988</v>
      </c>
      <c r="N95" s="416">
        <v>0.5</v>
      </c>
      <c r="O95" s="546">
        <f t="shared" si="69"/>
        <v>5.1894343984749895E-2</v>
      </c>
      <c r="P95" s="555">
        <f t="shared" si="70"/>
        <v>48.184036020128559</v>
      </c>
      <c r="Q95" s="556">
        <f t="shared" si="71"/>
        <v>28.852716179717703</v>
      </c>
      <c r="R95" s="561">
        <f t="shared" si="72"/>
        <v>254.27556818181819</v>
      </c>
      <c r="S95" s="583">
        <f t="shared" si="73"/>
        <v>7336.540800186458</v>
      </c>
      <c r="T95" s="555">
        <f t="shared" si="74"/>
        <v>3.7193774860198241</v>
      </c>
      <c r="U95" s="559">
        <f t="shared" si="75"/>
        <v>154.50490219883392</v>
      </c>
      <c r="V95" s="582">
        <f t="shared" si="76"/>
        <v>574.66205471803767</v>
      </c>
      <c r="W95" s="555">
        <f t="shared" si="77"/>
        <v>2.8041506780613239</v>
      </c>
      <c r="X95" s="559">
        <f t="shared" si="78"/>
        <v>37.9060089869281</v>
      </c>
      <c r="Y95" s="582">
        <f t="shared" si="79"/>
        <v>106.29416080329307</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5979.9562157995379</v>
      </c>
      <c r="I96" s="553">
        <f>ITECountywide!$B$9*E96</f>
        <v>119.48075804939616</v>
      </c>
      <c r="J96" s="562">
        <f t="shared" si="67"/>
        <v>1.67</v>
      </c>
      <c r="K96" s="416">
        <f t="shared" si="68"/>
        <v>0.72504937644602452</v>
      </c>
      <c r="L96" s="554">
        <f>Passby_Length_Adj!H91</f>
        <v>0.3846286671810874</v>
      </c>
      <c r="M96" s="554">
        <f>Passby_Length_Adj!J91</f>
        <v>0.26984126984126988</v>
      </c>
      <c r="N96" s="416">
        <v>0.5</v>
      </c>
      <c r="O96" s="546">
        <f t="shared" si="69"/>
        <v>5.1894343984749895E-2</v>
      </c>
      <c r="P96" s="555">
        <f t="shared" si="70"/>
        <v>35.938700711251798</v>
      </c>
      <c r="Q96" s="556">
        <f t="shared" si="71"/>
        <v>21.520180066617844</v>
      </c>
      <c r="R96" s="561">
        <f t="shared" si="72"/>
        <v>254.27556818181819</v>
      </c>
      <c r="S96" s="583">
        <f t="shared" si="73"/>
        <v>5472.0560138142901</v>
      </c>
      <c r="T96" s="555">
        <f t="shared" si="74"/>
        <v>2.7741469030613164</v>
      </c>
      <c r="U96" s="559">
        <f t="shared" si="75"/>
        <v>154.50490219883392</v>
      </c>
      <c r="V96" s="582">
        <f t="shared" si="76"/>
        <v>428.61929594268668</v>
      </c>
      <c r="W96" s="555">
        <f t="shared" si="77"/>
        <v>2.0915128804486325</v>
      </c>
      <c r="X96" s="559">
        <f t="shared" si="78"/>
        <v>37.9060089869281</v>
      </c>
      <c r="Y96" s="582">
        <f t="shared" si="79"/>
        <v>79.280906042561739</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21646.213142011351</v>
      </c>
      <c r="I97" s="553">
        <f>ITECountywide!$B$9*E97</f>
        <v>95.712436224945051</v>
      </c>
      <c r="J97" s="562">
        <f t="shared" si="67"/>
        <v>1.67</v>
      </c>
      <c r="K97" s="416">
        <f t="shared" si="68"/>
        <v>0.72504937644602452</v>
      </c>
      <c r="L97" s="554">
        <f>Passby_Length_Adj!H92</f>
        <v>0.4689899613519371</v>
      </c>
      <c r="M97" s="554">
        <f>Passby_Length_Adj!J92</f>
        <v>1</v>
      </c>
      <c r="N97" s="416">
        <v>0.5</v>
      </c>
      <c r="O97" s="546">
        <f t="shared" si="69"/>
        <v>0.23449498067596855</v>
      </c>
      <c r="P97" s="555">
        <f t="shared" si="70"/>
        <v>130.09071430779679</v>
      </c>
      <c r="Q97" s="556">
        <f t="shared" si="71"/>
        <v>77.898631322034007</v>
      </c>
      <c r="R97" s="561">
        <f t="shared" si="72"/>
        <v>254.27556818181819</v>
      </c>
      <c r="S97" s="583">
        <f t="shared" si="73"/>
        <v>19807.718739996177</v>
      </c>
      <c r="T97" s="555">
        <f t="shared" si="74"/>
        <v>10.041841943969334</v>
      </c>
      <c r="U97" s="559">
        <f t="shared" si="75"/>
        <v>154.50490219883392</v>
      </c>
      <c r="V97" s="582">
        <f t="shared" si="76"/>
        <v>1551.5138074491304</v>
      </c>
      <c r="W97" s="555">
        <f t="shared" si="77"/>
        <v>7.5708470038354632</v>
      </c>
      <c r="X97" s="559">
        <f t="shared" si="78"/>
        <v>37.9060089869281</v>
      </c>
      <c r="Y97" s="582">
        <f t="shared" si="79"/>
        <v>286.98059456604477</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18381.897097839061</v>
      </c>
      <c r="I98" s="553">
        <f>ITECountywide!$B$9*E98</f>
        <v>81.278704137667205</v>
      </c>
      <c r="J98" s="562">
        <f t="shared" si="67"/>
        <v>1.67</v>
      </c>
      <c r="K98" s="416">
        <f t="shared" si="68"/>
        <v>0.72504937644602452</v>
      </c>
      <c r="L98" s="554">
        <f>Passby_Length_Adj!H93</f>
        <v>0.4689899613519371</v>
      </c>
      <c r="M98" s="554">
        <f>Passby_Length_Adj!J93</f>
        <v>1</v>
      </c>
      <c r="N98" s="416">
        <v>0.5</v>
      </c>
      <c r="O98" s="546">
        <f t="shared" si="69"/>
        <v>0.23449498067596855</v>
      </c>
      <c r="P98" s="555">
        <f t="shared" si="70"/>
        <v>110.47263131439816</v>
      </c>
      <c r="Q98" s="556">
        <f t="shared" si="71"/>
        <v>66.151276236166566</v>
      </c>
      <c r="R98" s="561">
        <f t="shared" si="72"/>
        <v>254.27556818181819</v>
      </c>
      <c r="S98" s="583">
        <f t="shared" si="73"/>
        <v>16820.65335090366</v>
      </c>
      <c r="T98" s="555">
        <f t="shared" si="74"/>
        <v>8.5275010495279968</v>
      </c>
      <c r="U98" s="559">
        <f t="shared" si="75"/>
        <v>154.50490219883392</v>
      </c>
      <c r="V98" s="582">
        <f t="shared" si="76"/>
        <v>1317.5407156577767</v>
      </c>
      <c r="W98" s="555">
        <f t="shared" si="77"/>
        <v>6.4291398063474592</v>
      </c>
      <c r="X98" s="559">
        <f t="shared" si="78"/>
        <v>37.9060089869281</v>
      </c>
      <c r="Y98" s="582">
        <f t="shared" si="79"/>
        <v>243.70303127762398</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16505.525625134949</v>
      </c>
      <c r="I99" s="553">
        <f>ITECountywide!$B$9*E99</f>
        <v>72.982006524219813</v>
      </c>
      <c r="J99" s="562">
        <f t="shared" si="67"/>
        <v>1.67</v>
      </c>
      <c r="K99" s="416">
        <f t="shared" si="68"/>
        <v>0.72504937644602452</v>
      </c>
      <c r="L99" s="554">
        <f>Passby_Length_Adj!H94</f>
        <v>0.4689899613519371</v>
      </c>
      <c r="M99" s="554">
        <f>Passby_Length_Adj!J94</f>
        <v>1</v>
      </c>
      <c r="N99" s="416">
        <v>0.5</v>
      </c>
      <c r="O99" s="546">
        <f t="shared" si="69"/>
        <v>0.23449498067596855</v>
      </c>
      <c r="P99" s="555">
        <f t="shared" si="70"/>
        <v>99.195901126562205</v>
      </c>
      <c r="Q99" s="556">
        <f t="shared" si="71"/>
        <v>59.398743189558211</v>
      </c>
      <c r="R99" s="561">
        <f t="shared" si="72"/>
        <v>254.27556818181819</v>
      </c>
      <c r="S99" s="583">
        <f t="shared" si="73"/>
        <v>15103.649173810818</v>
      </c>
      <c r="T99" s="555">
        <f t="shared" si="74"/>
        <v>7.6570381360635462</v>
      </c>
      <c r="U99" s="559">
        <f t="shared" si="75"/>
        <v>154.50490219883392</v>
      </c>
      <c r="V99" s="582">
        <f t="shared" si="76"/>
        <v>1183.0499283452398</v>
      </c>
      <c r="W99" s="555">
        <f t="shared" si="77"/>
        <v>5.7728716060388523</v>
      </c>
      <c r="X99" s="559">
        <f t="shared" si="78"/>
        <v>37.9060089869281</v>
      </c>
      <c r="Y99" s="582">
        <f t="shared" si="79"/>
        <v>218.82652297889078</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15230.113117581692</v>
      </c>
      <c r="I100" s="553">
        <f>ITECountywide!$B$9*E100</f>
        <v>67.342551831206222</v>
      </c>
      <c r="J100" s="562">
        <f t="shared" si="67"/>
        <v>1.67</v>
      </c>
      <c r="K100" s="416">
        <f t="shared" si="68"/>
        <v>0.72504937644602452</v>
      </c>
      <c r="L100" s="554">
        <f>Passby_Length_Adj!H95</f>
        <v>0.4689899613519371</v>
      </c>
      <c r="M100" s="554">
        <f>Passby_Length_Adj!J95</f>
        <v>1</v>
      </c>
      <c r="N100" s="416">
        <v>0.5</v>
      </c>
      <c r="O100" s="546">
        <f t="shared" si="69"/>
        <v>0.23449498067596855</v>
      </c>
      <c r="P100" s="555">
        <f t="shared" si="70"/>
        <v>91.530850290363873</v>
      </c>
      <c r="Q100" s="556">
        <f t="shared" si="71"/>
        <v>54.80889238943945</v>
      </c>
      <c r="R100" s="561">
        <f t="shared" si="72"/>
        <v>254.27556818181819</v>
      </c>
      <c r="S100" s="583">
        <f t="shared" si="73"/>
        <v>13936.562253740847</v>
      </c>
      <c r="T100" s="555">
        <f t="shared" si="74"/>
        <v>7.0653646303936597</v>
      </c>
      <c r="U100" s="559">
        <f t="shared" si="75"/>
        <v>154.50490219883392</v>
      </c>
      <c r="V100" s="582">
        <f t="shared" si="76"/>
        <v>1091.6334712180728</v>
      </c>
      <c r="W100" s="555">
        <f t="shared" si="77"/>
        <v>5.3267911346827139</v>
      </c>
      <c r="X100" s="559">
        <f t="shared" si="78"/>
        <v>37.9060089869281</v>
      </c>
      <c r="Y100" s="582">
        <f t="shared" si="79"/>
        <v>201.9173926227719</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14282.856495679975</v>
      </c>
      <c r="I101" s="553">
        <f>ITECountywide!$B$9*E101</f>
        <v>63.154094551514092</v>
      </c>
      <c r="J101" s="562">
        <f t="shared" si="67"/>
        <v>1.67</v>
      </c>
      <c r="K101" s="416">
        <f t="shared" si="68"/>
        <v>0.72504937644602452</v>
      </c>
      <c r="L101" s="554">
        <f>Passby_Length_Adj!H96</f>
        <v>0.4689899613519371</v>
      </c>
      <c r="M101" s="554">
        <f>Passby_Length_Adj!J96</f>
        <v>1</v>
      </c>
      <c r="N101" s="416">
        <v>0.5</v>
      </c>
      <c r="O101" s="546">
        <f t="shared" si="69"/>
        <v>0.23449498067596855</v>
      </c>
      <c r="P101" s="555">
        <f t="shared" si="70"/>
        <v>85.837970442626471</v>
      </c>
      <c r="Q101" s="556">
        <f t="shared" si="71"/>
        <v>51.399982300973939</v>
      </c>
      <c r="R101" s="561">
        <f t="shared" si="72"/>
        <v>254.27556818181819</v>
      </c>
      <c r="S101" s="583">
        <f t="shared" si="73"/>
        <v>13069.759704115548</v>
      </c>
      <c r="T101" s="555">
        <f t="shared" si="74"/>
        <v>6.6259251212698258</v>
      </c>
      <c r="U101" s="559">
        <f t="shared" si="75"/>
        <v>154.50490219883392</v>
      </c>
      <c r="V101" s="582">
        <f t="shared" si="76"/>
        <v>1023.7379128385912</v>
      </c>
      <c r="W101" s="555">
        <f t="shared" si="77"/>
        <v>4.995484457124908</v>
      </c>
      <c r="X101" s="559">
        <f t="shared" si="78"/>
        <v>37.9060089869281</v>
      </c>
      <c r="Y101" s="582">
        <f t="shared" si="79"/>
        <v>189.35887872583641</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13222.079392079224</v>
      </c>
      <c r="I102" s="553">
        <f>ITECountywide!$B$9*E102</f>
        <v>58.463687032601783</v>
      </c>
      <c r="J102" s="562">
        <f t="shared" si="67"/>
        <v>1.67</v>
      </c>
      <c r="K102" s="416">
        <f t="shared" si="68"/>
        <v>0.72504937644602452</v>
      </c>
      <c r="L102" s="554">
        <f>Passby_Length_Adj!H97</f>
        <v>0.4689899613519371</v>
      </c>
      <c r="M102" s="554">
        <f>Passby_Length_Adj!J97</f>
        <v>1</v>
      </c>
      <c r="N102" s="416">
        <v>0.5</v>
      </c>
      <c r="O102" s="546">
        <f t="shared" si="69"/>
        <v>0.23449498067596855</v>
      </c>
      <c r="P102" s="555">
        <f t="shared" si="70"/>
        <v>79.462848372847446</v>
      </c>
      <c r="Q102" s="556">
        <f t="shared" si="71"/>
        <v>47.582543935836796</v>
      </c>
      <c r="R102" s="561">
        <f t="shared" si="72"/>
        <v>254.27556818181819</v>
      </c>
      <c r="S102" s="583">
        <f t="shared" si="73"/>
        <v>12099.078394821228</v>
      </c>
      <c r="T102" s="555">
        <f t="shared" si="74"/>
        <v>6.1338226023554938</v>
      </c>
      <c r="U102" s="559">
        <f t="shared" si="75"/>
        <v>154.50490219883392</v>
      </c>
      <c r="V102" s="582">
        <f t="shared" si="76"/>
        <v>947.70566128193252</v>
      </c>
      <c r="W102" s="555">
        <f t="shared" si="77"/>
        <v>4.6244735507901495</v>
      </c>
      <c r="X102" s="559">
        <f t="shared" si="78"/>
        <v>37.9060089869281</v>
      </c>
      <c r="Y102" s="582">
        <f t="shared" si="79"/>
        <v>175.29533597606272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12200.384850777269</v>
      </c>
      <c r="I103" s="553">
        <f>ITECountywide!$B$9*E103</f>
        <v>53.946089751997178</v>
      </c>
      <c r="J103" s="562">
        <f t="shared" si="67"/>
        <v>1.67</v>
      </c>
      <c r="K103" s="416">
        <f t="shared" si="68"/>
        <v>0.72504937644602452</v>
      </c>
      <c r="L103" s="554">
        <f>Passby_Length_Adj!H98</f>
        <v>0.4689899613519371</v>
      </c>
      <c r="M103" s="554">
        <f>Passby_Length_Adj!J98</f>
        <v>1</v>
      </c>
      <c r="N103" s="416">
        <v>0.5</v>
      </c>
      <c r="O103" s="546">
        <f t="shared" si="69"/>
        <v>0.23449498067596855</v>
      </c>
      <c r="P103" s="555">
        <f t="shared" si="70"/>
        <v>73.322607037775839</v>
      </c>
      <c r="Q103" s="556">
        <f t="shared" si="71"/>
        <v>43.905752717231046</v>
      </c>
      <c r="R103" s="561">
        <f t="shared" si="72"/>
        <v>254.27556818181819</v>
      </c>
      <c r="S103" s="583">
        <f t="shared" si="73"/>
        <v>11164.160218624333</v>
      </c>
      <c r="T103" s="555">
        <f t="shared" si="74"/>
        <v>5.659850779595498</v>
      </c>
      <c r="U103" s="559">
        <f t="shared" si="75"/>
        <v>154.50490219883392</v>
      </c>
      <c r="V103" s="582">
        <f t="shared" si="76"/>
        <v>874.47469116139632</v>
      </c>
      <c r="W103" s="555">
        <f t="shared" si="77"/>
        <v>4.2671319222057686</v>
      </c>
      <c r="X103" s="559">
        <f t="shared" si="78"/>
        <v>37.9060089869281</v>
      </c>
      <c r="Y103" s="582">
        <f t="shared" si="79"/>
        <v>161.74994099153963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11441.566104624497</v>
      </c>
      <c r="I104" s="553">
        <f>ITECountywide!$B$9*E104</f>
        <v>50.590842791664826</v>
      </c>
      <c r="J104" s="562">
        <f t="shared" si="67"/>
        <v>1.67</v>
      </c>
      <c r="K104" s="416">
        <f t="shared" si="68"/>
        <v>0.72504937644602452</v>
      </c>
      <c r="L104" s="554">
        <f>Passby_Length_Adj!H99</f>
        <v>0.4689899613519371</v>
      </c>
      <c r="M104" s="554">
        <f>Passby_Length_Adj!J99</f>
        <v>1</v>
      </c>
      <c r="N104" s="416">
        <v>0.5</v>
      </c>
      <c r="O104" s="546">
        <f t="shared" si="69"/>
        <v>0.23449498067596855</v>
      </c>
      <c r="P104" s="555">
        <f t="shared" si="70"/>
        <v>68.762212475016383</v>
      </c>
      <c r="Q104" s="556">
        <f t="shared" si="71"/>
        <v>41.174977529949935</v>
      </c>
      <c r="R104" s="561">
        <f t="shared" si="72"/>
        <v>254.27556818181819</v>
      </c>
      <c r="S104" s="583">
        <f t="shared" si="73"/>
        <v>10469.790806301617</v>
      </c>
      <c r="T104" s="555">
        <f t="shared" si="74"/>
        <v>5.3078290258136223</v>
      </c>
      <c r="U104" s="559">
        <f t="shared" si="75"/>
        <v>154.50490219883392</v>
      </c>
      <c r="V104" s="582">
        <f t="shared" si="76"/>
        <v>820.0856045214656</v>
      </c>
      <c r="W104" s="555">
        <f t="shared" si="77"/>
        <v>4.0017321225699103</v>
      </c>
      <c r="X104" s="559">
        <f t="shared" si="78"/>
        <v>37.9060089869281</v>
      </c>
      <c r="Y104" s="582">
        <f t="shared" si="79"/>
        <v>151.68969380141388</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10845.991521992933</v>
      </c>
      <c r="I105" s="553">
        <f>ITECountywide!$B$9*E105</f>
        <v>47.957407840094127</v>
      </c>
      <c r="J105" s="562">
        <f t="shared" si="67"/>
        <v>1.67</v>
      </c>
      <c r="K105" s="416">
        <f t="shared" si="68"/>
        <v>0.72504937644602452</v>
      </c>
      <c r="L105" s="554">
        <f>Passby_Length_Adj!H100</f>
        <v>0.4689899613519371</v>
      </c>
      <c r="M105" s="554">
        <f>Passby_Length_Adj!J100</f>
        <v>1</v>
      </c>
      <c r="N105" s="416">
        <v>0.5</v>
      </c>
      <c r="O105" s="546">
        <f t="shared" si="69"/>
        <v>0.23449498067596855</v>
      </c>
      <c r="P105" s="555">
        <f t="shared" si="70"/>
        <v>65.182892509449957</v>
      </c>
      <c r="Q105" s="556">
        <f t="shared" si="71"/>
        <v>39.031672161347281</v>
      </c>
      <c r="R105" s="561">
        <f t="shared" si="72"/>
        <v>254.27556818181819</v>
      </c>
      <c r="S105" s="583">
        <f t="shared" si="73"/>
        <v>9924.8006159130346</v>
      </c>
      <c r="T105" s="555">
        <f t="shared" si="74"/>
        <v>5.0315374737811664</v>
      </c>
      <c r="U105" s="559">
        <f t="shared" si="75"/>
        <v>154.50490219883392</v>
      </c>
      <c r="V105" s="582">
        <f t="shared" si="76"/>
        <v>777.397205296327</v>
      </c>
      <c r="W105" s="555">
        <f t="shared" si="77"/>
        <v>3.7934276022875357</v>
      </c>
      <c r="X105" s="559">
        <f t="shared" si="78"/>
        <v>37.9060089869281</v>
      </c>
      <c r="Y105" s="582">
        <f t="shared" si="79"/>
        <v>143.79370078357243</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10900.067979925456</v>
      </c>
      <c r="I106" s="553">
        <f>ITECountywide!$B$9*E106</f>
        <v>48.196516154198832</v>
      </c>
      <c r="J106" s="562">
        <f t="shared" si="67"/>
        <v>1.67</v>
      </c>
      <c r="K106" s="416">
        <f t="shared" si="68"/>
        <v>0.72504937644602452</v>
      </c>
      <c r="L106" s="554">
        <f>Passby_Length_Adj!H101</f>
        <v>0.4689899613519371</v>
      </c>
      <c r="M106" s="554">
        <f>Passby_Length_Adj!J101</f>
        <v>1</v>
      </c>
      <c r="N106" s="416">
        <v>0.5</v>
      </c>
      <c r="O106" s="546">
        <f t="shared" si="69"/>
        <v>0.23449498067596855</v>
      </c>
      <c r="P106" s="555">
        <f t="shared" si="70"/>
        <v>65.507884460398827</v>
      </c>
      <c r="Q106" s="556">
        <f t="shared" si="71"/>
        <v>39.2262781199993</v>
      </c>
      <c r="R106" s="561">
        <f t="shared" si="72"/>
        <v>254.27556818181819</v>
      </c>
      <c r="S106" s="583">
        <f t="shared" si="73"/>
        <v>9974.2841566208444</v>
      </c>
      <c r="T106" s="555">
        <f t="shared" si="74"/>
        <v>5.0566239514890938</v>
      </c>
      <c r="U106" s="559">
        <f t="shared" si="75"/>
        <v>154.50490219883392</v>
      </c>
      <c r="V106" s="582">
        <f t="shared" si="76"/>
        <v>781.27318908110351</v>
      </c>
      <c r="W106" s="555">
        <f t="shared" si="77"/>
        <v>3.8123410531914201</v>
      </c>
      <c r="X106" s="559">
        <f t="shared" si="78"/>
        <v>37.9060089869281</v>
      </c>
      <c r="Y106" s="582">
        <f t="shared" si="79"/>
        <v>144.5106342235089</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11412.481856379267</v>
      </c>
      <c r="I107" s="553">
        <f>ITECountywide!$B$9*E107</f>
        <v>50.462241810187869</v>
      </c>
      <c r="J107" s="562">
        <f t="shared" si="67"/>
        <v>1.67</v>
      </c>
      <c r="K107" s="416">
        <f t="shared" si="68"/>
        <v>0.72504937644602452</v>
      </c>
      <c r="L107" s="554">
        <f>Passby_Length_Adj!H102</f>
        <v>0.4689899613519371</v>
      </c>
      <c r="M107" s="554">
        <f>Passby_Length_Adj!J102</f>
        <v>1</v>
      </c>
      <c r="N107" s="416">
        <v>0.5</v>
      </c>
      <c r="O107" s="546">
        <f t="shared" si="69"/>
        <v>0.23449498067596855</v>
      </c>
      <c r="P107" s="555">
        <f t="shared" si="70"/>
        <v>68.587420209759429</v>
      </c>
      <c r="Q107" s="556">
        <f t="shared" si="71"/>
        <v>41.070311502849961</v>
      </c>
      <c r="R107" s="561">
        <f t="shared" si="72"/>
        <v>254.27556818181819</v>
      </c>
      <c r="S107" s="583">
        <f t="shared" si="73"/>
        <v>10443.176792791437</v>
      </c>
      <c r="T107" s="555">
        <f t="shared" si="74"/>
        <v>5.2943366231461582</v>
      </c>
      <c r="U107" s="559">
        <f t="shared" si="75"/>
        <v>154.50490219883392</v>
      </c>
      <c r="V107" s="582">
        <f t="shared" si="76"/>
        <v>818.00096216690179</v>
      </c>
      <c r="W107" s="555">
        <f t="shared" si="77"/>
        <v>3.9915597939394187</v>
      </c>
      <c r="X107" s="559">
        <f t="shared" si="78"/>
        <v>37.9060089869281</v>
      </c>
      <c r="Y107" s="582">
        <f t="shared" si="79"/>
        <v>151.30410142092848</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22685.587138363098</v>
      </c>
      <c r="I108" s="553">
        <f>ITECountywide!$B$9*E108</f>
        <v>100.30820624194673</v>
      </c>
      <c r="J108" s="562">
        <f t="shared" si="67"/>
        <v>1.67</v>
      </c>
      <c r="K108" s="416">
        <f t="shared" si="68"/>
        <v>0.72504937644602452</v>
      </c>
      <c r="L108" s="554">
        <f>Passby_Length_Adj!H103</f>
        <v>0.4689899613519371</v>
      </c>
      <c r="M108" s="554">
        <f>Passby_Length_Adj!J103</f>
        <v>1</v>
      </c>
      <c r="N108" s="416">
        <v>0.5</v>
      </c>
      <c r="O108" s="546">
        <f t="shared" si="69"/>
        <v>0.23449498067596855</v>
      </c>
      <c r="P108" s="555">
        <f t="shared" si="70"/>
        <v>136.33720669569277</v>
      </c>
      <c r="Q108" s="556">
        <f t="shared" si="71"/>
        <v>81.639045925564531</v>
      </c>
      <c r="R108" s="561">
        <f t="shared" si="72"/>
        <v>254.27556818181819</v>
      </c>
      <c r="S108" s="583">
        <f t="shared" si="73"/>
        <v>20758.814788544471</v>
      </c>
      <c r="T108" s="555">
        <f t="shared" si="74"/>
        <v>10.524015399601597</v>
      </c>
      <c r="U108" s="559">
        <f t="shared" si="75"/>
        <v>154.50490219883392</v>
      </c>
      <c r="V108" s="582">
        <f t="shared" si="76"/>
        <v>1626.0119700544667</v>
      </c>
      <c r="W108" s="555">
        <f t="shared" si="77"/>
        <v>7.9343720903953834</v>
      </c>
      <c r="X108" s="559">
        <f t="shared" si="78"/>
        <v>37.9060089869281</v>
      </c>
      <c r="Y108" s="582">
        <f t="shared" si="79"/>
        <v>300.76037976415887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11691.23500517014</v>
      </c>
      <c r="I109" s="553">
        <f>ITECountywide!$B$9*E109</f>
        <v>51.694796567045906</v>
      </c>
      <c r="J109" s="562">
        <f t="shared" si="67"/>
        <v>1.67</v>
      </c>
      <c r="K109" s="416">
        <f t="shared" si="68"/>
        <v>0.72504937644602452</v>
      </c>
      <c r="L109" s="554">
        <f>Passby_Length_Adj!H104</f>
        <v>0.4689899613519371</v>
      </c>
      <c r="M109" s="554">
        <f>Passby_Length_Adj!J104</f>
        <v>1</v>
      </c>
      <c r="N109" s="416">
        <v>0.5</v>
      </c>
      <c r="O109" s="546">
        <f t="shared" si="69"/>
        <v>0.23449498067596855</v>
      </c>
      <c r="P109" s="555">
        <f t="shared" si="70"/>
        <v>70.262687657411604</v>
      </c>
      <c r="Q109" s="556">
        <f t="shared" si="71"/>
        <v>42.073465663120722</v>
      </c>
      <c r="R109" s="561">
        <f t="shared" si="72"/>
        <v>254.27556818181819</v>
      </c>
      <c r="S109" s="583">
        <f t="shared" si="73"/>
        <v>10698.254386868239</v>
      </c>
      <c r="T109" s="555">
        <f t="shared" si="74"/>
        <v>5.4236523165276012</v>
      </c>
      <c r="U109" s="559">
        <f t="shared" si="75"/>
        <v>154.50490219883392</v>
      </c>
      <c r="V109" s="582">
        <f t="shared" si="76"/>
        <v>837.98087072557598</v>
      </c>
      <c r="W109" s="555">
        <f t="shared" si="77"/>
        <v>4.0890547889063296</v>
      </c>
      <c r="X109" s="559">
        <f t="shared" si="78"/>
        <v>37.9060089869281</v>
      </c>
      <c r="Y109" s="582">
        <f t="shared" si="79"/>
        <v>154.99974757632472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9686.9545208283726</v>
      </c>
      <c r="I110" s="553">
        <f>ITECountywide!$B$9*E110</f>
        <v>193.54734843720766</v>
      </c>
      <c r="J110" s="562">
        <f t="shared" si="67"/>
        <v>1.67</v>
      </c>
      <c r="K110" s="416">
        <f t="shared" si="68"/>
        <v>0.72504937644602452</v>
      </c>
      <c r="L110" s="554">
        <f>Passby_Length_Adj!H105</f>
        <v>0.3846286671810874</v>
      </c>
      <c r="M110" s="554">
        <f>Passby_Length_Adj!J105</f>
        <v>0.26984126984126988</v>
      </c>
      <c r="N110" s="416">
        <v>0.5</v>
      </c>
      <c r="O110" s="546">
        <f t="shared" si="69"/>
        <v>5.1894343984749895E-2</v>
      </c>
      <c r="P110" s="555">
        <f t="shared" si="70"/>
        <v>58.217242194475084</v>
      </c>
      <c r="Q110" s="556">
        <f t="shared" si="71"/>
        <v>34.860624068547956</v>
      </c>
      <c r="R110" s="561">
        <f t="shared" si="72"/>
        <v>254.27556818181819</v>
      </c>
      <c r="S110" s="583">
        <f t="shared" si="73"/>
        <v>8864.2049922027982</v>
      </c>
      <c r="T110" s="555">
        <f t="shared" si="74"/>
        <v>4.4938514454422043</v>
      </c>
      <c r="U110" s="559">
        <f t="shared" si="75"/>
        <v>154.50490219883392</v>
      </c>
      <c r="V110" s="582">
        <f t="shared" si="76"/>
        <v>694.32207807413624</v>
      </c>
      <c r="W110" s="555">
        <f t="shared" si="77"/>
        <v>3.388049915667112</v>
      </c>
      <c r="X110" s="559">
        <f t="shared" si="78"/>
        <v>37.9060089869281</v>
      </c>
      <c r="Y110" s="582">
        <f t="shared" si="79"/>
        <v>128.42745055143854</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73023.204964202989</v>
      </c>
      <c r="I111" s="553">
        <f>ITECountywide!$B$9*E111</f>
        <v>1381.6938824378594</v>
      </c>
      <c r="J111" s="562">
        <f t="shared" si="67"/>
        <v>1.67</v>
      </c>
      <c r="K111" s="416">
        <f t="shared" si="68"/>
        <v>0.72504937644602452</v>
      </c>
      <c r="L111" s="554">
        <f>Passby_Length_Adj!H106</f>
        <v>0.3846286671810874</v>
      </c>
      <c r="M111" s="554">
        <f>Passby_Length_Adj!J106</f>
        <v>0.28494260634706281</v>
      </c>
      <c r="N111" s="416">
        <v>0.5</v>
      </c>
      <c r="O111" s="546">
        <f t="shared" si="69"/>
        <v>5.4798547451188014E-2</v>
      </c>
      <c r="P111" s="555">
        <f t="shared" si="70"/>
        <v>438.85925138567308</v>
      </c>
      <c r="Q111" s="556">
        <f t="shared" si="71"/>
        <v>262.78997088962461</v>
      </c>
      <c r="R111" s="561">
        <f t="shared" si="72"/>
        <v>254.27556818181819</v>
      </c>
      <c r="S111" s="583">
        <f t="shared" si="73"/>
        <v>66821.069160442756</v>
      </c>
      <c r="T111" s="555">
        <f t="shared" si="74"/>
        <v>33.876016912603816</v>
      </c>
      <c r="U111" s="559">
        <f t="shared" si="75"/>
        <v>154.50490219883392</v>
      </c>
      <c r="V111" s="582">
        <f t="shared" si="76"/>
        <v>5234.0106799678961</v>
      </c>
      <c r="W111" s="555">
        <f t="shared" si="77"/>
        <v>25.54014916543176</v>
      </c>
      <c r="X111" s="559">
        <f t="shared" si="78"/>
        <v>37.9060089869281</v>
      </c>
      <c r="Y111" s="582">
        <f t="shared" si="79"/>
        <v>968.12512379234056</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59795.724062884394</v>
      </c>
      <c r="I112" s="553">
        <f>ITECountywide!$B$9*E112</f>
        <v>1131.4127635746866</v>
      </c>
      <c r="J112" s="562">
        <f t="shared" si="67"/>
        <v>1.67</v>
      </c>
      <c r="K112" s="416">
        <f t="shared" si="68"/>
        <v>0.72504937644602452</v>
      </c>
      <c r="L112" s="554">
        <f>Passby_Length_Adj!H107</f>
        <v>0.3846286671810874</v>
      </c>
      <c r="M112" s="554">
        <f>Passby_Length_Adj!J107</f>
        <v>0.28494260634706281</v>
      </c>
      <c r="N112" s="416">
        <v>0.5</v>
      </c>
      <c r="O112" s="546">
        <f t="shared" si="69"/>
        <v>5.4798547451188014E-2</v>
      </c>
      <c r="P112" s="555">
        <f t="shared" si="70"/>
        <v>359.36394069756153</v>
      </c>
      <c r="Q112" s="556">
        <f t="shared" si="71"/>
        <v>215.18798844165363</v>
      </c>
      <c r="R112" s="561">
        <f t="shared" si="72"/>
        <v>254.27556818181819</v>
      </c>
      <c r="S112" s="583">
        <f t="shared" si="73"/>
        <v>54717.048026903998</v>
      </c>
      <c r="T112" s="555">
        <f t="shared" si="74"/>
        <v>27.739688509271271</v>
      </c>
      <c r="U112" s="559">
        <f t="shared" si="75"/>
        <v>154.50490219883392</v>
      </c>
      <c r="V112" s="582">
        <f t="shared" si="76"/>
        <v>4285.9178601510748</v>
      </c>
      <c r="W112" s="555">
        <f t="shared" si="77"/>
        <v>20.913786415834746</v>
      </c>
      <c r="X112" s="559">
        <f t="shared" si="78"/>
        <v>37.9060089869281</v>
      </c>
      <c r="Y112" s="582">
        <f t="shared" si="79"/>
        <v>792.75817582932666</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17135.120028615424</v>
      </c>
      <c r="I113" s="553">
        <f>ITECountywide!$B$9*E113</f>
        <v>75.765865936273457</v>
      </c>
      <c r="J113" s="562">
        <f t="shared" si="67"/>
        <v>1.67</v>
      </c>
      <c r="K113" s="416">
        <f t="shared" si="68"/>
        <v>0.72504937644602452</v>
      </c>
      <c r="L113" s="554">
        <f>Passby_Length_Adj!H108</f>
        <v>0.4689899613519371</v>
      </c>
      <c r="M113" s="554">
        <f>Passby_Length_Adj!J108</f>
        <v>1</v>
      </c>
      <c r="N113" s="416">
        <v>0.5</v>
      </c>
      <c r="O113" s="546">
        <f t="shared" si="69"/>
        <v>0.23449498067596855</v>
      </c>
      <c r="P113" s="555">
        <f t="shared" si="70"/>
        <v>102.9796754586187</v>
      </c>
      <c r="Q113" s="556">
        <f t="shared" si="71"/>
        <v>61.66447632252617</v>
      </c>
      <c r="R113" s="561">
        <f t="shared" si="72"/>
        <v>254.27556818181819</v>
      </c>
      <c r="S113" s="583">
        <f t="shared" si="73"/>
        <v>15679.769753544617</v>
      </c>
      <c r="T113" s="555">
        <f t="shared" si="74"/>
        <v>7.9491117402122642</v>
      </c>
      <c r="U113" s="559">
        <f t="shared" si="75"/>
        <v>154.50490219883392</v>
      </c>
      <c r="V113" s="582">
        <f t="shared" si="76"/>
        <v>1228.1767319890985</v>
      </c>
      <c r="W113" s="555">
        <f t="shared" si="77"/>
        <v>5.9930746906130645</v>
      </c>
      <c r="X113" s="559">
        <f t="shared" si="78"/>
        <v>37.9060089869281</v>
      </c>
      <c r="Y113" s="582">
        <f t="shared" si="79"/>
        <v>227.17354308171016</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11785.519158437643</v>
      </c>
      <c r="I114" s="553">
        <f>ITECountywide!$B$9*E114</f>
        <v>52.111690087747888</v>
      </c>
      <c r="J114" s="562">
        <f t="shared" si="67"/>
        <v>1.67</v>
      </c>
      <c r="K114" s="416">
        <f t="shared" si="68"/>
        <v>0.72504937644602452</v>
      </c>
      <c r="L114" s="554">
        <f>Passby_Length_Adj!H109</f>
        <v>0.4689899613519371</v>
      </c>
      <c r="M114" s="554">
        <f>Passby_Length_Adj!J109</f>
        <v>1</v>
      </c>
      <c r="N114" s="416">
        <v>0.5</v>
      </c>
      <c r="O114" s="546">
        <f t="shared" si="69"/>
        <v>0.23449498067596855</v>
      </c>
      <c r="P114" s="555">
        <f t="shared" si="70"/>
        <v>70.829322235293958</v>
      </c>
      <c r="Q114" s="556">
        <f t="shared" si="71"/>
        <v>42.412767805565245</v>
      </c>
      <c r="R114" s="561">
        <f t="shared" si="72"/>
        <v>254.27556818181819</v>
      </c>
      <c r="S114" s="583">
        <f t="shared" si="73"/>
        <v>10784.53063192363</v>
      </c>
      <c r="T114" s="555">
        <f t="shared" si="74"/>
        <v>5.4673914481125019</v>
      </c>
      <c r="U114" s="559">
        <f t="shared" si="75"/>
        <v>154.50490219883392</v>
      </c>
      <c r="V114" s="582">
        <f t="shared" si="76"/>
        <v>844.73878097336308</v>
      </c>
      <c r="W114" s="555">
        <f t="shared" si="77"/>
        <v>4.1220310372039615</v>
      </c>
      <c r="X114" s="559">
        <f t="shared" si="78"/>
        <v>37.9060089869281</v>
      </c>
      <c r="Y114" s="582">
        <f t="shared" si="79"/>
        <v>156.24974554064991</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12601.282049752108</v>
      </c>
      <c r="I115" s="553">
        <f>ITECountywide!$B$9*E115</f>
        <v>55.718725332082435</v>
      </c>
      <c r="J115" s="562">
        <f t="shared" si="67"/>
        <v>1.67</v>
      </c>
      <c r="K115" s="416">
        <f t="shared" si="68"/>
        <v>0.72504937644602452</v>
      </c>
      <c r="L115" s="554">
        <f>Passby_Length_Adj!H110</f>
        <v>0.4689899613519371</v>
      </c>
      <c r="M115" s="554">
        <f>Passby_Length_Adj!J110</f>
        <v>1</v>
      </c>
      <c r="N115" s="416">
        <v>0.5</v>
      </c>
      <c r="O115" s="546">
        <f t="shared" si="69"/>
        <v>0.23449498067596855</v>
      </c>
      <c r="P115" s="555">
        <f t="shared" si="70"/>
        <v>75.731943148276045</v>
      </c>
      <c r="Q115" s="556">
        <f t="shared" si="71"/>
        <v>45.348468951063502</v>
      </c>
      <c r="R115" s="561">
        <f t="shared" si="72"/>
        <v>254.27556818181819</v>
      </c>
      <c r="S115" s="583">
        <f t="shared" si="73"/>
        <v>11531.007708707213</v>
      </c>
      <c r="T115" s="555">
        <f t="shared" si="74"/>
        <v>5.8458300213905492</v>
      </c>
      <c r="U115" s="559">
        <f t="shared" si="75"/>
        <v>154.50490219883392</v>
      </c>
      <c r="V115" s="582">
        <f t="shared" si="76"/>
        <v>903.20939572595398</v>
      </c>
      <c r="W115" s="555">
        <f t="shared" si="77"/>
        <v>4.4073472724747749</v>
      </c>
      <c r="X115" s="559">
        <f t="shared" si="78"/>
        <v>37.9060089869281</v>
      </c>
      <c r="Y115" s="582">
        <f t="shared" si="79"/>
        <v>167.06494531894185</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16827.671702743133</v>
      </c>
      <c r="I116" s="553">
        <f>ITECountywide!$B$9*E116</f>
        <v>74.406430542680027</v>
      </c>
      <c r="J116" s="562">
        <f t="shared" si="67"/>
        <v>1.67</v>
      </c>
      <c r="K116" s="416">
        <f t="shared" si="68"/>
        <v>0.72504937644602452</v>
      </c>
      <c r="L116" s="554">
        <f>Passby_Length_Adj!H111</f>
        <v>0.4689899613519371</v>
      </c>
      <c r="M116" s="554">
        <f>Passby_Length_Adj!J111</f>
        <v>1</v>
      </c>
      <c r="N116" s="416">
        <v>0.5</v>
      </c>
      <c r="O116" s="546">
        <f t="shared" si="69"/>
        <v>0.23449498067596855</v>
      </c>
      <c r="P116" s="555">
        <f t="shared" si="70"/>
        <v>101.13195400900231</v>
      </c>
      <c r="Q116" s="556">
        <f t="shared" si="71"/>
        <v>60.558056292815756</v>
      </c>
      <c r="R116" s="561">
        <f t="shared" si="72"/>
        <v>254.27556818181819</v>
      </c>
      <c r="S116" s="583">
        <f t="shared" si="73"/>
        <v>15398.434171842257</v>
      </c>
      <c r="T116" s="555">
        <f t="shared" si="74"/>
        <v>7.8064841372180247</v>
      </c>
      <c r="U116" s="559">
        <f t="shared" si="75"/>
        <v>154.50490219883392</v>
      </c>
      <c r="V116" s="582">
        <f t="shared" si="76"/>
        <v>1206.1400681376192</v>
      </c>
      <c r="W116" s="555">
        <f t="shared" si="77"/>
        <v>5.8855434461642648</v>
      </c>
      <c r="X116" s="559">
        <f t="shared" si="78"/>
        <v>37.9060089869281</v>
      </c>
      <c r="Y116" s="582">
        <f t="shared" si="79"/>
        <v>223.09746276325839</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58866.106127013743</v>
      </c>
      <c r="I117" s="553">
        <f>ITECountywide!$B$9*E117</f>
        <v>260.28656336002075</v>
      </c>
      <c r="J117" s="562">
        <f t="shared" si="67"/>
        <v>1.67</v>
      </c>
      <c r="K117" s="416">
        <f t="shared" si="68"/>
        <v>0.72504937644602452</v>
      </c>
      <c r="L117" s="554">
        <f>Passby_Length_Adj!H112</f>
        <v>0.4689899613519371</v>
      </c>
      <c r="M117" s="554">
        <f>Passby_Length_Adj!J112</f>
        <v>1</v>
      </c>
      <c r="N117" s="416">
        <v>0.5</v>
      </c>
      <c r="O117" s="546">
        <f t="shared" si="69"/>
        <v>0.23449498067596855</v>
      </c>
      <c r="P117" s="555">
        <f t="shared" si="70"/>
        <v>353.77706688654649</v>
      </c>
      <c r="Q117" s="556">
        <f t="shared" si="71"/>
        <v>211.84255502188412</v>
      </c>
      <c r="R117" s="561">
        <f t="shared" si="72"/>
        <v>254.27556818181819</v>
      </c>
      <c r="S117" s="583">
        <f t="shared" si="73"/>
        <v>53866.386043277664</v>
      </c>
      <c r="T117" s="555">
        <f t="shared" si="74"/>
        <v>27.308431719963657</v>
      </c>
      <c r="U117" s="559">
        <f t="shared" si="75"/>
        <v>154.50490219883392</v>
      </c>
      <c r="V117" s="582">
        <f t="shared" si="76"/>
        <v>4219.2865720965192</v>
      </c>
      <c r="W117" s="555">
        <f t="shared" si="77"/>
        <v>20.588648937130046</v>
      </c>
      <c r="X117" s="559">
        <f t="shared" si="78"/>
        <v>37.9060089869281</v>
      </c>
      <c r="Y117" s="582">
        <f t="shared" si="79"/>
        <v>780.43351163955913</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8198.6220232609685</v>
      </c>
      <c r="I118" s="553">
        <f>ITECountywide!$B$9*E118</f>
        <v>36.251610495824622</v>
      </c>
      <c r="J118" s="562">
        <f t="shared" si="67"/>
        <v>1.67</v>
      </c>
      <c r="K118" s="416">
        <f t="shared" si="68"/>
        <v>0.72504937644602452</v>
      </c>
      <c r="L118" s="554">
        <f>Passby_Length_Adj!H113</f>
        <v>0.4689899613519371</v>
      </c>
      <c r="M118" s="554">
        <f>Passby_Length_Adj!J113</f>
        <v>1</v>
      </c>
      <c r="N118" s="416">
        <v>0.5</v>
      </c>
      <c r="O118" s="546">
        <f t="shared" si="69"/>
        <v>0.23449498067596855</v>
      </c>
      <c r="P118" s="555">
        <f t="shared" si="70"/>
        <v>49.272571989769709</v>
      </c>
      <c r="Q118" s="556">
        <f t="shared" si="71"/>
        <v>29.504534125610604</v>
      </c>
      <c r="R118" s="561">
        <f t="shared" si="72"/>
        <v>254.27556818181819</v>
      </c>
      <c r="S118" s="583">
        <f t="shared" si="73"/>
        <v>7502.2821787294806</v>
      </c>
      <c r="T118" s="555">
        <f t="shared" si="74"/>
        <v>3.8034027465130449</v>
      </c>
      <c r="U118" s="559">
        <f t="shared" si="75"/>
        <v>154.50490219883392</v>
      </c>
      <c r="V118" s="582">
        <f t="shared" si="76"/>
        <v>587.64436937277435</v>
      </c>
      <c r="W118" s="555">
        <f t="shared" si="77"/>
        <v>2.8674998519679735</v>
      </c>
      <c r="X118" s="559">
        <f t="shared" si="78"/>
        <v>37.9060089869281</v>
      </c>
      <c r="Y118" s="582">
        <f t="shared" si="79"/>
        <v>108.69547515871299</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9379.2235946105466</v>
      </c>
      <c r="I119" s="553">
        <f>ITECountywide!$B$9*E119</f>
        <v>41.471842407223363</v>
      </c>
      <c r="J119" s="562">
        <f t="shared" si="67"/>
        <v>1.67</v>
      </c>
      <c r="K119" s="416">
        <f t="shared" si="68"/>
        <v>0.72504937644602452</v>
      </c>
      <c r="L119" s="554">
        <f>Passby_Length_Adj!H114</f>
        <v>0.4689899613519371</v>
      </c>
      <c r="M119" s="554">
        <f>Passby_Length_Adj!J114</f>
        <v>1</v>
      </c>
      <c r="N119" s="416">
        <v>0.5</v>
      </c>
      <c r="O119" s="546">
        <f t="shared" si="69"/>
        <v>0.23449498067596855</v>
      </c>
      <c r="P119" s="555">
        <f t="shared" si="70"/>
        <v>56.367822356296543</v>
      </c>
      <c r="Q119" s="556">
        <f t="shared" si="71"/>
        <v>33.753187039698531</v>
      </c>
      <c r="R119" s="561">
        <f t="shared" si="72"/>
        <v>254.27556818181819</v>
      </c>
      <c r="S119" s="583">
        <f t="shared" si="73"/>
        <v>8582.6108124665261</v>
      </c>
      <c r="T119" s="555">
        <f t="shared" si="74"/>
        <v>4.3510927420109233</v>
      </c>
      <c r="U119" s="559">
        <f t="shared" si="75"/>
        <v>154.50490219883392</v>
      </c>
      <c r="V119" s="582">
        <f t="shared" si="76"/>
        <v>672.26515856245385</v>
      </c>
      <c r="W119" s="555">
        <f t="shared" si="77"/>
        <v>3.2804198306513612</v>
      </c>
      <c r="X119" s="559">
        <f t="shared" si="78"/>
        <v>37.9060089869281</v>
      </c>
      <c r="Y119" s="582">
        <f t="shared" si="79"/>
        <v>124.34762358156766</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27219.425117226412</v>
      </c>
      <c r="I120" s="553">
        <f>ITECountywide!$B$9*E120</f>
        <v>120.35534684613775</v>
      </c>
      <c r="J120" s="562">
        <f t="shared" si="67"/>
        <v>1.67</v>
      </c>
      <c r="K120" s="416">
        <f t="shared" si="68"/>
        <v>0.72504937644602452</v>
      </c>
      <c r="L120" s="554">
        <f>Passby_Length_Adj!H115</f>
        <v>0.4689899613519371</v>
      </c>
      <c r="M120" s="554">
        <f>Passby_Length_Adj!J115</f>
        <v>1</v>
      </c>
      <c r="N120" s="416">
        <v>0.5</v>
      </c>
      <c r="O120" s="546">
        <f t="shared" si="69"/>
        <v>0.23449498067596855</v>
      </c>
      <c r="P120" s="555">
        <f t="shared" si="70"/>
        <v>163.58493900603543</v>
      </c>
      <c r="Q120" s="556">
        <f t="shared" si="71"/>
        <v>97.955053297027206</v>
      </c>
      <c r="R120" s="561">
        <f t="shared" si="72"/>
        <v>254.27556818181819</v>
      </c>
      <c r="S120" s="583">
        <f t="shared" si="73"/>
        <v>24907.576833381874</v>
      </c>
      <c r="T120" s="555">
        <f t="shared" si="74"/>
        <v>12.627297118423309</v>
      </c>
      <c r="U120" s="559">
        <f t="shared" si="75"/>
        <v>154.50490219883392</v>
      </c>
      <c r="V120" s="582">
        <f t="shared" si="76"/>
        <v>1950.9793063176107</v>
      </c>
      <c r="W120" s="555">
        <f t="shared" si="77"/>
        <v>9.5200995085336722</v>
      </c>
      <c r="X120" s="559">
        <f t="shared" si="78"/>
        <v>37.9060089869281</v>
      </c>
      <c r="Y120" s="582">
        <f t="shared" si="79"/>
        <v>360.86897752692715</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23181.603770770387</v>
      </c>
      <c r="I121" s="553">
        <f>ITECountywide!$B$9*E121</f>
        <v>102.5014286769441</v>
      </c>
      <c r="J121" s="562">
        <f t="shared" si="67"/>
        <v>1.67</v>
      </c>
      <c r="K121" s="416">
        <f t="shared" si="68"/>
        <v>0.72504937644602452</v>
      </c>
      <c r="L121" s="554">
        <f>Passby_Length_Adj!H116</f>
        <v>0.4689899613519371</v>
      </c>
      <c r="M121" s="554">
        <f>Passby_Length_Adj!J116</f>
        <v>1</v>
      </c>
      <c r="N121" s="416">
        <v>0.5</v>
      </c>
      <c r="O121" s="546">
        <f t="shared" si="69"/>
        <v>0.23449498067596855</v>
      </c>
      <c r="P121" s="555">
        <f t="shared" si="70"/>
        <v>139.31819730107384</v>
      </c>
      <c r="Q121" s="556">
        <f t="shared" si="71"/>
        <v>83.424070240163985</v>
      </c>
      <c r="R121" s="561">
        <f t="shared" si="72"/>
        <v>254.27556818181819</v>
      </c>
      <c r="S121" s="583">
        <f t="shared" si="73"/>
        <v>21212.702860357607</v>
      </c>
      <c r="T121" s="555">
        <f t="shared" si="74"/>
        <v>10.754121265765633</v>
      </c>
      <c r="U121" s="559">
        <f t="shared" si="75"/>
        <v>154.50490219883392</v>
      </c>
      <c r="V121" s="582">
        <f t="shared" si="76"/>
        <v>1661.5644544015192</v>
      </c>
      <c r="W121" s="555">
        <f t="shared" si="77"/>
        <v>8.1078558314394424</v>
      </c>
      <c r="X121" s="559">
        <f t="shared" si="78"/>
        <v>37.9060089869281</v>
      </c>
      <c r="Y121" s="582">
        <f t="shared" si="79"/>
        <v>307.33645601126091</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8629.2836007443511</v>
      </c>
      <c r="I122" s="553">
        <f>ITECountywide!$B$9*E122</f>
        <v>163.27725367319408</v>
      </c>
      <c r="J122" s="562">
        <f t="shared" si="67"/>
        <v>1.67</v>
      </c>
      <c r="K122" s="416">
        <f t="shared" si="68"/>
        <v>0.72504937644602452</v>
      </c>
      <c r="L122" s="554">
        <f>Passby_Length_Adj!H117</f>
        <v>0.3846286671810874</v>
      </c>
      <c r="M122" s="554">
        <f>Passby_Length_Adj!J117</f>
        <v>0.28494260634706281</v>
      </c>
      <c r="N122" s="416">
        <v>0.5</v>
      </c>
      <c r="O122" s="546">
        <f t="shared" si="69"/>
        <v>5.4798547451188014E-2</v>
      </c>
      <c r="P122" s="555">
        <f t="shared" si="70"/>
        <v>51.860787853310363</v>
      </c>
      <c r="Q122" s="556">
        <f t="shared" si="71"/>
        <v>31.054363984018181</v>
      </c>
      <c r="R122" s="561">
        <f t="shared" si="72"/>
        <v>254.27556818181819</v>
      </c>
      <c r="S122" s="583">
        <f t="shared" si="73"/>
        <v>7896.3660465612138</v>
      </c>
      <c r="T122" s="555">
        <f t="shared" si="74"/>
        <v>4.0031899085471894</v>
      </c>
      <c r="U122" s="559">
        <f t="shared" si="75"/>
        <v>154.50490219883392</v>
      </c>
      <c r="V122" s="582">
        <f t="shared" si="76"/>
        <v>618.51246530344235</v>
      </c>
      <c r="W122" s="555">
        <f t="shared" si="77"/>
        <v>3.0181254090650325</v>
      </c>
      <c r="X122" s="559">
        <f t="shared" si="78"/>
        <v>37.9060089869281</v>
      </c>
      <c r="Y122" s="582">
        <f t="shared" si="79"/>
        <v>114.40508887969517</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10457.06702772262</v>
      </c>
      <c r="I123" s="553">
        <f>ITECountywide!$B$9*E123</f>
        <v>197.86129008621077</v>
      </c>
      <c r="J123" s="562">
        <f t="shared" si="67"/>
        <v>1.67</v>
      </c>
      <c r="K123" s="416">
        <f t="shared" si="68"/>
        <v>0.72504937644602452</v>
      </c>
      <c r="L123" s="554">
        <f>Passby_Length_Adj!H118</f>
        <v>0.3846286671810874</v>
      </c>
      <c r="M123" s="554">
        <f>Passby_Length_Adj!J118</f>
        <v>0.28494260634706281</v>
      </c>
      <c r="N123" s="416">
        <v>0.5</v>
      </c>
      <c r="O123" s="546">
        <f t="shared" si="69"/>
        <v>5.4798547451188014E-2</v>
      </c>
      <c r="P123" s="555">
        <f t="shared" si="70"/>
        <v>62.845510680143875</v>
      </c>
      <c r="Q123" s="556">
        <f t="shared" si="71"/>
        <v>37.63204232343945</v>
      </c>
      <c r="R123" s="561">
        <f t="shared" si="72"/>
        <v>254.27556818181819</v>
      </c>
      <c r="S123" s="583">
        <f t="shared" si="73"/>
        <v>9568.9089436347949</v>
      </c>
      <c r="T123" s="555">
        <f t="shared" si="74"/>
        <v>4.8511124602243703</v>
      </c>
      <c r="U123" s="559">
        <f t="shared" si="75"/>
        <v>154.50490219883392</v>
      </c>
      <c r="V123" s="582">
        <f t="shared" si="76"/>
        <v>749.52065622251087</v>
      </c>
      <c r="W123" s="555">
        <f t="shared" si="77"/>
        <v>3.6573997519264987</v>
      </c>
      <c r="X123" s="559">
        <f t="shared" si="78"/>
        <v>37.9060089869281</v>
      </c>
      <c r="Y123" s="582">
        <f t="shared" si="79"/>
        <v>138.63742786531446</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103589.58926390232</v>
      </c>
      <c r="I124" s="553">
        <f>ITECountywide!$B$9*E124</f>
        <v>458.03909861474403</v>
      </c>
      <c r="J124" s="562">
        <f t="shared" si="67"/>
        <v>1.67</v>
      </c>
      <c r="K124" s="416">
        <f t="shared" si="68"/>
        <v>0.72504937644602452</v>
      </c>
      <c r="L124" s="554">
        <f>Passby_Length_Adj!H119</f>
        <v>0.4689899613519371</v>
      </c>
      <c r="M124" s="554">
        <f>Passby_Length_Adj!J119</f>
        <v>1</v>
      </c>
      <c r="N124" s="416">
        <v>0.5</v>
      </c>
      <c r="O124" s="546">
        <f t="shared" si="69"/>
        <v>0.23449498067596855</v>
      </c>
      <c r="P124" s="555">
        <f t="shared" si="70"/>
        <v>622.55894709074016</v>
      </c>
      <c r="Q124" s="556">
        <f t="shared" si="71"/>
        <v>372.78978867708992</v>
      </c>
      <c r="R124" s="561">
        <f t="shared" si="72"/>
        <v>254.27556818181819</v>
      </c>
      <c r="S124" s="583">
        <f t="shared" si="73"/>
        <v>94791.335328246976</v>
      </c>
      <c r="T124" s="555">
        <f t="shared" si="74"/>
        <v>48.055993702192318</v>
      </c>
      <c r="U124" s="559">
        <f t="shared" si="75"/>
        <v>154.50490219883392</v>
      </c>
      <c r="V124" s="582">
        <f t="shared" si="76"/>
        <v>7424.8866070250024</v>
      </c>
      <c r="W124" s="555">
        <f t="shared" si="77"/>
        <v>36.230860629615336</v>
      </c>
      <c r="X124" s="559">
        <f t="shared" si="78"/>
        <v>37.9060089869281</v>
      </c>
      <c r="Y124" s="582">
        <f t="shared" si="79"/>
        <v>1373.3673286303383</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2582.5659373272056</v>
      </c>
      <c r="I125" s="553">
        <f>ITECountywide!$B$9*E125</f>
        <v>11.419257306184756</v>
      </c>
      <c r="J125" s="562">
        <f t="shared" si="67"/>
        <v>1.67</v>
      </c>
      <c r="K125" s="416">
        <f t="shared" si="68"/>
        <v>0.72504937644602452</v>
      </c>
      <c r="L125" s="554">
        <f>Passby_Length_Adj!H120</f>
        <v>0.4689899613519371</v>
      </c>
      <c r="M125" s="554">
        <f>Passby_Length_Adj!J120</f>
        <v>1</v>
      </c>
      <c r="N125" s="416">
        <v>0.5</v>
      </c>
      <c r="O125" s="546">
        <f t="shared" si="69"/>
        <v>0.23449498067596855</v>
      </c>
      <c r="P125" s="555">
        <f t="shared" si="70"/>
        <v>15.520860176777459</v>
      </c>
      <c r="Q125" s="556">
        <f t="shared" si="71"/>
        <v>9.2939282495673421</v>
      </c>
      <c r="R125" s="561">
        <f t="shared" si="72"/>
        <v>254.27556818181819</v>
      </c>
      <c r="S125" s="583">
        <f t="shared" si="73"/>
        <v>2363.2188862997868</v>
      </c>
      <c r="T125" s="555">
        <f t="shared" si="74"/>
        <v>1.1980718651516093</v>
      </c>
      <c r="U125" s="559">
        <f t="shared" si="75"/>
        <v>154.50490219883392</v>
      </c>
      <c r="V125" s="582">
        <f t="shared" si="76"/>
        <v>185.10797635242395</v>
      </c>
      <c r="W125" s="555">
        <f t="shared" si="77"/>
        <v>0.90326245336991173</v>
      </c>
      <c r="X125" s="559">
        <f t="shared" si="78"/>
        <v>37.9060089869281</v>
      </c>
      <c r="Y125" s="582">
        <f t="shared" si="79"/>
        <v>34.239074674994598</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34120.251590454747</v>
      </c>
      <c r="I126" s="553">
        <f>ITECountywide!$B$9*E126</f>
        <v>183.95879746106203</v>
      </c>
      <c r="J126" s="562">
        <f t="shared" si="67"/>
        <v>1.67</v>
      </c>
      <c r="K126" s="416">
        <f t="shared" si="68"/>
        <v>0.72504937644602452</v>
      </c>
      <c r="L126" s="554">
        <f>Passby_Length_Adj!H121</f>
        <v>0.3846286671810874</v>
      </c>
      <c r="M126" s="554">
        <f>Passby_Length_Adj!J121</f>
        <v>1</v>
      </c>
      <c r="N126" s="416">
        <v>0.5</v>
      </c>
      <c r="O126" s="546">
        <f t="shared" si="69"/>
        <v>0.1923143335905437</v>
      </c>
      <c r="P126" s="555">
        <f t="shared" si="70"/>
        <v>205.05794120400842</v>
      </c>
      <c r="Q126" s="556">
        <f t="shared" si="71"/>
        <v>122.78918634970564</v>
      </c>
      <c r="R126" s="561">
        <f t="shared" si="72"/>
        <v>254.27556818181819</v>
      </c>
      <c r="S126" s="583">
        <f t="shared" si="73"/>
        <v>31222.290125654556</v>
      </c>
      <c r="T126" s="555">
        <f t="shared" si="74"/>
        <v>15.828642696621719</v>
      </c>
      <c r="U126" s="559">
        <f t="shared" si="75"/>
        <v>154.50490219883392</v>
      </c>
      <c r="V126" s="582">
        <f t="shared" si="76"/>
        <v>2445.6028917818253</v>
      </c>
      <c r="W126" s="555">
        <f t="shared" si="77"/>
        <v>11.93369033322305</v>
      </c>
      <c r="X126" s="559">
        <f t="shared" si="78"/>
        <v>37.9060089869281</v>
      </c>
      <c r="Y126" s="582">
        <f t="shared" si="79"/>
        <v>452.3585730183699</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1162.0027761659528</v>
      </c>
      <c r="I128" s="553">
        <f>ITECountywide!$B$9*E128</f>
        <v>21.986601765717634</v>
      </c>
      <c r="J128" s="562">
        <f t="shared" ref="J128:J137" si="80">IF(F128="Prod",$M$3,$M$4)</f>
        <v>1.67</v>
      </c>
      <c r="K128" s="416">
        <f t="shared" ref="K128:K137" si="81">IF(F128="Prod",$F$4,$F$5)</f>
        <v>0.72504937644602452</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6.9834742080445702</v>
      </c>
      <c r="Q128" s="556">
        <f t="shared" ref="Q128:Q137" si="84">+P128/J128</f>
        <v>4.1817210826614195</v>
      </c>
      <c r="R128" s="561">
        <f t="shared" ref="R128:R137" si="85">+$Q$4</f>
        <v>254.27556818181819</v>
      </c>
      <c r="S128" s="583">
        <f t="shared" ref="S128:S137" si="86">+Q128*R128</f>
        <v>1063.3095042716204</v>
      </c>
      <c r="T128" s="555">
        <f t="shared" ref="T128:T137" si="87">IF($F128="Prod",$I128*$O128*$G$4*$G$6,$I128*$O128*$G$5*$G$7)</f>
        <v>0.53906187378638348</v>
      </c>
      <c r="U128" s="559">
        <f t="shared" ref="U128:U137" si="88">+$R$4</f>
        <v>154.50490219883392</v>
      </c>
      <c r="V128" s="582">
        <f t="shared" ref="V128:V137" si="89">+T128*U128</f>
        <v>83.287702088485332</v>
      </c>
      <c r="W128" s="555">
        <f t="shared" ref="W128:W137" si="90">IF($F128="Prod",$I128*$O128*$J$4*$J$6,$I128*$O128*$J$5*$J$7)</f>
        <v>0.40641497793027143</v>
      </c>
      <c r="X128" s="559">
        <f t="shared" ref="X128:X137" si="91">$S$4</f>
        <v>37.9060089869281</v>
      </c>
      <c r="Y128" s="582">
        <f t="shared" ref="Y128:Y137" si="92">+W128*X128</f>
        <v>15.405569805847055</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9582.4515828425592</v>
      </c>
      <c r="I129" s="553">
        <f>ITECountywide!$B$9*E129</f>
        <v>181.31242989486685</v>
      </c>
      <c r="J129" s="562">
        <f t="shared" si="80"/>
        <v>1.67</v>
      </c>
      <c r="K129" s="416">
        <f t="shared" si="81"/>
        <v>0.72504937644602452</v>
      </c>
      <c r="L129" s="554">
        <f>Passby_Length_Adj!H124</f>
        <v>0.3846286671810874</v>
      </c>
      <c r="M129" s="554">
        <f>Passby_Length_Adj!J124</f>
        <v>0.28494260634706281</v>
      </c>
      <c r="N129" s="416">
        <v>0.5</v>
      </c>
      <c r="O129" s="546">
        <f t="shared" si="82"/>
        <v>5.4798547451188014E-2</v>
      </c>
      <c r="P129" s="555">
        <f t="shared" si="83"/>
        <v>57.589194149274391</v>
      </c>
      <c r="Q129" s="556">
        <f t="shared" si="84"/>
        <v>34.484547394775085</v>
      </c>
      <c r="R129" s="557">
        <f t="shared" si="85"/>
        <v>254.27556818181819</v>
      </c>
      <c r="S129" s="582">
        <f t="shared" si="86"/>
        <v>8768.5778822992725</v>
      </c>
      <c r="T129" s="555">
        <f t="shared" si="87"/>
        <v>4.4453717423620729</v>
      </c>
      <c r="U129" s="559">
        <f t="shared" si="88"/>
        <v>154.50490219883392</v>
      </c>
      <c r="V129" s="582">
        <f t="shared" si="89"/>
        <v>686.83172629111198</v>
      </c>
      <c r="W129" s="555">
        <f t="shared" si="90"/>
        <v>3.3514996077794765</v>
      </c>
      <c r="X129" s="559">
        <f t="shared" si="91"/>
        <v>37.9060089869281</v>
      </c>
      <c r="Y129" s="582">
        <f t="shared" si="92"/>
        <v>127.04197425217484</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28186.440963087269</v>
      </c>
      <c r="I130" s="553">
        <f>ITECountywide!$B$9*E130</f>
        <v>151.96675119849681</v>
      </c>
      <c r="J130" s="562">
        <f t="shared" si="80"/>
        <v>1.67</v>
      </c>
      <c r="K130" s="416">
        <f t="shared" si="81"/>
        <v>0.72504937644602452</v>
      </c>
      <c r="L130" s="554">
        <f>Passby_Length_Adj!H125</f>
        <v>0.3846286671810874</v>
      </c>
      <c r="M130" s="554">
        <f>Passby_Length_Adj!J125</f>
        <v>1</v>
      </c>
      <c r="N130" s="416">
        <v>0.5</v>
      </c>
      <c r="O130" s="546">
        <f t="shared" si="82"/>
        <v>0.1923143335905437</v>
      </c>
      <c r="P130" s="555">
        <f t="shared" si="83"/>
        <v>169.39656902693926</v>
      </c>
      <c r="Q130" s="556">
        <f t="shared" si="84"/>
        <v>101.43507127361633</v>
      </c>
      <c r="R130" s="557">
        <f t="shared" si="85"/>
        <v>254.27556818181819</v>
      </c>
      <c r="S130" s="582">
        <f t="shared" si="86"/>
        <v>25792.460381662018</v>
      </c>
      <c r="T130" s="555">
        <f t="shared" si="87"/>
        <v>13.075903080941618</v>
      </c>
      <c r="U130" s="559">
        <f t="shared" si="88"/>
        <v>154.50490219883392</v>
      </c>
      <c r="V130" s="582">
        <f t="shared" si="89"/>
        <v>2020.2911266823157</v>
      </c>
      <c r="W130" s="555">
        <f t="shared" si="90"/>
        <v>9.8583170513096903</v>
      </c>
      <c r="X130" s="559">
        <f t="shared" si="91"/>
        <v>37.9060089869281</v>
      </c>
      <c r="Y130" s="582">
        <f t="shared" si="92"/>
        <v>373.68945474293167</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874.10241536291608</v>
      </c>
      <c r="I131" s="553">
        <f>ITECountywide!$B$9*E131</f>
        <v>4.7127093644572007</v>
      </c>
      <c r="J131" s="562">
        <f t="shared" si="80"/>
        <v>1.67</v>
      </c>
      <c r="K131" s="416">
        <f t="shared" si="81"/>
        <v>0.72504937644602452</v>
      </c>
      <c r="L131" s="554">
        <f>Passby_Length_Adj!H126</f>
        <v>0.3846286671810874</v>
      </c>
      <c r="M131" s="554">
        <f>Passby_Length_Adj!J126</f>
        <v>1</v>
      </c>
      <c r="N131" s="416">
        <v>0.5</v>
      </c>
      <c r="O131" s="546">
        <f t="shared" si="82"/>
        <v>0.1923143335905437</v>
      </c>
      <c r="P131" s="555">
        <f t="shared" si="83"/>
        <v>5.2532332952056553</v>
      </c>
      <c r="Q131" s="556">
        <f t="shared" si="84"/>
        <v>3.1456486797638656</v>
      </c>
      <c r="R131" s="557">
        <f t="shared" si="85"/>
        <v>254.27556818181819</v>
      </c>
      <c r="S131" s="582">
        <f t="shared" si="86"/>
        <v>799.86160534734313</v>
      </c>
      <c r="T131" s="555">
        <f t="shared" si="87"/>
        <v>0.40550271959026968</v>
      </c>
      <c r="U131" s="559">
        <f t="shared" si="88"/>
        <v>154.50490219883392</v>
      </c>
      <c r="V131" s="582">
        <f t="shared" si="89"/>
        <v>62.652158031655794</v>
      </c>
      <c r="W131" s="555">
        <f t="shared" si="90"/>
        <v>0.30572071008355434</v>
      </c>
      <c r="X131" s="559">
        <f t="shared" si="91"/>
        <v>37.9060089869281</v>
      </c>
      <c r="Y131" s="582">
        <f t="shared" si="92"/>
        <v>11.58865198391725</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10746.37027455042</v>
      </c>
      <c r="I132" s="553">
        <f>ITECountywide!$B$9*E132</f>
        <v>203.3352832710803</v>
      </c>
      <c r="J132" s="562">
        <f t="shared" si="80"/>
        <v>1.67</v>
      </c>
      <c r="K132" s="416">
        <f t="shared" si="81"/>
        <v>0.72504937644602452</v>
      </c>
      <c r="L132" s="554">
        <f>Passby_Length_Adj!H127</f>
        <v>0.3846286671810874</v>
      </c>
      <c r="M132" s="554">
        <f>Passby_Length_Adj!J127</f>
        <v>0.28494260634706281</v>
      </c>
      <c r="N132" s="416">
        <v>0.5</v>
      </c>
      <c r="O132" s="546">
        <f t="shared" si="82"/>
        <v>5.4798547451188014E-2</v>
      </c>
      <c r="P132" s="555">
        <f t="shared" si="83"/>
        <v>64.584182741833459</v>
      </c>
      <c r="Q132" s="556">
        <f t="shared" si="84"/>
        <v>38.673163318463153</v>
      </c>
      <c r="R132" s="557">
        <f t="shared" si="85"/>
        <v>254.27556818181819</v>
      </c>
      <c r="S132" s="582">
        <f t="shared" si="86"/>
        <v>9833.640576190468</v>
      </c>
      <c r="T132" s="555">
        <f t="shared" si="87"/>
        <v>4.9853224238546154</v>
      </c>
      <c r="U132" s="559">
        <f t="shared" si="88"/>
        <v>154.50490219883392</v>
      </c>
      <c r="V132" s="582">
        <f t="shared" si="89"/>
        <v>770.25675352731105</v>
      </c>
      <c r="W132" s="555">
        <f t="shared" si="90"/>
        <v>3.7585846846016362</v>
      </c>
      <c r="X132" s="559">
        <f t="shared" si="91"/>
        <v>37.9060089869281</v>
      </c>
      <c r="Y132" s="582">
        <f t="shared" si="92"/>
        <v>142.47294483263994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418.62754590644789</v>
      </c>
      <c r="I133" s="553">
        <f>ITECountywide!$B$9*E133</f>
        <v>7.9209768933376798</v>
      </c>
      <c r="J133" s="562">
        <f t="shared" si="80"/>
        <v>1.67</v>
      </c>
      <c r="K133" s="416">
        <f t="shared" si="81"/>
        <v>0.72504937644602452</v>
      </c>
      <c r="L133" s="554">
        <f>Passby_Length_Adj!H128</f>
        <v>0.3846286671810874</v>
      </c>
      <c r="M133" s="554">
        <f>Passby_Length_Adj!J128</f>
        <v>0.28494260634706281</v>
      </c>
      <c r="N133" s="416">
        <v>0.5</v>
      </c>
      <c r="O133" s="546">
        <f t="shared" si="82"/>
        <v>5.4798547451188014E-2</v>
      </c>
      <c r="P133" s="555">
        <f t="shared" si="83"/>
        <v>2.515893016418365</v>
      </c>
      <c r="Q133" s="556">
        <f t="shared" si="84"/>
        <v>1.5065227643223744</v>
      </c>
      <c r="R133" s="557">
        <f t="shared" si="85"/>
        <v>254.27556818181819</v>
      </c>
      <c r="S133" s="582">
        <f t="shared" si="86"/>
        <v>383.07193187691513</v>
      </c>
      <c r="T133" s="555">
        <f t="shared" si="87"/>
        <v>0.19420448379608374</v>
      </c>
      <c r="U133" s="559">
        <f t="shared" si="88"/>
        <v>154.50490219883392</v>
      </c>
      <c r="V133" s="582">
        <f t="shared" si="89"/>
        <v>30.005544775488943</v>
      </c>
      <c r="W133" s="555">
        <f t="shared" si="90"/>
        <v>0.14641660787759983</v>
      </c>
      <c r="X133" s="559">
        <f t="shared" si="91"/>
        <v>37.9060089869281</v>
      </c>
      <c r="Y133" s="582">
        <f t="shared" si="92"/>
        <v>5.5500692540438266</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31409.573550724923</v>
      </c>
      <c r="I134" s="553">
        <f>ITECountywide!$B$9*E134</f>
        <v>627.56975509846791</v>
      </c>
      <c r="J134" s="562">
        <f t="shared" si="80"/>
        <v>1.67</v>
      </c>
      <c r="K134" s="416">
        <f t="shared" si="81"/>
        <v>0.72504937644602452</v>
      </c>
      <c r="L134" s="554">
        <f>Passby_Length_Adj!H129</f>
        <v>0.3846286671810874</v>
      </c>
      <c r="M134" s="554">
        <f>Passby_Length_Adj!J129</f>
        <v>0.26984126984126988</v>
      </c>
      <c r="N134" s="416">
        <v>0.5</v>
      </c>
      <c r="O134" s="546">
        <f t="shared" si="82"/>
        <v>5.1894343984749895E-2</v>
      </c>
      <c r="P134" s="555">
        <f t="shared" si="83"/>
        <v>188.76714520503003</v>
      </c>
      <c r="Q134" s="556">
        <f t="shared" si="84"/>
        <v>113.03421868564674</v>
      </c>
      <c r="R134" s="557">
        <f t="shared" si="85"/>
        <v>254.27556818181819</v>
      </c>
      <c r="S134" s="582">
        <f t="shared" si="86"/>
        <v>28741.840180280713</v>
      </c>
      <c r="T134" s="555">
        <f t="shared" si="87"/>
        <v>14.571138658507719</v>
      </c>
      <c r="U134" s="559">
        <f t="shared" si="88"/>
        <v>154.50490219883392</v>
      </c>
      <c r="V134" s="582">
        <f t="shared" si="89"/>
        <v>2251.312353358383</v>
      </c>
      <c r="W134" s="555">
        <f t="shared" si="90"/>
        <v>10.985620175139765</v>
      </c>
      <c r="X134" s="559">
        <f t="shared" si="91"/>
        <v>37.9060089869281</v>
      </c>
      <c r="Y134" s="582">
        <f t="shared" si="92"/>
        <v>416.42101708582658</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42724.023521109964</v>
      </c>
      <c r="I135" s="553">
        <f>ITECountywide!$B$9*E135</f>
        <v>853.63479815043024</v>
      </c>
      <c r="J135" s="562">
        <f t="shared" si="80"/>
        <v>1.67</v>
      </c>
      <c r="K135" s="416">
        <f t="shared" si="81"/>
        <v>0.72504937644602452</v>
      </c>
      <c r="L135" s="554">
        <f>Passby_Length_Adj!H130</f>
        <v>0.3846286671810874</v>
      </c>
      <c r="M135" s="554">
        <f>Passby_Length_Adj!J130</f>
        <v>0.26984126984126988</v>
      </c>
      <c r="N135" s="416">
        <v>0.5</v>
      </c>
      <c r="O135" s="546">
        <f t="shared" si="82"/>
        <v>5.1894343984749895E-2</v>
      </c>
      <c r="P135" s="555">
        <f t="shared" si="83"/>
        <v>256.76540748724517</v>
      </c>
      <c r="Q135" s="556">
        <f t="shared" si="84"/>
        <v>153.75174101032647</v>
      </c>
      <c r="R135" s="557">
        <f t="shared" si="85"/>
        <v>254.27556818181819</v>
      </c>
      <c r="S135" s="582">
        <f t="shared" si="86"/>
        <v>39095.311304344519</v>
      </c>
      <c r="T135" s="555">
        <f t="shared" si="87"/>
        <v>19.819997548520377</v>
      </c>
      <c r="U135" s="559">
        <f t="shared" si="88"/>
        <v>154.50490219883392</v>
      </c>
      <c r="V135" s="582">
        <f t="shared" si="89"/>
        <v>3062.2867828152689</v>
      </c>
      <c r="W135" s="555">
        <f t="shared" si="90"/>
        <v>14.942892936724352</v>
      </c>
      <c r="X135" s="559">
        <f t="shared" si="91"/>
        <v>37.9060089869281</v>
      </c>
      <c r="Y135" s="582">
        <f t="shared" si="92"/>
        <v>566.42543395017776</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74423.897263506093</v>
      </c>
      <c r="I136" s="553">
        <f>ITECountywide!$B$9*E136</f>
        <v>1487.00481092823</v>
      </c>
      <c r="J136" s="562">
        <f t="shared" si="80"/>
        <v>1.67</v>
      </c>
      <c r="K136" s="416">
        <f t="shared" si="81"/>
        <v>0.72504937644602452</v>
      </c>
      <c r="L136" s="554">
        <f>Passby_Length_Adj!H131</f>
        <v>0.3846286671810874</v>
      </c>
      <c r="M136" s="554">
        <f>Passby_Length_Adj!J131</f>
        <v>0.26984126984126988</v>
      </c>
      <c r="N136" s="416">
        <v>0.5</v>
      </c>
      <c r="O136" s="546">
        <f t="shared" si="82"/>
        <v>5.1894343984749895E-2</v>
      </c>
      <c r="P136" s="555">
        <f t="shared" si="83"/>
        <v>447.27721625307612</v>
      </c>
      <c r="Q136" s="556">
        <f t="shared" si="84"/>
        <v>267.83066841501568</v>
      </c>
      <c r="R136" s="557">
        <f t="shared" si="85"/>
        <v>254.27556818181819</v>
      </c>
      <c r="S136" s="582">
        <f t="shared" si="86"/>
        <v>68102.795387744263</v>
      </c>
      <c r="T136" s="555">
        <f t="shared" si="87"/>
        <v>34.525808660909114</v>
      </c>
      <c r="U136" s="559">
        <f t="shared" si="88"/>
        <v>154.50490219883392</v>
      </c>
      <c r="V136" s="582">
        <f t="shared" si="89"/>
        <v>5334.4066904894153</v>
      </c>
      <c r="W136" s="555">
        <f t="shared" si="90"/>
        <v>26.030046729865003</v>
      </c>
      <c r="X136" s="559">
        <f t="shared" si="91"/>
        <v>37.9060089869281</v>
      </c>
      <c r="Y136" s="582">
        <f t="shared" si="92"/>
        <v>986.69518527242121</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15604.542490425996</v>
      </c>
      <c r="I137" s="566">
        <f>ITECountywide!$B$9*E137</f>
        <v>311.78197606933963</v>
      </c>
      <c r="J137" s="567">
        <f t="shared" si="80"/>
        <v>1.67</v>
      </c>
      <c r="K137" s="533">
        <f t="shared" si="81"/>
        <v>0.72504937644602452</v>
      </c>
      <c r="L137" s="568">
        <f>Passby_Length_Adj!H132</f>
        <v>0.3846286671810874</v>
      </c>
      <c r="M137" s="568">
        <f>Passby_Length_Adj!J132</f>
        <v>0.26984126984126988</v>
      </c>
      <c r="N137" s="533">
        <v>0.5</v>
      </c>
      <c r="O137" s="569">
        <f t="shared" si="82"/>
        <v>5.1894343984749895E-2</v>
      </c>
      <c r="P137" s="570">
        <f t="shared" si="83"/>
        <v>93.781118466675949</v>
      </c>
      <c r="Q137" s="571">
        <f t="shared" si="84"/>
        <v>56.156358363279011</v>
      </c>
      <c r="R137" s="572">
        <f t="shared" si="85"/>
        <v>254.27556818181819</v>
      </c>
      <c r="S137" s="585">
        <f t="shared" si="86"/>
        <v>14279.189929844568</v>
      </c>
      <c r="T137" s="570">
        <f t="shared" si="87"/>
        <v>7.2390652475230697</v>
      </c>
      <c r="U137" s="574">
        <f t="shared" si="88"/>
        <v>154.50490219883392</v>
      </c>
      <c r="V137" s="585">
        <f t="shared" si="89"/>
        <v>1118.4710680795292</v>
      </c>
      <c r="W137" s="570">
        <f t="shared" si="90"/>
        <v>5.4577492601039506</v>
      </c>
      <c r="X137" s="574">
        <f t="shared" si="91"/>
        <v>37.9060089869281</v>
      </c>
      <c r="Y137" s="585">
        <f t="shared" si="92"/>
        <v>206.88149250190054</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P9:S9"/>
    <mergeCell ref="T9:V9"/>
    <mergeCell ref="I9:O9"/>
    <mergeCell ref="W9:Y9"/>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593ED-F302-4C43-B252-DD028A581772}">
  <sheetPr>
    <tabColor theme="9" tint="0.79998168889431442"/>
  </sheetPr>
  <dimension ref="A1:AJ161"/>
  <sheetViews>
    <sheetView zoomScale="75" zoomScaleNormal="75" workbookViewId="0">
      <pane xSplit="3" ySplit="11" topLeftCell="D12" activePane="bottomRight" state="frozen"/>
      <selection pane="topRight" activeCell="AA24" sqref="AA24"/>
      <selection pane="bottomLeft" activeCell="AA24" sqref="AA24"/>
      <selection pane="bottomRight" activeCell="L6" sqref="L6"/>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2.5703125" style="11" customWidth="1"/>
    <col min="10" max="10" width="11.42578125" style="69" customWidth="1"/>
    <col min="11" max="11" width="11.140625" style="12" customWidth="1"/>
    <col min="12" max="12" width="11" style="12" customWidth="1"/>
    <col min="13" max="13" width="12.140625" style="12" customWidth="1"/>
    <col min="14" max="14" width="11.5703125" style="12" customWidth="1"/>
    <col min="15" max="15" width="8.5703125" style="412" customWidth="1"/>
    <col min="16" max="16" width="8.5703125" style="12" customWidth="1"/>
    <col min="17" max="17" width="9.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10" t="str">
        <f>+HYPERLINK(ContextAreas_Map!A1,"Context Area")</f>
        <v>Context Area</v>
      </c>
      <c r="C2" s="811"/>
      <c r="E2" s="814" t="s">
        <v>57</v>
      </c>
      <c r="F2" s="815"/>
      <c r="G2" s="815"/>
      <c r="H2" s="815"/>
      <c r="I2" s="815"/>
      <c r="J2" s="816"/>
      <c r="L2" s="439" t="s">
        <v>65</v>
      </c>
      <c r="M2" s="440"/>
      <c r="O2" s="817" t="s">
        <v>58</v>
      </c>
      <c r="P2" s="818"/>
      <c r="Q2" s="818"/>
      <c r="R2" s="818"/>
      <c r="S2" s="819"/>
    </row>
    <row r="3" spans="1:36" ht="17.100000000000001" customHeight="1" thickBot="1" x14ac:dyDescent="0.3">
      <c r="A3" s="10"/>
      <c r="B3" s="812"/>
      <c r="C3" s="813"/>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07" t="s">
        <v>53</v>
      </c>
      <c r="C4" s="809">
        <v>2</v>
      </c>
      <c r="E4" s="445" t="s">
        <v>67</v>
      </c>
      <c r="F4" s="518">
        <f>'2045_24hr_all_productions'!$Q$36</f>
        <v>0.85017405200500473</v>
      </c>
      <c r="G4" s="518">
        <f>'2045_24hr_all_productions'!$S$36</f>
        <v>7.1139576081166458E-2</v>
      </c>
      <c r="H4" s="519">
        <f>'2045_24hr_all_productions'!$T$36</f>
        <v>4.1143168613654101E-2</v>
      </c>
      <c r="I4" s="518">
        <f>'2045_24hr_all_productions'!$R$36</f>
        <v>3.7543203300174674E-2</v>
      </c>
      <c r="J4" s="520">
        <f>+H4+I4</f>
        <v>7.8686371913828768E-2</v>
      </c>
      <c r="K4" s="69"/>
      <c r="L4" s="444" t="s">
        <v>71</v>
      </c>
      <c r="M4" s="442">
        <f>ITECountywide!B4</f>
        <v>1.67</v>
      </c>
      <c r="O4" s="692" t="s">
        <v>120</v>
      </c>
      <c r="P4" s="680"/>
      <c r="Q4" s="681">
        <f>+RoadCapCost!L15</f>
        <v>261.71052631578948</v>
      </c>
      <c r="R4" s="681">
        <f>+TransitCapCost!AB13</f>
        <v>405.42115030277023</v>
      </c>
      <c r="S4" s="536">
        <f>+WalkBikeCapCost!$V$7</f>
        <v>37.9060089869281</v>
      </c>
      <c r="T4" s="11"/>
    </row>
    <row r="5" spans="1:36" ht="17.100000000000001" customHeight="1" thickBot="1" x14ac:dyDescent="0.3">
      <c r="B5" s="808"/>
      <c r="C5" s="806"/>
      <c r="E5" s="445" t="s">
        <v>70</v>
      </c>
      <c r="F5" s="518">
        <f>'2045_24hr_all_attractions'!$Q$36</f>
        <v>0.85014347095642351</v>
      </c>
      <c r="G5" s="518">
        <f>'2045_24hr_all_attractions'!$S$36</f>
        <v>7.11482136750866E-2</v>
      </c>
      <c r="H5" s="519">
        <f>'2045_24hr_all_attractions'!$T$36</f>
        <v>4.1155597845209953E-2</v>
      </c>
      <c r="I5" s="518">
        <f>'2045_24hr_all_attractions'!$R$36</f>
        <v>3.755271752327996E-2</v>
      </c>
      <c r="J5" s="520">
        <f>+H5+I5</f>
        <v>7.8708315368489906E-2</v>
      </c>
      <c r="K5" s="69"/>
      <c r="S5" s="429"/>
      <c r="T5" s="11"/>
    </row>
    <row r="6" spans="1:36" ht="17.100000000000001" customHeight="1" x14ac:dyDescent="0.25">
      <c r="B6" s="803" t="s">
        <v>54</v>
      </c>
      <c r="C6" s="805" t="s">
        <v>56</v>
      </c>
      <c r="E6" s="445" t="s">
        <v>72</v>
      </c>
      <c r="F6" s="725">
        <f>'2045_24hr_all_productions'!$M$36</f>
        <v>7.5651945690280726</v>
      </c>
      <c r="G6" s="434">
        <f>'2045_24hr_all_productions'!$O$36</f>
        <v>6.9159276286002855</v>
      </c>
      <c r="H6" s="435">
        <f>'2045_24hr_all_productions'!$P$36</f>
        <v>0.96266710827411783</v>
      </c>
      <c r="I6" s="434">
        <f>'2045_24hr_all_productions'!$N$36</f>
        <v>4.9788028773180226</v>
      </c>
      <c r="J6" s="447">
        <f>+((H4/J4)*H6)+(I4/J4*I6)</f>
        <v>2.8788642589502191</v>
      </c>
      <c r="K6" s="69"/>
      <c r="O6" s="69"/>
      <c r="P6" s="11"/>
      <c r="S6" s="429"/>
      <c r="U6" s="20"/>
      <c r="V6" s="422"/>
      <c r="W6" s="20"/>
      <c r="X6" s="20"/>
    </row>
    <row r="7" spans="1:36" ht="17.100000000000001" customHeight="1" thickBot="1" x14ac:dyDescent="0.3">
      <c r="B7" s="804"/>
      <c r="C7" s="806"/>
      <c r="E7" s="448" t="s">
        <v>73</v>
      </c>
      <c r="F7" s="726">
        <f>'2045_24hr_all_attractions'!$M$36</f>
        <v>7.5379006030505211</v>
      </c>
      <c r="G7" s="449">
        <f>'2045_24hr_all_attractions'!$O$36</f>
        <v>6.8701671716644022</v>
      </c>
      <c r="H7" s="451">
        <f>'2045_24hr_all_attractions'!$P$36</f>
        <v>0.96015654163405395</v>
      </c>
      <c r="I7" s="449">
        <f>'2045_24hr_all_attractions'!$N$36</f>
        <v>4.9630735730781925</v>
      </c>
      <c r="J7" s="450">
        <f>+((H5/J5)*H7)+(I5/J5*I7)</f>
        <v>2.8699981110691359</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2" t="s">
        <v>121</v>
      </c>
      <c r="C9" s="793"/>
      <c r="D9" s="793"/>
      <c r="E9" s="793"/>
      <c r="F9" s="793"/>
      <c r="G9" s="793"/>
      <c r="H9" s="793"/>
      <c r="I9" s="797" t="s">
        <v>74</v>
      </c>
      <c r="J9" s="798"/>
      <c r="K9" s="798"/>
      <c r="L9" s="798"/>
      <c r="M9" s="798"/>
      <c r="N9" s="798"/>
      <c r="O9" s="799"/>
      <c r="P9" s="794" t="s">
        <v>75</v>
      </c>
      <c r="Q9" s="795"/>
      <c r="R9" s="795"/>
      <c r="S9" s="796"/>
      <c r="T9" s="794" t="s">
        <v>61</v>
      </c>
      <c r="U9" s="795"/>
      <c r="V9" s="796"/>
      <c r="W9" s="794" t="s">
        <v>66</v>
      </c>
      <c r="X9" s="795"/>
      <c r="Y9" s="796"/>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10810.505844536758</v>
      </c>
      <c r="I12" s="553">
        <f>ITECountywide!$B$9*E12</f>
        <v>17.853918169193626</v>
      </c>
      <c r="J12" s="554">
        <f>IF(F12="Prod",$M$3,$M$4)</f>
        <v>1.67</v>
      </c>
      <c r="K12" s="416">
        <f>IF(F12="Prod",$F$4,$F$5)</f>
        <v>0.85014347095642351</v>
      </c>
      <c r="L12" s="554">
        <f>Passby_Length_Adj!H7</f>
        <v>1</v>
      </c>
      <c r="M12" s="554">
        <f>Passby_Length_Adj!J7</f>
        <v>1</v>
      </c>
      <c r="N12" s="416">
        <v>0.5</v>
      </c>
      <c r="O12" s="546">
        <f>L12*M12*N12</f>
        <v>0.5</v>
      </c>
      <c r="P12" s="555">
        <f>IF($F12="Prod",$I12*$O12*$F$4*$F$6,$I12*O12*$F$5*$F$7)</f>
        <v>57.206604963846878</v>
      </c>
      <c r="Q12" s="556">
        <f>+P12/J12</f>
        <v>34.255452074159805</v>
      </c>
      <c r="R12" s="557">
        <f>$Q$4</f>
        <v>261.71052631578948</v>
      </c>
      <c r="S12" s="582">
        <f>Q12*R12</f>
        <v>8965.0123915136646</v>
      </c>
      <c r="T12" s="555">
        <f>IF($F12="Prod",$I12*$O12*$G$4*$G$6,$I12*$O12*$G$5*$G$7)</f>
        <v>4.3634986888645724</v>
      </c>
      <c r="U12" s="559">
        <f>+$R$4</f>
        <v>405.42115030277023</v>
      </c>
      <c r="V12" s="582">
        <f>+T12*U12</f>
        <v>1769.0546577841046</v>
      </c>
      <c r="W12" s="555">
        <f>IF($F12="Prod",$I12*$O12*$J$4*$J$6,$I12*$O12*$J$5*$J$7)</f>
        <v>2.0165350371058199</v>
      </c>
      <c r="X12" s="559">
        <f>+$S$4</f>
        <v>37.9060089869281</v>
      </c>
      <c r="Y12" s="582">
        <f>+W12*X12</f>
        <v>76.438795238988604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5443.6658871982054</v>
      </c>
      <c r="I14" s="553">
        <f>ITECountywide!$B$9*E14</f>
        <v>8.9903994029645062</v>
      </c>
      <c r="J14" s="554">
        <f t="shared" ref="J14:J20" si="1">IF(F14="Prod",$M$3,$M$4)</f>
        <v>1.67</v>
      </c>
      <c r="K14" s="416">
        <f t="shared" ref="K14:K20" si="2">IF(F14="Prod",$F$4,$F$5)</f>
        <v>0.85014347095642351</v>
      </c>
      <c r="L14" s="554">
        <f>Passby_Length_Adj!H9</f>
        <v>1</v>
      </c>
      <c r="M14" s="554">
        <f>Passby_Length_Adj!J9</f>
        <v>1</v>
      </c>
      <c r="N14" s="416">
        <v>0.5</v>
      </c>
      <c r="O14" s="546">
        <f t="shared" ref="O14:O20" si="3">L14*M14*N14</f>
        <v>0.5</v>
      </c>
      <c r="P14" s="555">
        <f t="shared" ref="P14:P20" si="4">IF($F14="Prod",$I14*$O14*$F$4*$F$6,$I14*O14*$F$5*$F$7)</f>
        <v>28.806574682302589</v>
      </c>
      <c r="Q14" s="556">
        <f t="shared" ref="Q14:Q79" si="5">+P14/J14</f>
        <v>17.24944591754646</v>
      </c>
      <c r="R14" s="561">
        <f t="shared" ref="R14:R20" si="6">$Q$4</f>
        <v>261.71052631578948</v>
      </c>
      <c r="S14" s="582">
        <f t="shared" ref="S14:S20" si="7">Q14*R14</f>
        <v>4514.3615697368305</v>
      </c>
      <c r="T14" s="555">
        <f t="shared" ref="T14:T20" si="8">IF($F14="Prod",$I14*$O14*$G$4*$G$6,$I14*$O14*$G$5*$G$7)</f>
        <v>2.1972541621084547</v>
      </c>
      <c r="U14" s="559">
        <f t="shared" ref="U14:U20" si="9">+$R$4</f>
        <v>405.42115030277023</v>
      </c>
      <c r="V14" s="582">
        <f t="shared" ref="V14:V20" si="10">+T14*U14</f>
        <v>890.81330990955928</v>
      </c>
      <c r="W14" s="555">
        <f t="shared" ref="W14:W20" si="11">IF($F14="Prod",$I14*$O14*$J$4*$J$6,$I14*$O14*$J$5*$J$7)</f>
        <v>1.0154328714766363</v>
      </c>
      <c r="X14" s="559">
        <f t="shared" ref="X14:X20" si="12">+$S$4</f>
        <v>37.9060089869281</v>
      </c>
      <c r="Y14" s="582">
        <f t="shared" ref="Y14:Y20" si="13">+W14*X14</f>
        <v>38.491007551815585</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3698.6197661003939</v>
      </c>
      <c r="I15" s="553">
        <f>ITECountywide!$B$9*E15</f>
        <v>6.1083963685464484</v>
      </c>
      <c r="J15" s="554">
        <f t="shared" si="1"/>
        <v>1.67</v>
      </c>
      <c r="K15" s="416">
        <f t="shared" si="2"/>
        <v>0.85014347095642351</v>
      </c>
      <c r="L15" s="554">
        <f>Passby_Length_Adj!H10</f>
        <v>1</v>
      </c>
      <c r="M15" s="554">
        <f>Passby_Length_Adj!J10</f>
        <v>1</v>
      </c>
      <c r="N15" s="416">
        <v>0.5</v>
      </c>
      <c r="O15" s="546">
        <f t="shared" si="3"/>
        <v>0.5</v>
      </c>
      <c r="P15" s="555">
        <f t="shared" si="4"/>
        <v>19.572209007935427</v>
      </c>
      <c r="Q15" s="556">
        <f t="shared" si="5"/>
        <v>11.719885633494268</v>
      </c>
      <c r="R15" s="561">
        <f t="shared" si="6"/>
        <v>261.71052631578948</v>
      </c>
      <c r="S15" s="582">
        <f t="shared" si="7"/>
        <v>3067.2174375026448</v>
      </c>
      <c r="T15" s="555">
        <f t="shared" si="8"/>
        <v>1.4928924448196559</v>
      </c>
      <c r="U15" s="559">
        <f t="shared" si="9"/>
        <v>405.42115030277023</v>
      </c>
      <c r="V15" s="582">
        <f t="shared" si="10"/>
        <v>605.25017225709985</v>
      </c>
      <c r="W15" s="555">
        <f t="shared" si="11"/>
        <v>0.68992112437021458</v>
      </c>
      <c r="X15" s="559">
        <f t="shared" si="12"/>
        <v>37.9060089869281</v>
      </c>
      <c r="Y15" s="582">
        <f t="shared" si="13"/>
        <v>26.152156340648894</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4313.2272049776102</v>
      </c>
      <c r="I16" s="553">
        <f>ITECountywide!$B$9*E16</f>
        <v>7.1234414624295379</v>
      </c>
      <c r="J16" s="554">
        <f t="shared" si="1"/>
        <v>1.67</v>
      </c>
      <c r="K16" s="416">
        <f t="shared" si="2"/>
        <v>0.85014347095642351</v>
      </c>
      <c r="L16" s="554">
        <f>Passby_Length_Adj!H11</f>
        <v>1</v>
      </c>
      <c r="M16" s="554">
        <f>Passby_Length_Adj!J11</f>
        <v>1</v>
      </c>
      <c r="N16" s="416">
        <v>0.5</v>
      </c>
      <c r="O16" s="546">
        <f t="shared" si="3"/>
        <v>0.5</v>
      </c>
      <c r="P16" s="555">
        <f t="shared" si="4"/>
        <v>22.82456421400185</v>
      </c>
      <c r="Q16" s="556">
        <f t="shared" si="5"/>
        <v>13.667403720959191</v>
      </c>
      <c r="R16" s="561">
        <f t="shared" si="6"/>
        <v>261.71052631578948</v>
      </c>
      <c r="S16" s="582">
        <f t="shared" si="7"/>
        <v>3576.9034211826097</v>
      </c>
      <c r="T16" s="555">
        <f t="shared" si="8"/>
        <v>1.7409695276383526</v>
      </c>
      <c r="U16" s="559">
        <f t="shared" si="9"/>
        <v>405.42115030277023</v>
      </c>
      <c r="V16" s="582">
        <f t="shared" si="10"/>
        <v>705.82586853721136</v>
      </c>
      <c r="W16" s="555">
        <f t="shared" si="11"/>
        <v>0.80456677114983488</v>
      </c>
      <c r="X16" s="559">
        <f t="shared" si="12"/>
        <v>37.9060089869281</v>
      </c>
      <c r="Y16" s="582">
        <f t="shared" si="13"/>
        <v>30.497915257789366</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1909.6731136542091</v>
      </c>
      <c r="I17" s="553">
        <f>ITECountywide!$B$9*E17</f>
        <v>3.1538901131367418</v>
      </c>
      <c r="J17" s="554">
        <f t="shared" si="1"/>
        <v>1.67</v>
      </c>
      <c r="K17" s="416">
        <f t="shared" si="2"/>
        <v>0.85014347095642351</v>
      </c>
      <c r="L17" s="554">
        <f>Passby_Length_Adj!H12</f>
        <v>1</v>
      </c>
      <c r="M17" s="554">
        <f>Passby_Length_Adj!J12</f>
        <v>1</v>
      </c>
      <c r="N17" s="416">
        <v>0.5</v>
      </c>
      <c r="O17" s="546">
        <f t="shared" si="3"/>
        <v>0.5</v>
      </c>
      <c r="P17" s="555">
        <f t="shared" si="4"/>
        <v>10.105532247420665</v>
      </c>
      <c r="Q17" s="556">
        <f t="shared" si="5"/>
        <v>6.0512169146231534</v>
      </c>
      <c r="R17" s="561">
        <f t="shared" si="6"/>
        <v>261.71052631578948</v>
      </c>
      <c r="S17" s="582">
        <f t="shared" si="7"/>
        <v>1583.6671635770333</v>
      </c>
      <c r="T17" s="555">
        <f t="shared" si="8"/>
        <v>0.77081093590094985</v>
      </c>
      <c r="U17" s="559">
        <f t="shared" si="9"/>
        <v>405.42115030277023</v>
      </c>
      <c r="V17" s="582">
        <f t="shared" si="10"/>
        <v>312.50305629891795</v>
      </c>
      <c r="W17" s="555">
        <f t="shared" si="11"/>
        <v>0.35622040249381992</v>
      </c>
      <c r="X17" s="559">
        <f t="shared" si="12"/>
        <v>37.9060089869281</v>
      </c>
      <c r="Y17" s="582">
        <f t="shared" si="13"/>
        <v>13.502893778257883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1657.2450584010669</v>
      </c>
      <c r="I18" s="553">
        <f>ITECountywide!$B$9*E18</f>
        <v>2.736996592434759</v>
      </c>
      <c r="J18" s="562">
        <f t="shared" si="1"/>
        <v>1.67</v>
      </c>
      <c r="K18" s="416">
        <f t="shared" si="2"/>
        <v>0.85014347095642351</v>
      </c>
      <c r="L18" s="554">
        <f>Passby_Length_Adj!H13</f>
        <v>1</v>
      </c>
      <c r="M18" s="554">
        <f>Passby_Length_Adj!J13</f>
        <v>1</v>
      </c>
      <c r="N18" s="416">
        <v>0.5</v>
      </c>
      <c r="O18" s="546">
        <f t="shared" si="3"/>
        <v>0.5</v>
      </c>
      <c r="P18" s="555">
        <f t="shared" si="4"/>
        <v>8.7697435020719592</v>
      </c>
      <c r="Q18" s="556">
        <f t="shared" si="5"/>
        <v>5.2513434144143467</v>
      </c>
      <c r="R18" s="561">
        <f t="shared" si="6"/>
        <v>261.71052631578948</v>
      </c>
      <c r="S18" s="582">
        <f t="shared" si="7"/>
        <v>1374.3318488513337</v>
      </c>
      <c r="T18" s="555">
        <f t="shared" si="8"/>
        <v>0.66892213402898537</v>
      </c>
      <c r="U18" s="559">
        <f t="shared" si="9"/>
        <v>405.42115030277023</v>
      </c>
      <c r="V18" s="582">
        <f t="shared" si="10"/>
        <v>271.19518104101508</v>
      </c>
      <c r="W18" s="555">
        <f t="shared" si="11"/>
        <v>0.30913379756647597</v>
      </c>
      <c r="X18" s="559">
        <f t="shared" si="12"/>
        <v>37.9060089869281</v>
      </c>
      <c r="Y18" s="582">
        <f t="shared" si="13"/>
        <v>11.718028508718049</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1086.5381508722226</v>
      </c>
      <c r="I19" s="553">
        <f>ITECountywide!$B$9*E19</f>
        <v>1.7944547195433187</v>
      </c>
      <c r="J19" s="554">
        <f t="shared" si="1"/>
        <v>1.67</v>
      </c>
      <c r="K19" s="416">
        <f t="shared" si="2"/>
        <v>0.85014347095642351</v>
      </c>
      <c r="L19" s="554">
        <f>Passby_Length_Adj!H14</f>
        <v>1</v>
      </c>
      <c r="M19" s="554">
        <f>Passby_Length_Adj!J14</f>
        <v>1</v>
      </c>
      <c r="N19" s="416">
        <v>0.5</v>
      </c>
      <c r="O19" s="546">
        <f t="shared" si="3"/>
        <v>0.5</v>
      </c>
      <c r="P19" s="555">
        <f t="shared" si="4"/>
        <v>5.7496993821531381</v>
      </c>
      <c r="Q19" s="556">
        <f t="shared" si="5"/>
        <v>3.4429337617683462</v>
      </c>
      <c r="R19" s="561">
        <f t="shared" si="6"/>
        <v>261.71052631578948</v>
      </c>
      <c r="S19" s="582">
        <f t="shared" si="7"/>
        <v>901.05200686279488</v>
      </c>
      <c r="T19" s="555">
        <f t="shared" si="8"/>
        <v>0.43856484284019559</v>
      </c>
      <c r="U19" s="559">
        <f t="shared" si="9"/>
        <v>405.42115030277023</v>
      </c>
      <c r="V19" s="582">
        <f t="shared" si="10"/>
        <v>177.80346306662574</v>
      </c>
      <c r="W19" s="555">
        <f t="shared" si="11"/>
        <v>0.2026771255568286</v>
      </c>
      <c r="X19" s="559">
        <f t="shared" si="12"/>
        <v>37.9060089869281</v>
      </c>
      <c r="Y19" s="582">
        <f t="shared" si="13"/>
        <v>7.6826809428019001</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14531.075876311341</v>
      </c>
      <c r="I20" s="553">
        <f>ITECountywide!$B$9*E20</f>
        <v>23.998566148235899</v>
      </c>
      <c r="J20" s="554">
        <f t="shared" si="1"/>
        <v>1.67</v>
      </c>
      <c r="K20" s="416">
        <f t="shared" si="2"/>
        <v>0.85014347095642351</v>
      </c>
      <c r="L20" s="554">
        <f>Passby_Length_Adj!H15</f>
        <v>1</v>
      </c>
      <c r="M20" s="554">
        <f>Passby_Length_Adj!J15</f>
        <v>1</v>
      </c>
      <c r="N20" s="416">
        <v>0.5</v>
      </c>
      <c r="O20" s="546">
        <f t="shared" si="3"/>
        <v>0.5</v>
      </c>
      <c r="P20" s="555">
        <f t="shared" si="4"/>
        <v>76.894969514856115</v>
      </c>
      <c r="Q20" s="556">
        <f t="shared" si="5"/>
        <v>46.044891925063546</v>
      </c>
      <c r="R20" s="561">
        <f t="shared" si="6"/>
        <v>261.71052631578948</v>
      </c>
      <c r="S20" s="582">
        <f t="shared" si="7"/>
        <v>12050.432899862026</v>
      </c>
      <c r="T20" s="555">
        <f t="shared" si="8"/>
        <v>5.8652510294991815</v>
      </c>
      <c r="U20" s="559">
        <f t="shared" si="9"/>
        <v>405.42115030277023</v>
      </c>
      <c r="V20" s="582">
        <f t="shared" si="10"/>
        <v>2377.8968191940653</v>
      </c>
      <c r="W20" s="555">
        <f t="shared" si="11"/>
        <v>2.7105506488610209</v>
      </c>
      <c r="X20" s="559">
        <f t="shared" si="12"/>
        <v>37.9060089869281</v>
      </c>
      <c r="Y20" s="582">
        <f t="shared" si="13"/>
        <v>102.74615725524966</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10403.237169188493</v>
      </c>
      <c r="I22" s="553">
        <f>ITECountywide!$B$9*E22</f>
        <v>17.110760154029219</v>
      </c>
      <c r="J22" s="554">
        <f t="shared" ref="J22:J35" si="14">IF(F22="Prod",$M$3,$M$4)</f>
        <v>1.67</v>
      </c>
      <c r="K22" s="416">
        <f t="shared" ref="K22:K35" si="15">IF(F22="Prod",$F$4,$F$5)</f>
        <v>0.85017405200500473</v>
      </c>
      <c r="L22" s="554">
        <f>Passby_Length_Adj!H17</f>
        <v>1</v>
      </c>
      <c r="M22" s="554">
        <f>Passby_Length_Adj!J17</f>
        <v>1</v>
      </c>
      <c r="N22" s="416">
        <v>0.5</v>
      </c>
      <c r="O22" s="546">
        <f t="shared" ref="O22:O35" si="16">L22*M22*N22</f>
        <v>0.5</v>
      </c>
      <c r="P22" s="555">
        <f t="shared" ref="P22:P35" si="17">IF($F22="Prod",$I22*$O22*$F$4*$F$6,$I22*O22*$F$5*$F$7)</f>
        <v>55.02591284832917</v>
      </c>
      <c r="Q22" s="556">
        <f t="shared" si="5"/>
        <v>32.949648412173154</v>
      </c>
      <c r="R22" s="561">
        <f t="shared" ref="R22:R35" si="18">$Q$4</f>
        <v>261.71052631578948</v>
      </c>
      <c r="S22" s="582">
        <f t="shared" ref="S22:S35" si="19">Q22*R22</f>
        <v>8623.2698278700536</v>
      </c>
      <c r="T22" s="555">
        <f t="shared" ref="T22:T35" si="20">IF($F22="Prod",$I22*$O22*$G$4*$G$6,$I22*$O22*$G$5*$G$7)</f>
        <v>4.2092141427219811</v>
      </c>
      <c r="U22" s="559">
        <f t="shared" ref="U22:U35" si="21">+$R$4</f>
        <v>405.42115030277023</v>
      </c>
      <c r="V22" s="582">
        <f t="shared" ref="V22:V35" si="22">+T22*U22</f>
        <v>1706.5044396130345</v>
      </c>
      <c r="W22" s="555">
        <f t="shared" ref="W22:W35" si="23">IF($F22="Prod",$I22*$O22*$J$4*$J$6,$I22*$O22*$J$5*$J$7)</f>
        <v>1.9380278659971364</v>
      </c>
      <c r="X22" s="559">
        <f t="shared" ref="X22:X35" si="24">+$S$4</f>
        <v>37.9060089869281</v>
      </c>
      <c r="Y22" s="582">
        <f t="shared" ref="Y22:Y35" si="25">+W22*X22</f>
        <v>73.462901705404533</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8066.91695746396</v>
      </c>
      <c r="I23" s="553">
        <f>ITECountywide!$B$9*E23</f>
        <v>13.268089441471812</v>
      </c>
      <c r="J23" s="554">
        <f t="shared" si="14"/>
        <v>1.67</v>
      </c>
      <c r="K23" s="416">
        <f t="shared" si="15"/>
        <v>0.85017405200500473</v>
      </c>
      <c r="L23" s="554">
        <f>Passby_Length_Adj!H18</f>
        <v>1</v>
      </c>
      <c r="M23" s="554">
        <f>Passby_Length_Adj!J18</f>
        <v>1</v>
      </c>
      <c r="N23" s="416">
        <v>0.5</v>
      </c>
      <c r="O23" s="546">
        <f t="shared" si="16"/>
        <v>0.5</v>
      </c>
      <c r="P23" s="555">
        <f t="shared" si="17"/>
        <v>42.668398522221359</v>
      </c>
      <c r="Q23" s="556">
        <f t="shared" si="5"/>
        <v>25.549939234863089</v>
      </c>
      <c r="R23" s="561">
        <f t="shared" si="18"/>
        <v>261.71052631578948</v>
      </c>
      <c r="S23" s="582">
        <f t="shared" si="19"/>
        <v>6686.6880444924582</v>
      </c>
      <c r="T23" s="555">
        <f t="shared" si="20"/>
        <v>3.2639245259242484</v>
      </c>
      <c r="U23" s="559">
        <f t="shared" si="21"/>
        <v>405.42115030277023</v>
      </c>
      <c r="V23" s="582">
        <f t="shared" si="22"/>
        <v>1323.2640358016329</v>
      </c>
      <c r="W23" s="555">
        <f t="shared" si="23"/>
        <v>1.5027927943960848</v>
      </c>
      <c r="X23" s="559">
        <f t="shared" si="24"/>
        <v>37.9060089869281</v>
      </c>
      <c r="Y23" s="582">
        <f t="shared" si="25"/>
        <v>56.964877169868785</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5995.0858263120135</v>
      </c>
      <c r="I24" s="553">
        <f>ITECountywide!$B$9*E24</f>
        <v>9.8604380548642965</v>
      </c>
      <c r="J24" s="554">
        <f t="shared" si="14"/>
        <v>1.67</v>
      </c>
      <c r="K24" s="416">
        <f t="shared" si="15"/>
        <v>0.85017405200500473</v>
      </c>
      <c r="L24" s="554">
        <f>Passby_Length_Adj!H19</f>
        <v>1</v>
      </c>
      <c r="M24" s="554">
        <f>Passby_Length_Adj!J19</f>
        <v>1</v>
      </c>
      <c r="N24" s="416">
        <v>0.5</v>
      </c>
      <c r="O24" s="546">
        <f t="shared" si="16"/>
        <v>0.5</v>
      </c>
      <c r="P24" s="555">
        <f t="shared" si="17"/>
        <v>31.709848082087998</v>
      </c>
      <c r="Q24" s="556">
        <f t="shared" si="5"/>
        <v>18.987932983286228</v>
      </c>
      <c r="R24" s="561">
        <f t="shared" si="18"/>
        <v>261.71052631578948</v>
      </c>
      <c r="S24" s="582">
        <f t="shared" si="19"/>
        <v>4969.3419347047775</v>
      </c>
      <c r="T24" s="555">
        <f t="shared" si="20"/>
        <v>2.4256488280092778</v>
      </c>
      <c r="U24" s="559">
        <f t="shared" si="21"/>
        <v>405.42115030277023</v>
      </c>
      <c r="V24" s="582">
        <f t="shared" si="22"/>
        <v>983.40933808208786</v>
      </c>
      <c r="W24" s="555">
        <f t="shared" si="23"/>
        <v>1.1168296176932653</v>
      </c>
      <c r="X24" s="559">
        <f t="shared" si="24"/>
        <v>37.9060089869281</v>
      </c>
      <c r="Y24" s="582">
        <f t="shared" si="25"/>
        <v>42.334553525148387</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4904.0683689500847</v>
      </c>
      <c r="I25" s="553">
        <f>ITECountywide!$B$9*E25</f>
        <v>8.0659833353209791</v>
      </c>
      <c r="J25" s="554">
        <f t="shared" si="14"/>
        <v>1.67</v>
      </c>
      <c r="K25" s="416">
        <f t="shared" si="15"/>
        <v>0.85017405200500473</v>
      </c>
      <c r="L25" s="554">
        <f>Passby_Length_Adj!H20</f>
        <v>1</v>
      </c>
      <c r="M25" s="554">
        <f>Passby_Length_Adj!J20</f>
        <v>1</v>
      </c>
      <c r="N25" s="416">
        <v>0.5</v>
      </c>
      <c r="O25" s="546">
        <f t="shared" si="16"/>
        <v>0.5</v>
      </c>
      <c r="P25" s="555">
        <f t="shared" si="17"/>
        <v>25.939122052443313</v>
      </c>
      <c r="Q25" s="556">
        <f t="shared" si="5"/>
        <v>15.532408414636715</v>
      </c>
      <c r="R25" s="561">
        <f t="shared" si="18"/>
        <v>261.71052631578948</v>
      </c>
      <c r="S25" s="582">
        <f t="shared" si="19"/>
        <v>4064.9947811463717</v>
      </c>
      <c r="T25" s="555">
        <f t="shared" si="20"/>
        <v>1.9842164126178834</v>
      </c>
      <c r="U25" s="559">
        <f t="shared" si="21"/>
        <v>405.42115030277023</v>
      </c>
      <c r="V25" s="582">
        <f t="shared" si="22"/>
        <v>804.44330045317849</v>
      </c>
      <c r="W25" s="555">
        <f t="shared" si="23"/>
        <v>0.91358305123805716</v>
      </c>
      <c r="X25" s="559">
        <f t="shared" si="24"/>
        <v>37.9060089869281</v>
      </c>
      <c r="Y25" s="582">
        <f t="shared" si="25"/>
        <v>34.630287350534992</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6457.9417173140455</v>
      </c>
      <c r="I26" s="553">
        <f>ITECountywide!$B$9*E26</f>
        <v>10.621721875276615</v>
      </c>
      <c r="J26" s="554">
        <f t="shared" si="14"/>
        <v>1.67</v>
      </c>
      <c r="K26" s="416">
        <f t="shared" si="15"/>
        <v>0.85017405200500473</v>
      </c>
      <c r="L26" s="554">
        <f>Passby_Length_Adj!H22</f>
        <v>1</v>
      </c>
      <c r="M26" s="554">
        <f>Passby_Length_Adj!J22</f>
        <v>1</v>
      </c>
      <c r="N26" s="416">
        <v>0.5</v>
      </c>
      <c r="O26" s="546">
        <f t="shared" si="16"/>
        <v>0.5</v>
      </c>
      <c r="P26" s="555">
        <f t="shared" si="17"/>
        <v>34.158034882543326</v>
      </c>
      <c r="Q26" s="556">
        <f>+P26/J26</f>
        <v>20.453913103319358</v>
      </c>
      <c r="R26" s="561">
        <f t="shared" si="18"/>
        <v>261.71052631578948</v>
      </c>
      <c r="S26" s="582">
        <f t="shared" si="19"/>
        <v>5353.0043634871327</v>
      </c>
      <c r="T26" s="555">
        <f t="shared" si="20"/>
        <v>2.6129231860541116</v>
      </c>
      <c r="U26" s="559">
        <f t="shared" si="21"/>
        <v>405.42115030277023</v>
      </c>
      <c r="V26" s="582">
        <f t="shared" si="22"/>
        <v>1059.3343237428371</v>
      </c>
      <c r="W26" s="555">
        <f t="shared" si="23"/>
        <v>1.2030554337651718</v>
      </c>
      <c r="X26" s="559">
        <f t="shared" si="24"/>
        <v>37.9060089869281</v>
      </c>
      <c r="Y26" s="582">
        <f t="shared" si="25"/>
        <v>45.603030084075286</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3791.0101548737725</v>
      </c>
      <c r="I27" s="553">
        <f>ITECountywide!$B$9*E27</f>
        <v>6.2352770052818345</v>
      </c>
      <c r="J27" s="554">
        <f t="shared" si="14"/>
        <v>1.67</v>
      </c>
      <c r="K27" s="416">
        <f t="shared" si="15"/>
        <v>0.85017405200500473</v>
      </c>
      <c r="L27" s="554">
        <f>Passby_Length_Adj!H22</f>
        <v>1</v>
      </c>
      <c r="M27" s="554">
        <f>Passby_Length_Adj!J22</f>
        <v>1</v>
      </c>
      <c r="N27" s="416">
        <v>0.5</v>
      </c>
      <c r="O27" s="546">
        <f t="shared" si="16"/>
        <v>0.5</v>
      </c>
      <c r="P27" s="555">
        <f t="shared" si="17"/>
        <v>20.05181569896741</v>
      </c>
      <c r="Q27" s="556">
        <f t="shared" si="5"/>
        <v>12.00707526884276</v>
      </c>
      <c r="R27" s="561">
        <f t="shared" si="18"/>
        <v>261.71052631578948</v>
      </c>
      <c r="S27" s="582">
        <f t="shared" si="19"/>
        <v>3142.377988122138</v>
      </c>
      <c r="T27" s="555">
        <f t="shared" si="20"/>
        <v>1.5338661706529253</v>
      </c>
      <c r="U27" s="559">
        <f t="shared" si="21"/>
        <v>405.42115030277023</v>
      </c>
      <c r="V27" s="582">
        <f t="shared" si="22"/>
        <v>621.86178731661425</v>
      </c>
      <c r="W27" s="555">
        <f t="shared" si="23"/>
        <v>0.7062304935413295</v>
      </c>
      <c r="X27" s="559">
        <f t="shared" si="24"/>
        <v>37.9060089869281</v>
      </c>
      <c r="Y27" s="582">
        <f t="shared" si="25"/>
        <v>26.770379435020303</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5510.1891785956004</v>
      </c>
      <c r="I28" s="553">
        <f>ITECountywide!$B$9*E28</f>
        <v>9.0629026239561554</v>
      </c>
      <c r="J28" s="554">
        <f t="shared" si="14"/>
        <v>1.67</v>
      </c>
      <c r="K28" s="416">
        <f t="shared" si="15"/>
        <v>0.85017405200500473</v>
      </c>
      <c r="L28" s="554">
        <f>Passby_Length_Adj!H23</f>
        <v>1</v>
      </c>
      <c r="M28" s="554">
        <f>Passby_Length_Adj!J23</f>
        <v>1</v>
      </c>
      <c r="N28" s="416">
        <v>0.5</v>
      </c>
      <c r="O28" s="546">
        <f t="shared" si="16"/>
        <v>0.5</v>
      </c>
      <c r="P28" s="555">
        <f t="shared" si="17"/>
        <v>29.145080957801468</v>
      </c>
      <c r="Q28" s="556">
        <f t="shared" si="5"/>
        <v>17.452144286108666</v>
      </c>
      <c r="R28" s="561">
        <f t="shared" si="18"/>
        <v>261.71052631578948</v>
      </c>
      <c r="S28" s="582">
        <f t="shared" si="19"/>
        <v>4567.4098664565972</v>
      </c>
      <c r="T28" s="555">
        <f t="shared" si="20"/>
        <v>2.2294566433908805</v>
      </c>
      <c r="U28" s="559">
        <f t="shared" si="21"/>
        <v>405.42115030277023</v>
      </c>
      <c r="V28" s="582">
        <f t="shared" si="22"/>
        <v>903.86887691368372</v>
      </c>
      <c r="W28" s="555">
        <f t="shared" si="23"/>
        <v>1.0264978103798394</v>
      </c>
      <c r="X28" s="559">
        <f t="shared" si="24"/>
        <v>37.9060089869281</v>
      </c>
      <c r="Y28" s="582">
        <f t="shared" si="25"/>
        <v>38.910435225320214</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4705.7015585206427</v>
      </c>
      <c r="I29" s="553">
        <f>ITECountywide!$B$9*E29</f>
        <v>7.739718840858556</v>
      </c>
      <c r="J29" s="554">
        <f t="shared" si="14"/>
        <v>1.67</v>
      </c>
      <c r="K29" s="416">
        <f t="shared" si="15"/>
        <v>0.85017405200500473</v>
      </c>
      <c r="L29" s="554">
        <f>Passby_Length_Adj!H24</f>
        <v>1</v>
      </c>
      <c r="M29" s="554">
        <f>Passby_Length_Adj!J24</f>
        <v>1</v>
      </c>
      <c r="N29" s="416">
        <v>0.5</v>
      </c>
      <c r="O29" s="546">
        <f t="shared" si="16"/>
        <v>0.5</v>
      </c>
      <c r="P29" s="555">
        <f t="shared" si="17"/>
        <v>24.889899137962452</v>
      </c>
      <c r="Q29" s="556">
        <f t="shared" si="5"/>
        <v>14.904131220336799</v>
      </c>
      <c r="R29" s="561">
        <f t="shared" si="18"/>
        <v>261.71052631578948</v>
      </c>
      <c r="S29" s="582">
        <f t="shared" si="19"/>
        <v>3900.5680259539336</v>
      </c>
      <c r="T29" s="555">
        <f t="shared" si="20"/>
        <v>1.9039559734558114</v>
      </c>
      <c r="U29" s="559">
        <f t="shared" si="21"/>
        <v>405.42115030277023</v>
      </c>
      <c r="V29" s="582">
        <f t="shared" si="22"/>
        <v>771.90402088428573</v>
      </c>
      <c r="W29" s="555">
        <f t="shared" si="23"/>
        <v>0.8766291300643827</v>
      </c>
      <c r="X29" s="559">
        <f t="shared" si="24"/>
        <v>37.9060089869281</v>
      </c>
      <c r="Y29" s="582">
        <f t="shared" si="25"/>
        <v>33.22951168242345</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4077.5399921607445</v>
      </c>
      <c r="I30" s="553">
        <f>ITECountywide!$B$9*E30</f>
        <v>6.7065479417275551</v>
      </c>
      <c r="J30" s="554">
        <f t="shared" si="14"/>
        <v>1.67</v>
      </c>
      <c r="K30" s="416">
        <f t="shared" si="15"/>
        <v>0.85017405200500473</v>
      </c>
      <c r="L30" s="554">
        <f>Passby_Length_Adj!H25</f>
        <v>1</v>
      </c>
      <c r="M30" s="554">
        <f>Passby_Length_Adj!J25</f>
        <v>1</v>
      </c>
      <c r="N30" s="416">
        <v>0.5</v>
      </c>
      <c r="O30" s="546">
        <f t="shared" si="16"/>
        <v>0.5</v>
      </c>
      <c r="P30" s="555">
        <f t="shared" si="17"/>
        <v>21.567359908773089</v>
      </c>
      <c r="Q30" s="556">
        <f t="shared" si="5"/>
        <v>12.914586771720414</v>
      </c>
      <c r="R30" s="561">
        <f t="shared" si="18"/>
        <v>261.71052631578948</v>
      </c>
      <c r="S30" s="582">
        <f t="shared" si="19"/>
        <v>3379.883301177882</v>
      </c>
      <c r="T30" s="555">
        <f t="shared" si="20"/>
        <v>1.6497979161092513</v>
      </c>
      <c r="U30" s="559">
        <f t="shared" si="21"/>
        <v>405.42115030277023</v>
      </c>
      <c r="V30" s="582">
        <f t="shared" si="22"/>
        <v>668.86296891612585</v>
      </c>
      <c r="W30" s="555">
        <f t="shared" si="23"/>
        <v>0.75960837968108108</v>
      </c>
      <c r="X30" s="559">
        <f t="shared" si="24"/>
        <v>37.9060089869281</v>
      </c>
      <c r="Y30" s="582">
        <f t="shared" si="25"/>
        <v>28.793722066736951</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2226.1164281526226</v>
      </c>
      <c r="I31" s="553">
        <f>ITECountywide!$B$9*E31</f>
        <v>3.6614126600782866</v>
      </c>
      <c r="J31" s="554">
        <f t="shared" si="14"/>
        <v>1.67</v>
      </c>
      <c r="K31" s="416">
        <f t="shared" si="15"/>
        <v>0.85017405200500473</v>
      </c>
      <c r="L31" s="554">
        <f>Passby_Length_Adj!H26</f>
        <v>1</v>
      </c>
      <c r="M31" s="554">
        <f>Passby_Length_Adj!J26</f>
        <v>1</v>
      </c>
      <c r="N31" s="416">
        <v>0.5</v>
      </c>
      <c r="O31" s="546">
        <f t="shared" si="16"/>
        <v>0.5</v>
      </c>
      <c r="P31" s="555">
        <f t="shared" si="17"/>
        <v>11.774612706951794</v>
      </c>
      <c r="Q31" s="556">
        <f t="shared" si="5"/>
        <v>7.050666291587901</v>
      </c>
      <c r="R31" s="557">
        <f t="shared" si="18"/>
        <v>261.71052631578948</v>
      </c>
      <c r="S31" s="582">
        <f t="shared" si="19"/>
        <v>1845.2335860484652</v>
      </c>
      <c r="T31" s="555">
        <f t="shared" si="20"/>
        <v>0.90070048392991542</v>
      </c>
      <c r="U31" s="559">
        <f t="shared" si="21"/>
        <v>405.42115030277023</v>
      </c>
      <c r="V31" s="582">
        <f t="shared" si="22"/>
        <v>365.16302627312814</v>
      </c>
      <c r="W31" s="555">
        <f t="shared" si="23"/>
        <v>0.41470511539345506</v>
      </c>
      <c r="X31" s="559">
        <f t="shared" si="24"/>
        <v>37.9060089869281</v>
      </c>
      <c r="Y31" s="582">
        <f t="shared" si="25"/>
        <v>15.719815831029361</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2865.2983728697118</v>
      </c>
      <c r="I32" s="553">
        <f>ITECountywide!$B$9*E32</f>
        <v>4.7127093644572007</v>
      </c>
      <c r="J32" s="562">
        <f t="shared" si="14"/>
        <v>1.67</v>
      </c>
      <c r="K32" s="416">
        <f t="shared" si="15"/>
        <v>0.85017405200500473</v>
      </c>
      <c r="L32" s="554">
        <f>Passby_Length_Adj!H27</f>
        <v>1</v>
      </c>
      <c r="M32" s="554">
        <f>Passby_Length_Adj!J27</f>
        <v>1</v>
      </c>
      <c r="N32" s="416">
        <v>0.5</v>
      </c>
      <c r="O32" s="546">
        <f t="shared" si="16"/>
        <v>0.5</v>
      </c>
      <c r="P32" s="555">
        <f t="shared" si="17"/>
        <v>15.155442098056763</v>
      </c>
      <c r="Q32" s="556">
        <f t="shared" si="5"/>
        <v>9.075115028776505</v>
      </c>
      <c r="R32" s="557">
        <f t="shared" si="18"/>
        <v>261.71052631578948</v>
      </c>
      <c r="S32" s="582">
        <f t="shared" si="19"/>
        <v>2375.05313055743</v>
      </c>
      <c r="T32" s="555">
        <f t="shared" si="20"/>
        <v>1.1593174545632576</v>
      </c>
      <c r="U32" s="563">
        <f t="shared" si="21"/>
        <v>405.42115030277023</v>
      </c>
      <c r="V32" s="583">
        <f t="shared" si="22"/>
        <v>470.01181599511546</v>
      </c>
      <c r="W32" s="555">
        <f t="shared" si="23"/>
        <v>0.53377886139751651</v>
      </c>
      <c r="X32" s="563">
        <f t="shared" si="24"/>
        <v>37.9060089869281</v>
      </c>
      <c r="Y32" s="583">
        <f t="shared" si="25"/>
        <v>20.233426317166511</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2644.8908057258877</v>
      </c>
      <c r="I33" s="553">
        <f>ITECountywide!$B$9*E33</f>
        <v>4.3501932594989539</v>
      </c>
      <c r="J33" s="562">
        <f t="shared" si="14"/>
        <v>1.67</v>
      </c>
      <c r="K33" s="416">
        <f t="shared" si="15"/>
        <v>0.85017405200500473</v>
      </c>
      <c r="L33" s="554">
        <f>Passby_Length_Adj!H28</f>
        <v>1</v>
      </c>
      <c r="M33" s="554">
        <f>Passby_Length_Adj!J28</f>
        <v>1</v>
      </c>
      <c r="N33" s="416">
        <v>0.5</v>
      </c>
      <c r="O33" s="546">
        <f t="shared" si="16"/>
        <v>0.5</v>
      </c>
      <c r="P33" s="555">
        <f t="shared" si="17"/>
        <v>13.989638859744703</v>
      </c>
      <c r="Q33" s="556">
        <f t="shared" si="5"/>
        <v>8.3770292573321576</v>
      </c>
      <c r="R33" s="557">
        <f t="shared" si="18"/>
        <v>261.71052631578948</v>
      </c>
      <c r="S33" s="582">
        <f t="shared" si="19"/>
        <v>2192.3567358991659</v>
      </c>
      <c r="T33" s="555">
        <f t="shared" si="20"/>
        <v>1.0701391888276224</v>
      </c>
      <c r="U33" s="559">
        <f t="shared" si="21"/>
        <v>405.42115030277023</v>
      </c>
      <c r="V33" s="582">
        <f t="shared" si="22"/>
        <v>433.8570609185681</v>
      </c>
      <c r="W33" s="555">
        <f t="shared" si="23"/>
        <v>0.49271894898232282</v>
      </c>
      <c r="X33" s="559">
        <f t="shared" si="24"/>
        <v>37.9060089869281</v>
      </c>
      <c r="Y33" s="582">
        <f t="shared" si="25"/>
        <v>18.677008908153699</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9510.5865222560078</v>
      </c>
      <c r="I34" s="553">
        <f>ITECountywide!$B$9*E34</f>
        <v>15.642569928948324</v>
      </c>
      <c r="J34" s="562">
        <f t="shared" si="14"/>
        <v>1.67</v>
      </c>
      <c r="K34" s="416">
        <f t="shared" si="15"/>
        <v>0.85017405200500473</v>
      </c>
      <c r="L34" s="554">
        <f>Passby_Length_Adj!H29</f>
        <v>1</v>
      </c>
      <c r="M34" s="554">
        <f>Passby_Length_Adj!J29</f>
        <v>1</v>
      </c>
      <c r="N34" s="416">
        <v>0.5</v>
      </c>
      <c r="O34" s="546">
        <f t="shared" si="16"/>
        <v>0.5</v>
      </c>
      <c r="P34" s="555">
        <f t="shared" si="17"/>
        <v>50.304409733165336</v>
      </c>
      <c r="Q34" s="556">
        <f t="shared" si="5"/>
        <v>30.122401037823558</v>
      </c>
      <c r="R34" s="557">
        <f t="shared" si="18"/>
        <v>261.71052631578948</v>
      </c>
      <c r="S34" s="582">
        <f t="shared" si="19"/>
        <v>7883.3494295040864</v>
      </c>
      <c r="T34" s="555">
        <f t="shared" si="20"/>
        <v>3.8480421664926592</v>
      </c>
      <c r="U34" s="559">
        <f t="shared" si="21"/>
        <v>405.42115030277023</v>
      </c>
      <c r="V34" s="582">
        <f t="shared" si="22"/>
        <v>1560.077681553018</v>
      </c>
      <c r="W34" s="555">
        <f t="shared" si="23"/>
        <v>1.7717352207156025</v>
      </c>
      <c r="X34" s="559">
        <f t="shared" si="24"/>
        <v>37.9060089869281</v>
      </c>
      <c r="Y34" s="582">
        <f t="shared" si="25"/>
        <v>67.159411198902674</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8628.9562536807098</v>
      </c>
      <c r="I35" s="553">
        <f>ITECountywide!$B$9*E35</f>
        <v>14.192505509115339</v>
      </c>
      <c r="J35" s="562">
        <f t="shared" si="14"/>
        <v>1.67</v>
      </c>
      <c r="K35" s="416">
        <f t="shared" si="15"/>
        <v>0.85017405200500473</v>
      </c>
      <c r="L35" s="554">
        <f>Passby_Length_Adj!H30</f>
        <v>1</v>
      </c>
      <c r="M35" s="554">
        <f>Passby_Length_Adj!J30</f>
        <v>1</v>
      </c>
      <c r="N35" s="416">
        <v>0.5</v>
      </c>
      <c r="O35" s="546">
        <f t="shared" si="16"/>
        <v>0.5</v>
      </c>
      <c r="P35" s="555">
        <f t="shared" si="17"/>
        <v>45.641196779917102</v>
      </c>
      <c r="Q35" s="556">
        <f t="shared" si="5"/>
        <v>27.330057952046172</v>
      </c>
      <c r="R35" s="561">
        <f t="shared" si="18"/>
        <v>261.71052631578948</v>
      </c>
      <c r="S35" s="582">
        <f t="shared" si="19"/>
        <v>7152.5638508710308</v>
      </c>
      <c r="T35" s="555">
        <f t="shared" si="20"/>
        <v>3.4913291035501177</v>
      </c>
      <c r="U35" s="559">
        <f t="shared" si="21"/>
        <v>405.42115030277023</v>
      </c>
      <c r="V35" s="582">
        <f t="shared" si="22"/>
        <v>1415.4586612468283</v>
      </c>
      <c r="W35" s="555">
        <f t="shared" si="23"/>
        <v>1.6074955710548284</v>
      </c>
      <c r="X35" s="559">
        <f t="shared" si="24"/>
        <v>37.9060089869281</v>
      </c>
      <c r="Y35" s="582">
        <f t="shared" si="25"/>
        <v>60.933741562851445</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9213.0363066118443</v>
      </c>
      <c r="I37" s="553">
        <f>ITECountywide!$B$9*E37</f>
        <v>15.153173187254691</v>
      </c>
      <c r="J37" s="562">
        <f>IF(F37="Prod",$M$3,$M$4)</f>
        <v>1.67</v>
      </c>
      <c r="K37" s="416">
        <f>IF(F37="Prod",$F$4,$F$5)</f>
        <v>0.85017405200500473</v>
      </c>
      <c r="L37" s="554">
        <f>Passby_Length_Adj!H32</f>
        <v>1</v>
      </c>
      <c r="M37" s="554">
        <f>Passby_Length_Adj!J32</f>
        <v>1</v>
      </c>
      <c r="N37" s="416">
        <v>0.5</v>
      </c>
      <c r="O37" s="546">
        <f>L37*M37*N37</f>
        <v>0.5</v>
      </c>
      <c r="P37" s="555">
        <f>IF($F37="Prod",$I37*$O37*$F$4*$F$6,$I37*O37*$F$5*$F$7)</f>
        <v>48.730575361444053</v>
      </c>
      <c r="Q37" s="556">
        <f t="shared" si="5"/>
        <v>29.179985246373686</v>
      </c>
      <c r="R37" s="561">
        <f>$Q$4</f>
        <v>261.71052631578948</v>
      </c>
      <c r="S37" s="582">
        <f>Q37*R37</f>
        <v>7636.7092967154294</v>
      </c>
      <c r="T37" s="555">
        <f>IF($F37="Prod",$I37*$O37*$G$4*$G$6,$I37*$O37*$G$5*$G$7)</f>
        <v>3.7276515077495516</v>
      </c>
      <c r="U37" s="559">
        <f>+$R$4</f>
        <v>405.42115030277023</v>
      </c>
      <c r="V37" s="582">
        <f>+T37*U37</f>
        <v>1511.268762199679</v>
      </c>
      <c r="W37" s="555">
        <f>IF($F37="Prod",$I37*$O37*$J$4*$J$6,$I37*$O37*$J$5*$J$7)</f>
        <v>1.7163043389550914</v>
      </c>
      <c r="X37" s="559">
        <f>+$S$4</f>
        <v>37.9060089869281</v>
      </c>
      <c r="Y37" s="582">
        <f>+W37*X37</f>
        <v>65.058247696735393</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4915.0887473072753</v>
      </c>
      <c r="I38" s="553">
        <f>ITECountywide!$B$9*E38</f>
        <v>8.0841091405688896</v>
      </c>
      <c r="J38" s="562">
        <f>IF(F38="Prod",$M$3,$M$4)</f>
        <v>1.67</v>
      </c>
      <c r="K38" s="416">
        <f>IF(F38="Prod",$F$4,$F$5)</f>
        <v>0.85017405200500473</v>
      </c>
      <c r="L38" s="554">
        <f>Passby_Length_Adj!H33</f>
        <v>1</v>
      </c>
      <c r="M38" s="554">
        <f>Passby_Length_Adj!J33</f>
        <v>1</v>
      </c>
      <c r="N38" s="416">
        <v>0.5</v>
      </c>
      <c r="O38" s="546">
        <f>L38*M38*N38</f>
        <v>0.5</v>
      </c>
      <c r="P38" s="555">
        <f>IF($F38="Prod",$I38*$O38*$F$4*$F$6,$I38*O38*$F$5*$F$7)</f>
        <v>25.99741221435891</v>
      </c>
      <c r="Q38" s="556">
        <f t="shared" si="5"/>
        <v>15.567312703208929</v>
      </c>
      <c r="R38" s="561">
        <f>$Q$4</f>
        <v>261.71052631578948</v>
      </c>
      <c r="S38" s="582">
        <f>Q38*R38</f>
        <v>4074.1296008792842</v>
      </c>
      <c r="T38" s="555">
        <f>IF($F38="Prod",$I38*$O38*$G$4*$G$6,$I38*$O38*$G$5*$G$7)</f>
        <v>1.9886753259046648</v>
      </c>
      <c r="U38" s="559">
        <f>+$R$4</f>
        <v>405.42115030277023</v>
      </c>
      <c r="V38" s="582">
        <f>+T38*U38</f>
        <v>806.25103820700565</v>
      </c>
      <c r="W38" s="555">
        <f>IF($F38="Prod",$I38*$O38*$J$4*$J$6,$I38*$O38*$J$5*$J$7)</f>
        <v>0.9156360468588165</v>
      </c>
      <c r="X38" s="559">
        <f>+$S$4</f>
        <v>37.9060089869281</v>
      </c>
      <c r="Y38" s="582">
        <f>+W38*X38</f>
        <v>34.708108220985615</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3691.8267496590524</v>
      </c>
      <c r="I39" s="553">
        <f>ITECountywide!$B$9*E39</f>
        <v>6.0721447580506238</v>
      </c>
      <c r="J39" s="562">
        <f>IF(F39="Prod",$M$3,$M$4)</f>
        <v>1.67</v>
      </c>
      <c r="K39" s="416">
        <f>IF(F39="Prod",$F$4,$F$5)</f>
        <v>0.85017405200500473</v>
      </c>
      <c r="L39" s="554">
        <f>Passby_Length_Adj!H34</f>
        <v>1</v>
      </c>
      <c r="M39" s="554">
        <f>Passby_Length_Adj!J34</f>
        <v>1</v>
      </c>
      <c r="N39" s="416">
        <v>0.5</v>
      </c>
      <c r="O39" s="546">
        <f>L39*M39*N39</f>
        <v>0.5</v>
      </c>
      <c r="P39" s="555">
        <f>IF($F39="Prod",$I39*$O39*$F$4*$F$6,$I39*O39*$F$5*$F$7)</f>
        <v>19.527204241726984</v>
      </c>
      <c r="Q39" s="556">
        <f t="shared" si="5"/>
        <v>11.692936671692806</v>
      </c>
      <c r="R39" s="561">
        <f>$Q$4</f>
        <v>261.71052631578948</v>
      </c>
      <c r="S39" s="582">
        <f>Q39*R39</f>
        <v>3060.1646105259201</v>
      </c>
      <c r="T39" s="555">
        <f>IF($F39="Prod",$I39*$O39*$G$4*$G$6,$I39*$O39*$G$5*$G$7)</f>
        <v>1.4937359510718895</v>
      </c>
      <c r="U39" s="559">
        <f>+$R$4</f>
        <v>405.42115030277023</v>
      </c>
      <c r="V39" s="582">
        <f>+T39*U39</f>
        <v>605.59214753216793</v>
      </c>
      <c r="W39" s="555">
        <f>IF($F39="Prod",$I39*$O39*$J$4*$J$6,$I39*$O39*$J$5*$J$7)</f>
        <v>0.68775353295449237</v>
      </c>
      <c r="X39" s="559">
        <f>+$S$4</f>
        <v>37.9060089869281</v>
      </c>
      <c r="Y39" s="582">
        <f>+W39*X39</f>
        <v>26.069991600964538</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4430.1920995908631</v>
      </c>
      <c r="I40" s="553">
        <f>ITECountywide!$B$9*E40</f>
        <v>7.2865737096607477</v>
      </c>
      <c r="J40" s="562">
        <f>IF(F40="Prod",$M$3,$M$4)</f>
        <v>1.67</v>
      </c>
      <c r="K40" s="416">
        <f>IF(F40="Prod",$F$4,$F$5)</f>
        <v>0.85017405200500473</v>
      </c>
      <c r="L40" s="554">
        <f>Passby_Length_Adj!H35</f>
        <v>1</v>
      </c>
      <c r="M40" s="554">
        <f>Passby_Length_Adj!J35</f>
        <v>1</v>
      </c>
      <c r="N40" s="416">
        <v>0.5</v>
      </c>
      <c r="O40" s="546">
        <f>L40*M40*N40</f>
        <v>0.5</v>
      </c>
      <c r="P40" s="555">
        <f>IF($F40="Prod",$I40*$O40*$F$4*$F$6,$I40*O40*$F$5*$F$7)</f>
        <v>23.432645090072381</v>
      </c>
      <c r="Q40" s="556">
        <f t="shared" si="5"/>
        <v>14.031524006031367</v>
      </c>
      <c r="R40" s="561">
        <f>$Q$4</f>
        <v>261.71052631578948</v>
      </c>
      <c r="S40" s="582">
        <f>Q40*R40</f>
        <v>3672.197532631104</v>
      </c>
      <c r="T40" s="555">
        <f>IF($F40="Prod",$I40*$O40*$G$4*$G$6,$I40*$O40*$G$5*$G$7)</f>
        <v>1.7924831412862676</v>
      </c>
      <c r="U40" s="559">
        <f>+$R$4</f>
        <v>405.42115030277023</v>
      </c>
      <c r="V40" s="582">
        <f>+T40*U40</f>
        <v>726.71057703860163</v>
      </c>
      <c r="W40" s="555">
        <f>IF($F40="Prod",$I40*$O40*$J$4*$J$6,$I40*$O40*$J$5*$J$7)</f>
        <v>0.82530423954539078</v>
      </c>
      <c r="X40" s="559">
        <f>+$S$4</f>
        <v>37.9060089869281</v>
      </c>
      <c r="Y40" s="582">
        <f>+W40*X40</f>
        <v>31.283989921157445</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1165.1202994582511</v>
      </c>
      <c r="I42" s="553">
        <f>ITECountywide!$B$9*E42</f>
        <v>4.368319064746867</v>
      </c>
      <c r="J42" s="562">
        <f t="shared" ref="J42:J50" si="26">IF(F42="Prod",$M$3,$M$4)</f>
        <v>1.67</v>
      </c>
      <c r="K42" s="416">
        <f t="shared" ref="K42:K50" si="27">IF(F42="Prod",$F$4,$F$5)</f>
        <v>0.85014347095642351</v>
      </c>
      <c r="L42" s="554">
        <f>Passby_Length_Adj!H37</f>
        <v>0.4404979999697734</v>
      </c>
      <c r="M42" s="554">
        <f>Passby_Length_Adj!J37</f>
        <v>1</v>
      </c>
      <c r="N42" s="416">
        <v>0.5</v>
      </c>
      <c r="O42" s="546">
        <f t="shared" ref="O42:O50" si="28">L42*M42*N42</f>
        <v>0.2202489999848867</v>
      </c>
      <c r="P42" s="555">
        <f t="shared" ref="P42:P50" si="29">IF($F42="Prod",$I42*$O42*$F$4*$F$6,$I42*O42*$F$5*$F$7)</f>
        <v>6.1655372713341583</v>
      </c>
      <c r="Q42" s="556">
        <f t="shared" si="5"/>
        <v>3.6919384858288375</v>
      </c>
      <c r="R42" s="557">
        <f t="shared" ref="R42:R50" si="30">$Q$4</f>
        <v>261.71052631578948</v>
      </c>
      <c r="S42" s="582">
        <f t="shared" ref="S42:S104" si="31">Q42*R42</f>
        <v>966.21916425178392</v>
      </c>
      <c r="T42" s="555">
        <f t="shared" ref="T42:T50" si="32">IF($F42="Prod",$I42*$O42*$G$4*$G$6,$I42*$O42*$G$5*$G$7)</f>
        <v>0.47028334956452089</v>
      </c>
      <c r="U42" s="559">
        <f t="shared" ref="U42:U50" si="33">+$R$4</f>
        <v>405.42115030277023</v>
      </c>
      <c r="V42" s="583">
        <f t="shared" ref="V42:V50" si="34">+T42*U42</f>
        <v>190.66281654868786</v>
      </c>
      <c r="W42" s="555">
        <f t="shared" ref="W42:W50" si="35">IF($F42="Prod",$I42*$O42*$J$4*$J$6,$I42*$O42*$J$5*$J$7)</f>
        <v>0.21733542723055313</v>
      </c>
      <c r="X42" s="563">
        <f t="shared" ref="X42:X50" si="36">+$S$4</f>
        <v>37.9060089869281</v>
      </c>
      <c r="Y42" s="583">
        <f t="shared" ref="Y42:Y50" si="37">+W42*X42</f>
        <v>8.2383186577792049</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14687.284106863759</v>
      </c>
      <c r="I43" s="553">
        <f>ITECountywide!$B$9*E43</f>
        <v>55.066196343157593</v>
      </c>
      <c r="J43" s="562">
        <f t="shared" si="26"/>
        <v>1.67</v>
      </c>
      <c r="K43" s="416">
        <f t="shared" si="27"/>
        <v>0.85014347095642351</v>
      </c>
      <c r="L43" s="554">
        <f>Passby_Length_Adj!H38</f>
        <v>0.4404979999697734</v>
      </c>
      <c r="M43" s="554">
        <f>Passby_Length_Adj!J38</f>
        <v>1</v>
      </c>
      <c r="N43" s="416">
        <v>0.5</v>
      </c>
      <c r="O43" s="546">
        <f t="shared" si="28"/>
        <v>0.2202489999848867</v>
      </c>
      <c r="P43" s="555">
        <f t="shared" si="29"/>
        <v>77.721586017896968</v>
      </c>
      <c r="Q43" s="556">
        <f t="shared" si="5"/>
        <v>46.539871867004173</v>
      </c>
      <c r="R43" s="557">
        <f t="shared" si="30"/>
        <v>261.71052631578948</v>
      </c>
      <c r="S43" s="582">
        <f t="shared" si="31"/>
        <v>12179.974360983066</v>
      </c>
      <c r="T43" s="555">
        <f t="shared" si="32"/>
        <v>5.9283021409834618</v>
      </c>
      <c r="U43" s="559">
        <f t="shared" si="33"/>
        <v>405.42115030277023</v>
      </c>
      <c r="V43" s="583">
        <f t="shared" si="34"/>
        <v>2403.4590733398904</v>
      </c>
      <c r="W43" s="555">
        <f t="shared" si="35"/>
        <v>2.739688912557761</v>
      </c>
      <c r="X43" s="563">
        <f t="shared" si="36"/>
        <v>37.9060089869281</v>
      </c>
      <c r="Y43" s="583">
        <f t="shared" si="37"/>
        <v>103.85067254080177</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37752.798416885817</v>
      </c>
      <c r="I44" s="553">
        <f>ITECountywide!$B$9*E44</f>
        <v>141.54441318094723</v>
      </c>
      <c r="J44" s="562">
        <f t="shared" si="26"/>
        <v>1.67</v>
      </c>
      <c r="K44" s="416">
        <f t="shared" si="27"/>
        <v>0.85014347095642351</v>
      </c>
      <c r="L44" s="554">
        <f>Passby_Length_Adj!H39</f>
        <v>0.4404979999697734</v>
      </c>
      <c r="M44" s="554">
        <f>Passby_Length_Adj!J39</f>
        <v>1</v>
      </c>
      <c r="N44" s="416">
        <v>0.5</v>
      </c>
      <c r="O44" s="546">
        <f t="shared" si="28"/>
        <v>0.2202489999848867</v>
      </c>
      <c r="P44" s="555">
        <f t="shared" si="29"/>
        <v>199.77875747654957</v>
      </c>
      <c r="Q44" s="556">
        <f t="shared" si="5"/>
        <v>119.62799848895185</v>
      </c>
      <c r="R44" s="557">
        <f t="shared" si="30"/>
        <v>261.71052631578948</v>
      </c>
      <c r="S44" s="582">
        <f t="shared" si="31"/>
        <v>31307.906446648056</v>
      </c>
      <c r="T44" s="555">
        <f t="shared" si="32"/>
        <v>15.238351355806403</v>
      </c>
      <c r="U44" s="559">
        <f t="shared" si="33"/>
        <v>405.42115030277023</v>
      </c>
      <c r="V44" s="582">
        <f t="shared" si="34"/>
        <v>6177.9499353888104</v>
      </c>
      <c r="W44" s="555">
        <f t="shared" si="35"/>
        <v>7.0422089263211181</v>
      </c>
      <c r="X44" s="559">
        <f t="shared" si="36"/>
        <v>37.9060089869281</v>
      </c>
      <c r="Y44" s="582">
        <f t="shared" si="37"/>
        <v>266.9420348489536</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106359.52941112664</v>
      </c>
      <c r="I45" s="553">
        <f>ITECountywide!$B$9*E45</f>
        <v>398.76771545407081</v>
      </c>
      <c r="J45" s="562">
        <f t="shared" si="26"/>
        <v>1.67</v>
      </c>
      <c r="K45" s="416">
        <f t="shared" si="27"/>
        <v>0.85014347095642351</v>
      </c>
      <c r="L45" s="554">
        <f>Passby_Length_Adj!H40</f>
        <v>0.4404979999697734</v>
      </c>
      <c r="M45" s="554">
        <f>Passby_Length_Adj!J40</f>
        <v>1</v>
      </c>
      <c r="N45" s="416">
        <v>0.5</v>
      </c>
      <c r="O45" s="546">
        <f t="shared" si="28"/>
        <v>0.2202489999848867</v>
      </c>
      <c r="P45" s="555">
        <f t="shared" si="29"/>
        <v>562.82912850353307</v>
      </c>
      <c r="Q45" s="556">
        <f t="shared" si="5"/>
        <v>337.02343024163656</v>
      </c>
      <c r="R45" s="557">
        <f t="shared" si="30"/>
        <v>261.71052631578948</v>
      </c>
      <c r="S45" s="582">
        <f t="shared" si="31"/>
        <v>88202.579309291468</v>
      </c>
      <c r="T45" s="555">
        <f t="shared" si="32"/>
        <v>42.930430250703147</v>
      </c>
      <c r="U45" s="559">
        <f t="shared" si="33"/>
        <v>405.42115030277023</v>
      </c>
      <c r="V45" s="583">
        <f t="shared" si="34"/>
        <v>17404.904415232915</v>
      </c>
      <c r="W45" s="555">
        <f t="shared" si="35"/>
        <v>19.83974854386792</v>
      </c>
      <c r="X45" s="563">
        <f t="shared" si="36"/>
        <v>37.9060089869281</v>
      </c>
      <c r="Y45" s="583">
        <f t="shared" si="37"/>
        <v>752.04568660225107</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25821.193026583056</v>
      </c>
      <c r="I46" s="553">
        <f>ITECountywide!$B$9*E46</f>
        <v>96.80992582909964</v>
      </c>
      <c r="J46" s="562">
        <f t="shared" si="26"/>
        <v>1.67</v>
      </c>
      <c r="K46" s="416">
        <f t="shared" si="27"/>
        <v>0.85014347095642351</v>
      </c>
      <c r="L46" s="554">
        <f>Passby_Length_Adj!H41</f>
        <v>0.4404979999697734</v>
      </c>
      <c r="M46" s="554">
        <f>Passby_Length_Adj!J41</f>
        <v>1</v>
      </c>
      <c r="N46" s="416">
        <v>0.5</v>
      </c>
      <c r="O46" s="546">
        <f t="shared" si="28"/>
        <v>0.2202489999848867</v>
      </c>
      <c r="P46" s="555">
        <f t="shared" si="29"/>
        <v>136.639562515335</v>
      </c>
      <c r="Q46" s="556">
        <f t="shared" si="5"/>
        <v>81.820097314571854</v>
      </c>
      <c r="R46" s="557">
        <f t="shared" si="30"/>
        <v>261.71052631578948</v>
      </c>
      <c r="S46" s="582">
        <f t="shared" si="31"/>
        <v>21413.180731405711</v>
      </c>
      <c r="T46" s="555">
        <f t="shared" si="32"/>
        <v>10.422337634954797</v>
      </c>
      <c r="U46" s="559">
        <f t="shared" si="33"/>
        <v>405.42115030277023</v>
      </c>
      <c r="V46" s="583">
        <f t="shared" si="34"/>
        <v>4225.4361128072278</v>
      </c>
      <c r="W46" s="555">
        <f t="shared" si="35"/>
        <v>4.8165498623999348</v>
      </c>
      <c r="X46" s="563">
        <f t="shared" si="36"/>
        <v>37.9060089869281</v>
      </c>
      <c r="Y46" s="583">
        <f t="shared" si="37"/>
        <v>182.57618237011923</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14658.276962478909</v>
      </c>
      <c r="I47" s="553">
        <f>ITECountywide!$B$9*E47</f>
        <v>54.957441511670126</v>
      </c>
      <c r="J47" s="562">
        <f t="shared" si="26"/>
        <v>1.67</v>
      </c>
      <c r="K47" s="416">
        <f t="shared" si="27"/>
        <v>0.85014347095642351</v>
      </c>
      <c r="L47" s="554">
        <f>Passby_Length_Adj!H42</f>
        <v>0.4404979999697734</v>
      </c>
      <c r="M47" s="554">
        <f>Passby_Length_Adj!J42</f>
        <v>1</v>
      </c>
      <c r="N47" s="416">
        <v>0.5</v>
      </c>
      <c r="O47" s="546">
        <f t="shared" si="28"/>
        <v>0.2202489999848867</v>
      </c>
      <c r="P47" s="555">
        <f t="shared" si="29"/>
        <v>77.568087164668739</v>
      </c>
      <c r="Q47" s="556">
        <f t="shared" si="5"/>
        <v>46.44795638602919</v>
      </c>
      <c r="R47" s="557">
        <f t="shared" si="30"/>
        <v>261.71052631578948</v>
      </c>
      <c r="S47" s="582">
        <f t="shared" si="31"/>
        <v>12155.919112080535</v>
      </c>
      <c r="T47" s="555">
        <f t="shared" si="32"/>
        <v>5.916593841824179</v>
      </c>
      <c r="U47" s="559">
        <f t="shared" si="33"/>
        <v>405.42115030277023</v>
      </c>
      <c r="V47" s="583">
        <f t="shared" si="34"/>
        <v>2398.7122812266452</v>
      </c>
      <c r="W47" s="555">
        <f t="shared" si="35"/>
        <v>2.7342780720457971</v>
      </c>
      <c r="X47" s="563">
        <f t="shared" si="36"/>
        <v>37.9060089869281</v>
      </c>
      <c r="Y47" s="583">
        <f t="shared" si="37"/>
        <v>103.64556917172843</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18709.608128230007</v>
      </c>
      <c r="I48" s="553">
        <f>ITECountywide!$B$9*E48</f>
        <v>70.146866309420645</v>
      </c>
      <c r="J48" s="562">
        <f t="shared" si="26"/>
        <v>1.67</v>
      </c>
      <c r="K48" s="416">
        <f t="shared" si="27"/>
        <v>0.85014347095642351</v>
      </c>
      <c r="L48" s="554">
        <f>Passby_Length_Adj!H43</f>
        <v>0.4404979999697734</v>
      </c>
      <c r="M48" s="554">
        <f>Passby_Length_Adj!J43</f>
        <v>1</v>
      </c>
      <c r="N48" s="416">
        <v>0.5</v>
      </c>
      <c r="O48" s="546">
        <f t="shared" si="28"/>
        <v>0.2202489999848867</v>
      </c>
      <c r="P48" s="555">
        <f t="shared" si="29"/>
        <v>99.006760332212423</v>
      </c>
      <c r="Q48" s="556">
        <f t="shared" si="5"/>
        <v>59.285485228869717</v>
      </c>
      <c r="R48" s="557">
        <f t="shared" si="30"/>
        <v>261.71052631578948</v>
      </c>
      <c r="S48" s="582">
        <f t="shared" si="31"/>
        <v>15515.635542134456</v>
      </c>
      <c r="T48" s="555">
        <f t="shared" si="32"/>
        <v>7.551852957737327</v>
      </c>
      <c r="U48" s="559">
        <f t="shared" si="33"/>
        <v>405.42115030277023</v>
      </c>
      <c r="V48" s="583">
        <f t="shared" si="34"/>
        <v>3061.6809130432448</v>
      </c>
      <c r="W48" s="555">
        <f t="shared" si="35"/>
        <v>3.4899921302167662</v>
      </c>
      <c r="X48" s="563">
        <f t="shared" si="36"/>
        <v>37.9060089869281</v>
      </c>
      <c r="Y48" s="583">
        <f t="shared" si="37"/>
        <v>132.29167305230507</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1943.4786737851318</v>
      </c>
      <c r="I49" s="553">
        <f>ITECountywide!$B$9*E49</f>
        <v>7.2865737096607477</v>
      </c>
      <c r="J49" s="562">
        <f t="shared" si="26"/>
        <v>1.67</v>
      </c>
      <c r="K49" s="416">
        <f t="shared" si="27"/>
        <v>0.85014347095642351</v>
      </c>
      <c r="L49" s="554">
        <f>Passby_Length_Adj!H44</f>
        <v>0.4404979999697734</v>
      </c>
      <c r="M49" s="554">
        <f>Passby_Length_Adj!J44</f>
        <v>1</v>
      </c>
      <c r="N49" s="416">
        <v>0.5</v>
      </c>
      <c r="O49" s="546">
        <f t="shared" si="28"/>
        <v>0.2202489999848867</v>
      </c>
      <c r="P49" s="555">
        <f t="shared" si="29"/>
        <v>10.28442316629183</v>
      </c>
      <c r="Q49" s="556">
        <f t="shared" si="5"/>
        <v>6.1583372253244493</v>
      </c>
      <c r="R49" s="561">
        <f t="shared" si="30"/>
        <v>261.71052631578948</v>
      </c>
      <c r="S49" s="583">
        <f t="shared" si="31"/>
        <v>1611.7016764697803</v>
      </c>
      <c r="T49" s="555">
        <f t="shared" si="32"/>
        <v>0.78445604367193922</v>
      </c>
      <c r="U49" s="559">
        <f t="shared" si="33"/>
        <v>405.42115030277023</v>
      </c>
      <c r="V49" s="582">
        <f t="shared" si="34"/>
        <v>318.03507158743776</v>
      </c>
      <c r="W49" s="555">
        <f t="shared" si="35"/>
        <v>0.36252631430158649</v>
      </c>
      <c r="X49" s="559">
        <f t="shared" si="36"/>
        <v>37.9060089869281</v>
      </c>
      <c r="Y49" s="582">
        <f t="shared" si="37"/>
        <v>13.741925727913859</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13933.098352857587</v>
      </c>
      <c r="I50" s="553">
        <f>ITECountywide!$B$9*E50</f>
        <v>52.238570724483274</v>
      </c>
      <c r="J50" s="562">
        <f t="shared" si="26"/>
        <v>1.67</v>
      </c>
      <c r="K50" s="416">
        <f t="shared" si="27"/>
        <v>0.85014347095642351</v>
      </c>
      <c r="L50" s="554">
        <f>Passby_Length_Adj!H45</f>
        <v>0.4404979999697734</v>
      </c>
      <c r="M50" s="554">
        <f>Passby_Length_Adj!J45</f>
        <v>1</v>
      </c>
      <c r="N50" s="416">
        <v>0.5</v>
      </c>
      <c r="O50" s="546">
        <f t="shared" si="28"/>
        <v>0.2202489999848867</v>
      </c>
      <c r="P50" s="555">
        <f t="shared" si="29"/>
        <v>73.73061583396283</v>
      </c>
      <c r="Q50" s="556">
        <f t="shared" si="5"/>
        <v>44.150069361654388</v>
      </c>
      <c r="R50" s="561">
        <f t="shared" si="30"/>
        <v>261.71052631578948</v>
      </c>
      <c r="S50" s="583">
        <f t="shared" si="31"/>
        <v>11554.537889517182</v>
      </c>
      <c r="T50" s="555">
        <f t="shared" si="32"/>
        <v>5.6238863628421116</v>
      </c>
      <c r="U50" s="559">
        <f t="shared" si="33"/>
        <v>405.42115030277023</v>
      </c>
      <c r="V50" s="582">
        <f t="shared" si="34"/>
        <v>2280.0424783955114</v>
      </c>
      <c r="W50" s="555">
        <f t="shared" si="35"/>
        <v>2.5990070592466976</v>
      </c>
      <c r="X50" s="559">
        <f t="shared" si="36"/>
        <v>37.9060089869281</v>
      </c>
      <c r="Y50" s="582">
        <f t="shared" si="37"/>
        <v>98.517984944894891</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2074.3001062106064</v>
      </c>
      <c r="I52" s="553">
        <f>ITECountywide!$B$9*E52</f>
        <v>3.4257771918554263</v>
      </c>
      <c r="J52" s="562">
        <f t="shared" ref="J52:J60" si="38">IF(F52="Prod",$M$3,$M$4)</f>
        <v>1.67</v>
      </c>
      <c r="K52" s="416">
        <f t="shared" ref="K52:K60" si="39">IF(F52="Prod",$F$4,$F$5)</f>
        <v>0.85014347095642351</v>
      </c>
      <c r="L52" s="554">
        <f>Passby_Length_Adj!H47</f>
        <v>1</v>
      </c>
      <c r="M52" s="554">
        <f>Passby_Length_Adj!J47</f>
        <v>1</v>
      </c>
      <c r="N52" s="416">
        <v>0.5</v>
      </c>
      <c r="O52" s="546">
        <f t="shared" ref="O52:O60" si="40">L52*M52*N52</f>
        <v>0.5</v>
      </c>
      <c r="P52" s="555">
        <f t="shared" ref="P52:P60" si="41">IF($F52="Prod",$I52*$O52*$F$4*$F$6,$I52*O52*$F$5*$F$7)</f>
        <v>10.976698820474171</v>
      </c>
      <c r="Q52" s="556">
        <f t="shared" si="5"/>
        <v>6.5728735451941152</v>
      </c>
      <c r="R52" s="557">
        <f t="shared" ref="R52:R60" si="42">$Q$4</f>
        <v>261.71052631578948</v>
      </c>
      <c r="S52" s="582">
        <f t="shared" si="31"/>
        <v>1720.1901949198809</v>
      </c>
      <c r="T52" s="555">
        <f t="shared" ref="T52:T60" si="43">IF($F52="Prod",$I52*$O52*$G$4*$G$6,$I52*$O52*$G$5*$G$7)</f>
        <v>0.83726015451310065</v>
      </c>
      <c r="U52" s="563">
        <f t="shared" ref="U52:U60" si="44">+$R$4</f>
        <v>405.42115030277023</v>
      </c>
      <c r="V52" s="583">
        <f t="shared" ref="V52:V60" si="45">+T52*U52</f>
        <v>339.44297494537642</v>
      </c>
      <c r="W52" s="555">
        <f t="shared" ref="W52:W60" si="46">IF($F52="Prod",$I52*$O52*$J$4*$J$6,$I52*$O52*$J$5*$J$7)</f>
        <v>0.38692905788121817</v>
      </c>
      <c r="X52" s="563">
        <f t="shared" ref="X52:X60" si="47">+$S$4</f>
        <v>37.9060089869281</v>
      </c>
      <c r="Y52" s="583">
        <f t="shared" ref="Y52:Y60" si="48">+W52*X52</f>
        <v>14.666936345349079</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2227.9519659299103</v>
      </c>
      <c r="I53" s="553">
        <f>ITECountywide!$B$9*E53</f>
        <v>3.6795384653261984</v>
      </c>
      <c r="J53" s="562">
        <f t="shared" si="38"/>
        <v>1.67</v>
      </c>
      <c r="K53" s="416">
        <f t="shared" si="39"/>
        <v>0.85014347095642351</v>
      </c>
      <c r="L53" s="554">
        <f>Passby_Length_Adj!H48</f>
        <v>1</v>
      </c>
      <c r="M53" s="554">
        <f>Passby_Length_Adj!J48</f>
        <v>1</v>
      </c>
      <c r="N53" s="416">
        <v>0.5</v>
      </c>
      <c r="O53" s="546">
        <f t="shared" si="40"/>
        <v>0.5</v>
      </c>
      <c r="P53" s="555">
        <f t="shared" si="41"/>
        <v>11.789787621990776</v>
      </c>
      <c r="Q53" s="556">
        <f t="shared" si="5"/>
        <v>7.0597530670603454</v>
      </c>
      <c r="R53" s="557">
        <f t="shared" si="42"/>
        <v>261.71052631578948</v>
      </c>
      <c r="S53" s="582">
        <f t="shared" si="31"/>
        <v>1847.6116908398719</v>
      </c>
      <c r="T53" s="555">
        <f t="shared" si="43"/>
        <v>0.89927942521777471</v>
      </c>
      <c r="U53" s="563">
        <f t="shared" si="44"/>
        <v>405.42115030277023</v>
      </c>
      <c r="V53" s="583">
        <f t="shared" si="45"/>
        <v>364.58689901540424</v>
      </c>
      <c r="W53" s="555">
        <f t="shared" si="46"/>
        <v>0.41559046957612322</v>
      </c>
      <c r="X53" s="563">
        <f t="shared" si="47"/>
        <v>37.9060089869281</v>
      </c>
      <c r="Y53" s="583">
        <f t="shared" si="48"/>
        <v>15.753376074634197</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2320.4608247989745</v>
      </c>
      <c r="I54" s="553">
        <f>ITECountywide!$B$9*E54</f>
        <v>7.4497059568919601</v>
      </c>
      <c r="J54" s="562">
        <f t="shared" si="38"/>
        <v>1.67</v>
      </c>
      <c r="K54" s="416">
        <f t="shared" si="39"/>
        <v>0.85014347095642351</v>
      </c>
      <c r="L54" s="554">
        <f>Passby_Length_Adj!H49</f>
        <v>0.51442567196884992</v>
      </c>
      <c r="M54" s="554">
        <f>Passby_Length_Adj!J49</f>
        <v>1</v>
      </c>
      <c r="N54" s="416">
        <v>0.5</v>
      </c>
      <c r="O54" s="546">
        <f t="shared" si="40"/>
        <v>0.25721283598442496</v>
      </c>
      <c r="P54" s="555">
        <f t="shared" si="41"/>
        <v>12.279322322871888</v>
      </c>
      <c r="Q54" s="556">
        <f t="shared" si="5"/>
        <v>7.3528876184861609</v>
      </c>
      <c r="R54" s="557">
        <f t="shared" si="42"/>
        <v>261.71052631578948</v>
      </c>
      <c r="S54" s="582">
        <f t="shared" si="31"/>
        <v>1924.328088574865</v>
      </c>
      <c r="T54" s="555">
        <f t="shared" si="43"/>
        <v>0.93661923985628359</v>
      </c>
      <c r="U54" s="563">
        <f t="shared" si="44"/>
        <v>405.42115030277023</v>
      </c>
      <c r="V54" s="583">
        <f t="shared" si="45"/>
        <v>379.72524961824075</v>
      </c>
      <c r="W54" s="555">
        <f t="shared" si="46"/>
        <v>0.43284658671206833</v>
      </c>
      <c r="X54" s="563">
        <f t="shared" si="47"/>
        <v>37.9060089869281</v>
      </c>
      <c r="Y54" s="583">
        <f t="shared" si="48"/>
        <v>16.407486605868815</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1400.1807409979208</v>
      </c>
      <c r="I55" s="553">
        <f>ITECountywide!$B$9*E55</f>
        <v>4.4951997014822531</v>
      </c>
      <c r="J55" s="562">
        <f t="shared" si="38"/>
        <v>1.67</v>
      </c>
      <c r="K55" s="416">
        <f t="shared" si="39"/>
        <v>0.85014347095642351</v>
      </c>
      <c r="L55" s="554">
        <f>Passby_Length_Adj!H50</f>
        <v>0.51442567196884992</v>
      </c>
      <c r="M55" s="554">
        <f>Passby_Length_Adj!J50</f>
        <v>1</v>
      </c>
      <c r="N55" s="416">
        <v>0.5</v>
      </c>
      <c r="O55" s="546">
        <f t="shared" si="40"/>
        <v>0.25721283598442496</v>
      </c>
      <c r="P55" s="555">
        <f t="shared" si="41"/>
        <v>7.4094207690321836</v>
      </c>
      <c r="Q55" s="556">
        <f t="shared" si="5"/>
        <v>4.4367789036120859</v>
      </c>
      <c r="R55" s="557">
        <f t="shared" si="42"/>
        <v>261.71052631578948</v>
      </c>
      <c r="S55" s="582">
        <f t="shared" si="31"/>
        <v>1161.1517420111104</v>
      </c>
      <c r="T55" s="555">
        <f t="shared" si="43"/>
        <v>0.565161974414497</v>
      </c>
      <c r="U55" s="563">
        <f t="shared" si="44"/>
        <v>405.42115030277023</v>
      </c>
      <c r="V55" s="583">
        <f t="shared" si="45"/>
        <v>229.12861777451016</v>
      </c>
      <c r="W55" s="555">
        <f t="shared" si="46"/>
        <v>0.26118236862431371</v>
      </c>
      <c r="X55" s="563">
        <f t="shared" si="47"/>
        <v>37.9060089869281</v>
      </c>
      <c r="Y55" s="583">
        <f t="shared" si="48"/>
        <v>9.9003812123004025</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2030.3995748622344</v>
      </c>
      <c r="I56" s="553">
        <f>ITECountywide!$B$9*E56</f>
        <v>3.3532739708637775</v>
      </c>
      <c r="J56" s="562">
        <f t="shared" si="38"/>
        <v>1.67</v>
      </c>
      <c r="K56" s="416">
        <f t="shared" si="39"/>
        <v>0.85014347095642351</v>
      </c>
      <c r="L56" s="554">
        <f>Passby_Length_Adj!H51</f>
        <v>1</v>
      </c>
      <c r="M56" s="554">
        <f>Passby_Length_Adj!J51</f>
        <v>1</v>
      </c>
      <c r="N56" s="416">
        <v>0.5</v>
      </c>
      <c r="O56" s="546">
        <f t="shared" si="40"/>
        <v>0.5</v>
      </c>
      <c r="P56" s="555">
        <f t="shared" si="41"/>
        <v>10.744387734326573</v>
      </c>
      <c r="Q56" s="556">
        <f t="shared" si="5"/>
        <v>6.4337651103751936</v>
      </c>
      <c r="R56" s="557">
        <f t="shared" si="42"/>
        <v>261.71052631578948</v>
      </c>
      <c r="S56" s="582">
        <f t="shared" si="31"/>
        <v>1683.7840532284554</v>
      </c>
      <c r="T56" s="555">
        <f t="shared" si="43"/>
        <v>0.81954036288319387</v>
      </c>
      <c r="U56" s="563">
        <f t="shared" si="44"/>
        <v>405.42115030277023</v>
      </c>
      <c r="V56" s="583">
        <f t="shared" si="45"/>
        <v>332.25899663965419</v>
      </c>
      <c r="W56" s="555">
        <f t="shared" si="46"/>
        <v>0.37874008311124541</v>
      </c>
      <c r="X56" s="563">
        <f t="shared" si="47"/>
        <v>37.9060089869281</v>
      </c>
      <c r="Y56" s="583">
        <f t="shared" si="48"/>
        <v>14.356524994124763</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649.27735973693927</v>
      </c>
      <c r="I57" s="553">
        <f>ITECountywide!$B$9*E57</f>
        <v>2.0844676035099154</v>
      </c>
      <c r="J57" s="562">
        <f t="shared" si="38"/>
        <v>1.67</v>
      </c>
      <c r="K57" s="416">
        <f t="shared" si="39"/>
        <v>0.85014347095642351</v>
      </c>
      <c r="L57" s="554">
        <f>Passby_Length_Adj!H52</f>
        <v>0.51442567196884992</v>
      </c>
      <c r="M57" s="554">
        <f>Passby_Length_Adj!J52</f>
        <v>1</v>
      </c>
      <c r="N57" s="416">
        <v>0.5</v>
      </c>
      <c r="O57" s="546">
        <f t="shared" si="40"/>
        <v>0.25721283598442496</v>
      </c>
      <c r="P57" s="555">
        <f t="shared" si="41"/>
        <v>3.4358201146721816</v>
      </c>
      <c r="Q57" s="556">
        <f t="shared" si="5"/>
        <v>2.0573773141749592</v>
      </c>
      <c r="R57" s="557">
        <f t="shared" si="42"/>
        <v>261.71052631578948</v>
      </c>
      <c r="S57" s="582">
        <f t="shared" si="31"/>
        <v>538.43729972289395</v>
      </c>
      <c r="T57" s="555">
        <f t="shared" si="43"/>
        <v>0.26207107684543213</v>
      </c>
      <c r="U57" s="563">
        <f t="shared" si="44"/>
        <v>405.42115030277023</v>
      </c>
      <c r="V57" s="583">
        <f t="shared" si="45"/>
        <v>106.24915743576078</v>
      </c>
      <c r="W57" s="555">
        <f t="shared" si="46"/>
        <v>0.12111279190240351</v>
      </c>
      <c r="X57" s="563">
        <f t="shared" si="47"/>
        <v>37.9060089869281</v>
      </c>
      <c r="Y57" s="583">
        <f t="shared" si="48"/>
        <v>4.5909025782844601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880.75885320836971</v>
      </c>
      <c r="I58" s="553">
        <f>ITECountywide!$B$9*E58</f>
        <v>2.8276256186743205</v>
      </c>
      <c r="J58" s="562">
        <f t="shared" si="38"/>
        <v>1.67</v>
      </c>
      <c r="K58" s="416">
        <f t="shared" si="39"/>
        <v>0.85014347095642351</v>
      </c>
      <c r="L58" s="554">
        <f>Passby_Length_Adj!H53</f>
        <v>0.51442567196884992</v>
      </c>
      <c r="M58" s="554">
        <f>Passby_Length_Adj!J53</f>
        <v>1</v>
      </c>
      <c r="N58" s="416">
        <v>0.5</v>
      </c>
      <c r="O58" s="546">
        <f t="shared" si="40"/>
        <v>0.25721283598442496</v>
      </c>
      <c r="P58" s="555">
        <f t="shared" si="41"/>
        <v>4.6607646772944387</v>
      </c>
      <c r="Q58" s="556">
        <f t="shared" si="5"/>
        <v>2.7908770522721191</v>
      </c>
      <c r="R58" s="557">
        <f t="shared" si="42"/>
        <v>261.71052631578948</v>
      </c>
      <c r="S58" s="582">
        <f t="shared" si="31"/>
        <v>730.40190223279535</v>
      </c>
      <c r="T58" s="555">
        <f t="shared" si="43"/>
        <v>0.3555051129381514</v>
      </c>
      <c r="U58" s="563">
        <f t="shared" si="44"/>
        <v>405.42115030277023</v>
      </c>
      <c r="V58" s="583">
        <f t="shared" si="45"/>
        <v>144.12929182590159</v>
      </c>
      <c r="W58" s="555">
        <f t="shared" si="46"/>
        <v>0.16429213510239088</v>
      </c>
      <c r="X58" s="563">
        <f t="shared" si="47"/>
        <v>37.9060089869281</v>
      </c>
      <c r="Y58" s="583">
        <f t="shared" si="48"/>
        <v>6.2276591496728342</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3325.6948275401332</v>
      </c>
      <c r="I59" s="553">
        <f>ITECountywide!$B$9*E59</f>
        <v>12.597434647299055</v>
      </c>
      <c r="J59" s="562">
        <f t="shared" si="38"/>
        <v>1.67</v>
      </c>
      <c r="K59" s="416">
        <f t="shared" si="39"/>
        <v>0.85014347095642351</v>
      </c>
      <c r="L59" s="554">
        <f>Passby_Length_Adj!H54</f>
        <v>0.4360013208727776</v>
      </c>
      <c r="M59" s="554">
        <f>Passby_Length_Adj!J54</f>
        <v>1</v>
      </c>
      <c r="N59" s="416">
        <v>0.5</v>
      </c>
      <c r="O59" s="546">
        <f t="shared" si="40"/>
        <v>0.2180006604363888</v>
      </c>
      <c r="P59" s="555">
        <f t="shared" si="41"/>
        <v>17.598779646887998</v>
      </c>
      <c r="Q59" s="556">
        <f t="shared" si="5"/>
        <v>10.538191405322154</v>
      </c>
      <c r="R59" s="557">
        <f t="shared" si="42"/>
        <v>261.71052631578948</v>
      </c>
      <c r="S59" s="582">
        <f t="shared" si="31"/>
        <v>2757.9556191033903</v>
      </c>
      <c r="T59" s="555">
        <f t="shared" si="43"/>
        <v>1.3423668816449268</v>
      </c>
      <c r="U59" s="559">
        <f t="shared" si="44"/>
        <v>405.42115030277023</v>
      </c>
      <c r="V59" s="582">
        <f t="shared" si="45"/>
        <v>544.22392528482885</v>
      </c>
      <c r="W59" s="555">
        <f t="shared" si="46"/>
        <v>0.62035766308247642</v>
      </c>
      <c r="X59" s="559">
        <f t="shared" si="47"/>
        <v>37.9060089869281</v>
      </c>
      <c r="Y59" s="582">
        <f t="shared" si="48"/>
        <v>23.515283151914065</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52263.58257023761</v>
      </c>
      <c r="I60" s="553">
        <f>ITECountywide!$B$9*E60</f>
        <v>86.315084590558413</v>
      </c>
      <c r="J60" s="562">
        <f t="shared" si="38"/>
        <v>1.67</v>
      </c>
      <c r="K60" s="416">
        <f t="shared" si="39"/>
        <v>0.85014347095642351</v>
      </c>
      <c r="L60" s="554">
        <f>Passby_Length_Adj!H55</f>
        <v>1</v>
      </c>
      <c r="M60" s="554">
        <f>Passby_Length_Adj!J55</f>
        <v>1</v>
      </c>
      <c r="N60" s="416">
        <v>0.5</v>
      </c>
      <c r="O60" s="546">
        <f t="shared" si="40"/>
        <v>0.5</v>
      </c>
      <c r="P60" s="555">
        <f t="shared" si="41"/>
        <v>276.5663480587196</v>
      </c>
      <c r="Q60" s="556">
        <f t="shared" si="5"/>
        <v>165.60859165192792</v>
      </c>
      <c r="R60" s="561">
        <f t="shared" si="42"/>
        <v>261.71052631578948</v>
      </c>
      <c r="S60" s="583">
        <f t="shared" si="31"/>
        <v>43341.511683642719</v>
      </c>
      <c r="T60" s="555">
        <f t="shared" si="43"/>
        <v>21.095411935404154</v>
      </c>
      <c r="U60" s="559">
        <f t="shared" si="44"/>
        <v>405.42115030277023</v>
      </c>
      <c r="V60" s="582">
        <f t="shared" si="45"/>
        <v>8552.5261729623398</v>
      </c>
      <c r="W60" s="555">
        <f t="shared" si="46"/>
        <v>9.7489744636527043</v>
      </c>
      <c r="X60" s="559">
        <f t="shared" si="47"/>
        <v>37.9060089869281</v>
      </c>
      <c r="Y60" s="582">
        <f t="shared" si="48"/>
        <v>369.54471363255198</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11765.342401363861</v>
      </c>
      <c r="I62" s="553">
        <f>ITECountywide!$B$9*E62</f>
        <v>19.430863225761996</v>
      </c>
      <c r="J62" s="562">
        <f>IF(F62="Prod",$M$3,$M$4)</f>
        <v>1.67</v>
      </c>
      <c r="K62" s="416">
        <f>IF(F62="Prod",$F$4,$F$5)</f>
        <v>0.85014347095642351</v>
      </c>
      <c r="L62" s="554">
        <f>Passby_Length_Adj!H57</f>
        <v>1</v>
      </c>
      <c r="M62" s="554">
        <f>Passby_Length_Adj!J57</f>
        <v>1</v>
      </c>
      <c r="N62" s="416">
        <v>0.5</v>
      </c>
      <c r="O62" s="546">
        <f>L62*M62*N62</f>
        <v>0.5</v>
      </c>
      <c r="P62" s="555">
        <f>IF($F62="Prod",$I62*$O62*$F$4*$F$6,$I62*O62*$F$5*$F$7)</f>
        <v>62.259371087557206</v>
      </c>
      <c r="Q62" s="556">
        <f t="shared" si="5"/>
        <v>37.281060531471383</v>
      </c>
      <c r="R62" s="557">
        <f>$Q$4</f>
        <v>261.71052631578948</v>
      </c>
      <c r="S62" s="582">
        <f t="shared" si="31"/>
        <v>9756.8459733021809</v>
      </c>
      <c r="T62" s="555">
        <f>IF($F62="Prod",$I62*$O62*$G$4*$G$6,$I62*$O62*$G$5*$G$7)</f>
        <v>4.7489041568150476</v>
      </c>
      <c r="U62" s="559">
        <f>+$R$4</f>
        <v>405.42115030277023</v>
      </c>
      <c r="V62" s="582">
        <f>+T62*U62</f>
        <v>1925.3061859335637</v>
      </c>
      <c r="W62" s="555">
        <f>IF($F62="Prod",$I62*$O62*$J$4*$J$6,$I62*$O62*$J$5*$J$7)</f>
        <v>2.19464523835273</v>
      </c>
      <c r="X62" s="559">
        <f>+$S$4</f>
        <v>37.9060089869281</v>
      </c>
      <c r="Y62" s="582">
        <f>+W62*X62</f>
        <v>83.190242128117546</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3358.390648150506</v>
      </c>
      <c r="I63" s="553">
        <f>ITECountywide!$B$9*E63</f>
        <v>5.5464964058611672</v>
      </c>
      <c r="J63" s="562">
        <f>IF(F63="Prod",$M$3,$M$4)</f>
        <v>1.67</v>
      </c>
      <c r="K63" s="416">
        <f>IF(F63="Prod",$F$4,$F$5)</f>
        <v>0.85014347095642351</v>
      </c>
      <c r="L63" s="554">
        <f>Passby_Length_Adj!H58</f>
        <v>1</v>
      </c>
      <c r="M63" s="554">
        <f>Passby_Length_Adj!J58</f>
        <v>1</v>
      </c>
      <c r="N63" s="416">
        <v>0.5</v>
      </c>
      <c r="O63" s="546">
        <f>L63*M63*N63</f>
        <v>0.5</v>
      </c>
      <c r="P63" s="555">
        <f>IF($F63="Prod",$I63*$O63*$F$4*$F$6,$I63*O63*$F$5*$F$7)</f>
        <v>17.771798090291519</v>
      </c>
      <c r="Q63" s="556">
        <f t="shared" si="5"/>
        <v>10.641795263647616</v>
      </c>
      <c r="R63" s="557">
        <f>$Q$4</f>
        <v>261.71052631578948</v>
      </c>
      <c r="S63" s="582">
        <f t="shared" si="31"/>
        <v>2785.0698393940934</v>
      </c>
      <c r="T63" s="555">
        <f>IF($F63="Prod",$I63*$O63*$G$4*$G$6,$I63*$O63*$G$5*$G$7)</f>
        <v>1.3555640596878775</v>
      </c>
      <c r="U63" s="563">
        <f>+$R$4</f>
        <v>405.42115030277023</v>
      </c>
      <c r="V63" s="583">
        <f>+T63*U63</f>
        <v>549.57434038775239</v>
      </c>
      <c r="W63" s="555">
        <f>IF($F63="Prod",$I63*$O63*$J$4*$J$6,$I63*$O63*$J$5*$J$7)</f>
        <v>0.62645656990292486</v>
      </c>
      <c r="X63" s="563">
        <f>+$S$4</f>
        <v>37.9060089869281</v>
      </c>
      <c r="Y63" s="583">
        <f>+W63*X63</f>
        <v>23.746468368660423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16108.674329457062</v>
      </c>
      <c r="I64" s="553">
        <f>ITECountywide!$B$9*E64</f>
        <v>69.168072826033367</v>
      </c>
      <c r="J64" s="562">
        <f>IF(F64="Prod",$M$3,$M$4)</f>
        <v>1.67</v>
      </c>
      <c r="K64" s="416">
        <f>IF(F64="Prod",$F$4,$F$5)</f>
        <v>0.85014347095642351</v>
      </c>
      <c r="L64" s="554">
        <f>Passby_Length_Adj!H59</f>
        <v>0.3846286671810874</v>
      </c>
      <c r="M64" s="554">
        <f>Passby_Length_Adj!J59</f>
        <v>1</v>
      </c>
      <c r="N64" s="416">
        <v>0.5</v>
      </c>
      <c r="O64" s="546">
        <f>L64*M64*N64</f>
        <v>0.1923143335905437</v>
      </c>
      <c r="P64" s="555">
        <f>IF($F64="Prod",$I64*$O64*$F$4*$F$6,$I64*O64*$F$5*$F$7)</f>
        <v>85.243242278270969</v>
      </c>
      <c r="Q64" s="556">
        <f t="shared" si="5"/>
        <v>51.043857651659266</v>
      </c>
      <c r="R64" s="557">
        <f>$Q$4</f>
        <v>261.71052631578948</v>
      </c>
      <c r="S64" s="582">
        <f t="shared" si="31"/>
        <v>13358.714851203984</v>
      </c>
      <c r="T64" s="555">
        <f>IF($F64="Prod",$I64*$O64*$G$4*$G$6,$I64*$O64*$G$5*$G$7)</f>
        <v>6.5020250048201422</v>
      </c>
      <c r="U64" s="559">
        <f>+$R$4</f>
        <v>405.42115030277023</v>
      </c>
      <c r="V64" s="582">
        <f>+T64*U64</f>
        <v>2636.0584567515571</v>
      </c>
      <c r="W64" s="555">
        <f>IF($F64="Prod",$I64*$O64*$J$4*$J$6,$I64*$O64*$J$5*$J$7)</f>
        <v>3.0048275865919232</v>
      </c>
      <c r="X64" s="559">
        <f>+$S$4</f>
        <v>37.9060089869281</v>
      </c>
      <c r="Y64" s="582">
        <f>+W64*X64</f>
        <v>113.90102150152292</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9075.9040378230329</v>
      </c>
      <c r="I65" s="553">
        <f>ITECountywide!$B$9*E65</f>
        <v>38.970481283011466</v>
      </c>
      <c r="J65" s="562">
        <f>IF(F65="Prod",$M$3,$M$4)</f>
        <v>1.67</v>
      </c>
      <c r="K65" s="416">
        <f>IF(F65="Prod",$F$4,$F$5)</f>
        <v>0.85014347095642351</v>
      </c>
      <c r="L65" s="554">
        <f>Passby_Length_Adj!H60</f>
        <v>0.3846286671810874</v>
      </c>
      <c r="M65" s="554">
        <f>Passby_Length_Adj!J60</f>
        <v>1</v>
      </c>
      <c r="N65" s="416">
        <v>0.5</v>
      </c>
      <c r="O65" s="546">
        <f>L65*M65*N65</f>
        <v>0.1923143335905437</v>
      </c>
      <c r="P65" s="555">
        <f>IF($F65="Prod",$I65*$O65*$F$4*$F$6,$I65*O65*$F$5*$F$7)</f>
        <v>48.027508097034229</v>
      </c>
      <c r="Q65" s="556">
        <f t="shared" si="5"/>
        <v>28.758986884451634</v>
      </c>
      <c r="R65" s="557">
        <f>$Q$4</f>
        <v>261.71052631578948</v>
      </c>
      <c r="S65" s="582">
        <f t="shared" si="31"/>
        <v>7526.5295938387235</v>
      </c>
      <c r="T65" s="555">
        <f>IF($F65="Prod",$I65*$O65*$G$4*$G$6,$I65*$O65*$G$5*$G$7)</f>
        <v>3.6633526625690016</v>
      </c>
      <c r="U65" s="559">
        <f>+$R$4</f>
        <v>405.42115030277023</v>
      </c>
      <c r="V65" s="582">
        <f>+T65*U65</f>
        <v>1485.2006504234407</v>
      </c>
      <c r="W65" s="555">
        <f>IF($F65="Prod",$I65*$O65*$J$4*$J$6,$I65*$O65*$J$5*$J$7)</f>
        <v>1.6929715176028921</v>
      </c>
      <c r="X65" s="559">
        <f>+$S$4</f>
        <v>37.9060089869281</v>
      </c>
      <c r="Y65" s="582">
        <f>+W65*X65</f>
        <v>64.173793560868532</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10528.04868387472</v>
      </c>
      <c r="I66" s="553">
        <f>ITECountywide!$B$9*E66</f>
        <v>45.205758288293303</v>
      </c>
      <c r="J66" s="562">
        <f>IF(F66="Prod",$M$3,$M$4)</f>
        <v>1.67</v>
      </c>
      <c r="K66" s="416">
        <f>IF(F66="Prod",$F$4,$F$5)</f>
        <v>0.85014347095642351</v>
      </c>
      <c r="L66" s="554">
        <f>Passby_Length_Adj!H61</f>
        <v>0.3846286671810874</v>
      </c>
      <c r="M66" s="554">
        <f>Passby_Length_Adj!J61</f>
        <v>1</v>
      </c>
      <c r="N66" s="416">
        <v>0.5</v>
      </c>
      <c r="O66" s="546">
        <f>L66*M66*N66</f>
        <v>0.1923143335905437</v>
      </c>
      <c r="P66" s="555">
        <f>IF($F66="Prod",$I66*$O66*$F$4*$F$6,$I66*O66*$F$5*$F$7)</f>
        <v>55.711909392559711</v>
      </c>
      <c r="Q66" s="556">
        <f t="shared" si="5"/>
        <v>33.3604247859639</v>
      </c>
      <c r="R66" s="557">
        <f>$Q$4</f>
        <v>261.71052631578948</v>
      </c>
      <c r="S66" s="582">
        <f t="shared" si="31"/>
        <v>8730.7743288529218</v>
      </c>
      <c r="T66" s="555">
        <f>IF($F66="Prod",$I66*$O66*$G$4*$G$6,$I66*$O66*$G$5*$G$7)</f>
        <v>4.2494890885800416</v>
      </c>
      <c r="U66" s="559">
        <f>+$R$4</f>
        <v>405.42115030277023</v>
      </c>
      <c r="V66" s="582">
        <f>+T66*U66</f>
        <v>1722.8327544911911</v>
      </c>
      <c r="W66" s="555">
        <f>IF($F66="Prod",$I66*$O66*$J$4*$J$6,$I66*$O66*$J$5*$J$7)</f>
        <v>1.9638469604193549</v>
      </c>
      <c r="X66" s="559">
        <f>+$S$4</f>
        <v>37.9060089869281</v>
      </c>
      <c r="Y66" s="582">
        <f>+W66*X66</f>
        <v>74.441600530607502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16035.765752761858</v>
      </c>
      <c r="I68" s="553">
        <f>ITECountywide!$B$9*E68</f>
        <v>20.049119939245994</v>
      </c>
      <c r="J68" s="562">
        <f t="shared" ref="J68:J87" si="49">IF(F68="Prod",$M$3,$M$4)</f>
        <v>1.67</v>
      </c>
      <c r="K68" s="416">
        <f t="shared" ref="K68:K87" si="50">IF(F68="Prod",$F$4,$F$5)</f>
        <v>0.85014347095642351</v>
      </c>
      <c r="L68" s="554">
        <f>Passby_Length_Adj!H63</f>
        <v>1.3209364175632392</v>
      </c>
      <c r="M68" s="554">
        <f>Passby_Length_Adj!J63</f>
        <v>1</v>
      </c>
      <c r="N68" s="416">
        <v>0.5</v>
      </c>
      <c r="O68" s="546">
        <f t="shared" ref="O68:O87" si="51">L68*M68*N68</f>
        <v>0.6604682087816196</v>
      </c>
      <c r="P68" s="555">
        <f t="shared" ref="P68:P87" si="52">IF($F68="Prod",$I68*$O68*$F$4*$F$6,$I68*O68*$F$5*$F$7)</f>
        <v>84.857427571220356</v>
      </c>
      <c r="Q68" s="556">
        <f t="shared" si="5"/>
        <v>50.812830880970274</v>
      </c>
      <c r="R68" s="561">
        <f t="shared" ref="R68:R87" si="53">$Q$4</f>
        <v>261.71052631578948</v>
      </c>
      <c r="S68" s="583">
        <f t="shared" si="31"/>
        <v>13298.25271345393</v>
      </c>
      <c r="T68" s="555">
        <f t="shared" ref="T68:T87" si="54">IF($F68="Prod",$I68*$O68*$G$4*$G$6,$I68*$O68*$G$5*$G$7)</f>
        <v>6.4725965503711507</v>
      </c>
      <c r="U68" s="559">
        <f t="shared" ref="U68:U87" si="55">+$R$4</f>
        <v>405.42115030277023</v>
      </c>
      <c r="V68" s="582">
        <f t="shared" ref="V68:V87" si="56">+T68*U68</f>
        <v>2624.1275388972144</v>
      </c>
      <c r="W68" s="555">
        <f t="shared" ref="W68:W87" si="57">IF($F68="Prod",$I68*$O68*$J$4*$J$6,$I68*$O68*$J$5*$J$7)</f>
        <v>2.9912276032492664</v>
      </c>
      <c r="X68" s="559">
        <f t="shared" ref="X68:X87" si="58">+$S$4</f>
        <v>37.9060089869281</v>
      </c>
      <c r="Y68" s="582">
        <f t="shared" ref="Y68:Y87" si="59">+W68*X68</f>
        <v>113.38550041071409</v>
      </c>
      <c r="Z68" s="551"/>
    </row>
    <row r="69" spans="2:26" s="23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15515.867631248799</v>
      </c>
      <c r="I69" s="553">
        <f>ITECountywide!$B$9*E69</f>
        <v>19.399104220937762</v>
      </c>
      <c r="J69" s="562">
        <f t="shared" si="49"/>
        <v>1.67</v>
      </c>
      <c r="K69" s="416">
        <f t="shared" si="50"/>
        <v>0.85014347095642351</v>
      </c>
      <c r="L69" s="554">
        <f>Passby_Length_Adj!H64</f>
        <v>1.3209364175632392</v>
      </c>
      <c r="M69" s="554">
        <f>Passby_Length_Adj!J64</f>
        <v>1</v>
      </c>
      <c r="N69" s="416">
        <v>0.5</v>
      </c>
      <c r="O69" s="546">
        <f t="shared" si="51"/>
        <v>0.6604682087816196</v>
      </c>
      <c r="P69" s="555">
        <f t="shared" si="52"/>
        <v>82.106251364801295</v>
      </c>
      <c r="Q69" s="556">
        <f t="shared" si="5"/>
        <v>49.165419978922934</v>
      </c>
      <c r="R69" s="561">
        <f t="shared" si="53"/>
        <v>261.71052631578948</v>
      </c>
      <c r="S69" s="583">
        <f t="shared" si="31"/>
        <v>12867.107939220752</v>
      </c>
      <c r="T69" s="555">
        <f t="shared" si="54"/>
        <v>6.2627474642886662</v>
      </c>
      <c r="U69" s="559">
        <f t="shared" si="55"/>
        <v>405.42115030277023</v>
      </c>
      <c r="V69" s="582">
        <f t="shared" si="56"/>
        <v>2539.0502810276685</v>
      </c>
      <c r="W69" s="555">
        <f t="shared" si="57"/>
        <v>2.8942485355873759</v>
      </c>
      <c r="X69" s="559">
        <f t="shared" si="58"/>
        <v>37.9060089869281</v>
      </c>
      <c r="Y69" s="582">
        <f t="shared" si="59"/>
        <v>109.70941100037857</v>
      </c>
      <c r="Z69" s="59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15279.903216432855</v>
      </c>
      <c r="I70" s="553">
        <f>ITECountywide!$B$9*E70</f>
        <v>19.10408376934355</v>
      </c>
      <c r="J70" s="562">
        <f t="shared" si="49"/>
        <v>1.67</v>
      </c>
      <c r="K70" s="416">
        <f t="shared" si="50"/>
        <v>0.85014347095642351</v>
      </c>
      <c r="L70" s="554">
        <f>Passby_Length_Adj!H65</f>
        <v>1.3209364175632392</v>
      </c>
      <c r="M70" s="554">
        <f>Passby_Length_Adj!J65</f>
        <v>1</v>
      </c>
      <c r="N70" s="416">
        <v>0.5</v>
      </c>
      <c r="O70" s="546">
        <f t="shared" si="51"/>
        <v>0.6604682087816196</v>
      </c>
      <c r="P70" s="555">
        <f t="shared" si="52"/>
        <v>80.857584257265088</v>
      </c>
      <c r="Q70" s="556">
        <f t="shared" si="5"/>
        <v>48.417715124110835</v>
      </c>
      <c r="R70" s="561">
        <f t="shared" si="53"/>
        <v>261.71052631578948</v>
      </c>
      <c r="S70" s="583">
        <f t="shared" si="31"/>
        <v>12671.425708139006</v>
      </c>
      <c r="T70" s="555">
        <f t="shared" si="54"/>
        <v>6.1675039641717504</v>
      </c>
      <c r="U70" s="559">
        <f t="shared" si="55"/>
        <v>405.42115030277023</v>
      </c>
      <c r="V70" s="582">
        <f t="shared" si="56"/>
        <v>2500.4365516514063</v>
      </c>
      <c r="W70" s="555">
        <f t="shared" si="57"/>
        <v>2.8502329717618422</v>
      </c>
      <c r="X70" s="559">
        <f t="shared" si="58"/>
        <v>37.9060089869281</v>
      </c>
      <c r="Y70" s="582">
        <f t="shared" si="59"/>
        <v>108.04095664244318</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15126.441158987571</v>
      </c>
      <c r="I71" s="553">
        <f>ITECountywide!$B$9*E71</f>
        <v>18.912213967596532</v>
      </c>
      <c r="J71" s="562">
        <f t="shared" si="49"/>
        <v>1.67</v>
      </c>
      <c r="K71" s="416">
        <f t="shared" si="50"/>
        <v>0.85014347095642351</v>
      </c>
      <c r="L71" s="554">
        <f>Passby_Length_Adj!H66</f>
        <v>1.3209364175632392</v>
      </c>
      <c r="M71" s="554">
        <f>Passby_Length_Adj!J66</f>
        <v>1</v>
      </c>
      <c r="N71" s="416">
        <v>0.5</v>
      </c>
      <c r="O71" s="546">
        <f t="shared" si="51"/>
        <v>0.6604682087816196</v>
      </c>
      <c r="P71" s="555">
        <f t="shared" si="52"/>
        <v>80.045499843874921</v>
      </c>
      <c r="Q71" s="556">
        <f t="shared" si="5"/>
        <v>47.931437032260433</v>
      </c>
      <c r="R71" s="561">
        <f t="shared" si="53"/>
        <v>261.71052631578948</v>
      </c>
      <c r="S71" s="583">
        <f t="shared" si="31"/>
        <v>12544.161612785001</v>
      </c>
      <c r="T71" s="555">
        <f t="shared" si="54"/>
        <v>6.1055613043107986</v>
      </c>
      <c r="U71" s="559">
        <f t="shared" si="55"/>
        <v>405.42115030277023</v>
      </c>
      <c r="V71" s="582">
        <f t="shared" si="56"/>
        <v>2475.3236872377661</v>
      </c>
      <c r="W71" s="555">
        <f t="shared" si="57"/>
        <v>2.8216069647872324</v>
      </c>
      <c r="X71" s="559">
        <f t="shared" si="58"/>
        <v>37.9060089869281</v>
      </c>
      <c r="Y71" s="582">
        <f t="shared" si="59"/>
        <v>106.95585896480375</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14965.447355338099</v>
      </c>
      <c r="I72" s="553">
        <f>ITECountywide!$B$9*E72</f>
        <v>18.710927410496026</v>
      </c>
      <c r="J72" s="562">
        <f t="shared" si="49"/>
        <v>1.67</v>
      </c>
      <c r="K72" s="416">
        <f t="shared" si="50"/>
        <v>0.85014347095642351</v>
      </c>
      <c r="L72" s="554">
        <f>Passby_Length_Adj!H67</f>
        <v>1.3209364175632392</v>
      </c>
      <c r="M72" s="554">
        <f>Passby_Length_Adj!J67</f>
        <v>1</v>
      </c>
      <c r="N72" s="416">
        <v>0.5</v>
      </c>
      <c r="O72" s="546">
        <f t="shared" si="51"/>
        <v>0.6604682087816196</v>
      </c>
      <c r="P72" s="555">
        <f t="shared" si="52"/>
        <v>79.193559235410532</v>
      </c>
      <c r="Q72" s="556">
        <f t="shared" si="5"/>
        <v>47.421292955335652</v>
      </c>
      <c r="R72" s="561">
        <f t="shared" si="53"/>
        <v>261.71052631578948</v>
      </c>
      <c r="S72" s="583">
        <f t="shared" si="31"/>
        <v>12410.651537916134</v>
      </c>
      <c r="T72" s="555">
        <f t="shared" si="54"/>
        <v>6.0405785679576436</v>
      </c>
      <c r="U72" s="559">
        <f t="shared" si="55"/>
        <v>405.42115030277023</v>
      </c>
      <c r="V72" s="582">
        <f t="shared" si="56"/>
        <v>2448.9783115156483</v>
      </c>
      <c r="W72" s="555">
        <f t="shared" si="57"/>
        <v>2.7915760253950523</v>
      </c>
      <c r="X72" s="559">
        <f t="shared" si="58"/>
        <v>37.9060089869281</v>
      </c>
      <c r="Y72" s="582">
        <f t="shared" si="59"/>
        <v>105.81750590631788</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14815.143501366734</v>
      </c>
      <c r="I73" s="553">
        <f>ITECountywide!$B$9*E73</f>
        <v>18.523006232171017</v>
      </c>
      <c r="J73" s="562">
        <f t="shared" si="49"/>
        <v>1.67</v>
      </c>
      <c r="K73" s="416">
        <f t="shared" si="50"/>
        <v>0.85014347095642351</v>
      </c>
      <c r="L73" s="554">
        <f>Passby_Length_Adj!H68</f>
        <v>1.3209364175632392</v>
      </c>
      <c r="M73" s="554">
        <f>Passby_Length_Adj!J68</f>
        <v>1</v>
      </c>
      <c r="N73" s="416">
        <v>0.5</v>
      </c>
      <c r="O73" s="546">
        <f t="shared" si="51"/>
        <v>0.6604682087816196</v>
      </c>
      <c r="P73" s="555">
        <f t="shared" si="52"/>
        <v>78.398187277582224</v>
      </c>
      <c r="Q73" s="556">
        <f t="shared" si="5"/>
        <v>46.945022321905526</v>
      </c>
      <c r="R73" s="561">
        <f t="shared" si="53"/>
        <v>261.71052631578948</v>
      </c>
      <c r="S73" s="583">
        <f t="shared" si="31"/>
        <v>12286.00649977238</v>
      </c>
      <c r="T73" s="555">
        <f t="shared" si="54"/>
        <v>5.9799106696033038</v>
      </c>
      <c r="U73" s="559">
        <f t="shared" si="55"/>
        <v>405.42115030277023</v>
      </c>
      <c r="V73" s="582">
        <f t="shared" si="56"/>
        <v>2424.3822623783803</v>
      </c>
      <c r="W73" s="555">
        <f t="shared" si="57"/>
        <v>2.763539133125255</v>
      </c>
      <c r="X73" s="559">
        <f t="shared" si="58"/>
        <v>37.9060089869281</v>
      </c>
      <c r="Y73" s="582">
        <f t="shared" si="59"/>
        <v>104.7547392159734</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14703.865734537074</v>
      </c>
      <c r="I74" s="553">
        <f>ITECountywide!$B$9*E74</f>
        <v>18.383878402035741</v>
      </c>
      <c r="J74" s="562">
        <f t="shared" si="49"/>
        <v>1.67</v>
      </c>
      <c r="K74" s="416">
        <f t="shared" si="50"/>
        <v>0.85014347095642351</v>
      </c>
      <c r="L74" s="554">
        <f>Passby_Length_Adj!H69</f>
        <v>1.3209364175632392</v>
      </c>
      <c r="M74" s="554">
        <f>Passby_Length_Adj!J69</f>
        <v>1</v>
      </c>
      <c r="N74" s="416">
        <v>0.5</v>
      </c>
      <c r="O74" s="546">
        <f t="shared" si="51"/>
        <v>0.6604682087816196</v>
      </c>
      <c r="P74" s="555">
        <f t="shared" si="52"/>
        <v>77.809332015873949</v>
      </c>
      <c r="Q74" s="556">
        <f t="shared" si="5"/>
        <v>46.592414380762847</v>
      </c>
      <c r="R74" s="561">
        <f t="shared" si="53"/>
        <v>261.71052631578948</v>
      </c>
      <c r="S74" s="583">
        <f t="shared" si="31"/>
        <v>12193.725289912803</v>
      </c>
      <c r="T74" s="555">
        <f t="shared" si="54"/>
        <v>5.9349950665183293</v>
      </c>
      <c r="U74" s="559">
        <f t="shared" si="55"/>
        <v>405.42115030277023</v>
      </c>
      <c r="V74" s="582">
        <f t="shared" si="56"/>
        <v>2406.1725269091276</v>
      </c>
      <c r="W74" s="555">
        <f t="shared" si="57"/>
        <v>2.7427819623795116</v>
      </c>
      <c r="X74" s="559">
        <f t="shared" si="58"/>
        <v>37.9060089869281</v>
      </c>
      <c r="Y74" s="582">
        <f t="shared" si="59"/>
        <v>103.96791771514205</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14615.612599456996</v>
      </c>
      <c r="I75" s="553">
        <f>ITECountywide!$B$9*E75</f>
        <v>18.273537697543336</v>
      </c>
      <c r="J75" s="562">
        <f t="shared" si="49"/>
        <v>1.67</v>
      </c>
      <c r="K75" s="416">
        <f t="shared" si="50"/>
        <v>0.85014347095642351</v>
      </c>
      <c r="L75" s="554">
        <f>Passby_Length_Adj!H70</f>
        <v>1.3209364175632392</v>
      </c>
      <c r="M75" s="554">
        <f>Passby_Length_Adj!J70</f>
        <v>1</v>
      </c>
      <c r="N75" s="416">
        <v>0.5</v>
      </c>
      <c r="O75" s="546">
        <f t="shared" si="51"/>
        <v>0.6604682087816196</v>
      </c>
      <c r="P75" s="555">
        <f t="shared" si="52"/>
        <v>77.342317584916643</v>
      </c>
      <c r="Q75" s="556">
        <f t="shared" si="5"/>
        <v>46.312765020908174</v>
      </c>
      <c r="R75" s="561">
        <f t="shared" si="53"/>
        <v>261.71052631578948</v>
      </c>
      <c r="S75" s="583">
        <f t="shared" si="31"/>
        <v>12120.538108761362</v>
      </c>
      <c r="T75" s="555">
        <f t="shared" si="54"/>
        <v>5.8993730110152827</v>
      </c>
      <c r="U75" s="559">
        <f t="shared" si="55"/>
        <v>405.42115030277023</v>
      </c>
      <c r="V75" s="582">
        <f t="shared" si="56"/>
        <v>2391.7305921909333</v>
      </c>
      <c r="W75" s="555">
        <f t="shared" si="57"/>
        <v>2.7263196856292202</v>
      </c>
      <c r="X75" s="559">
        <f t="shared" si="58"/>
        <v>37.9060089869281</v>
      </c>
      <c r="Y75" s="582">
        <f t="shared" si="59"/>
        <v>103.34389850470022</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14542.54790518007</v>
      </c>
      <c r="I76" s="553">
        <f>ITECountywide!$B$9*E76</f>
        <v>18.182186723634896</v>
      </c>
      <c r="J76" s="562">
        <f t="shared" si="49"/>
        <v>1.67</v>
      </c>
      <c r="K76" s="416">
        <f t="shared" si="50"/>
        <v>0.85014347095642351</v>
      </c>
      <c r="L76" s="554">
        <f>Passby_Length_Adj!H71</f>
        <v>1.3209364175632392</v>
      </c>
      <c r="M76" s="554">
        <f>Passby_Length_Adj!J71</f>
        <v>1</v>
      </c>
      <c r="N76" s="416">
        <v>0.5</v>
      </c>
      <c r="O76" s="546">
        <f t="shared" si="51"/>
        <v>0.6604682087816196</v>
      </c>
      <c r="P76" s="555">
        <f t="shared" si="52"/>
        <v>76.955676741054873</v>
      </c>
      <c r="Q76" s="556">
        <f t="shared" si="5"/>
        <v>46.081243557517887</v>
      </c>
      <c r="R76" s="561">
        <f t="shared" si="53"/>
        <v>261.71052631578948</v>
      </c>
      <c r="S76" s="583">
        <f t="shared" si="31"/>
        <v>12059.94650472409</v>
      </c>
      <c r="T76" s="555">
        <f t="shared" si="54"/>
        <v>5.8698815420438493</v>
      </c>
      <c r="U76" s="559">
        <f t="shared" si="55"/>
        <v>405.42115030277023</v>
      </c>
      <c r="V76" s="582">
        <f t="shared" si="56"/>
        <v>2379.7741269164162</v>
      </c>
      <c r="W76" s="555">
        <f t="shared" si="57"/>
        <v>2.7126905809320241</v>
      </c>
      <c r="X76" s="559">
        <f t="shared" si="58"/>
        <v>37.9060089869281</v>
      </c>
      <c r="Y76" s="582">
        <f t="shared" si="59"/>
        <v>102.82727353956452</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0">+S77+V77+Y77</f>
        <v>14452.241302995535</v>
      </c>
      <c r="I77" s="553">
        <f>ITECountywide!$B$9*E77</f>
        <v>18.069278620185472</v>
      </c>
      <c r="J77" s="562">
        <f t="shared" si="49"/>
        <v>1.67</v>
      </c>
      <c r="K77" s="416">
        <f t="shared" si="50"/>
        <v>0.85014347095642351</v>
      </c>
      <c r="L77" s="554">
        <f>Passby_Length_Adj!H72</f>
        <v>1.3209364175632392</v>
      </c>
      <c r="M77" s="554">
        <f>Passby_Length_Adj!J72</f>
        <v>1</v>
      </c>
      <c r="N77" s="416">
        <v>0.5</v>
      </c>
      <c r="O77" s="546">
        <f t="shared" si="51"/>
        <v>0.6604682087816196</v>
      </c>
      <c r="P77" s="555">
        <f t="shared" si="52"/>
        <v>76.477795854527358</v>
      </c>
      <c r="Q77" s="556">
        <f t="shared" si="5"/>
        <v>45.795087338040339</v>
      </c>
      <c r="R77" s="561">
        <f t="shared" si="53"/>
        <v>261.71052631578948</v>
      </c>
      <c r="S77" s="583">
        <f t="shared" si="31"/>
        <v>11985.056409916084</v>
      </c>
      <c r="T77" s="555">
        <f t="shared" si="54"/>
        <v>5.8334306353152634</v>
      </c>
      <c r="U77" s="559">
        <f t="shared" si="55"/>
        <v>405.42115030277023</v>
      </c>
      <c r="V77" s="582">
        <f t="shared" si="56"/>
        <v>2364.996158380934</v>
      </c>
      <c r="W77" s="555">
        <f t="shared" si="57"/>
        <v>2.695845261202686</v>
      </c>
      <c r="X77" s="559">
        <f t="shared" si="58"/>
        <v>37.9060089869281</v>
      </c>
      <c r="Y77" s="582">
        <f t="shared" si="59"/>
        <v>102.18873469851654</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0"/>
        <v>23471.375843766906</v>
      </c>
      <c r="I78" s="553">
        <f>ITECountywide!$B$9*E78</f>
        <v>29.345678696370033</v>
      </c>
      <c r="J78" s="562">
        <f t="shared" si="49"/>
        <v>1.67</v>
      </c>
      <c r="K78" s="416">
        <f t="shared" si="50"/>
        <v>0.85014347095642351</v>
      </c>
      <c r="L78" s="554">
        <f>Passby_Length_Adj!H73</f>
        <v>1.3209364175632392</v>
      </c>
      <c r="M78" s="554">
        <f>Passby_Length_Adj!J73</f>
        <v>1</v>
      </c>
      <c r="N78" s="416">
        <v>0.5</v>
      </c>
      <c r="O78" s="546">
        <f t="shared" si="51"/>
        <v>0.6604682087816196</v>
      </c>
      <c r="P78" s="555">
        <f t="shared" si="52"/>
        <v>124.2048933844213</v>
      </c>
      <c r="Q78" s="556">
        <f t="shared" si="5"/>
        <v>74.374187655342098</v>
      </c>
      <c r="R78" s="561">
        <f t="shared" si="53"/>
        <v>261.71052631578948</v>
      </c>
      <c r="S78" s="583">
        <f t="shared" si="31"/>
        <v>19464.507795588874</v>
      </c>
      <c r="T78" s="555">
        <f t="shared" si="54"/>
        <v>9.4738691410895015</v>
      </c>
      <c r="U78" s="559">
        <f t="shared" si="55"/>
        <v>405.42115030277023</v>
      </c>
      <c r="V78" s="582">
        <f t="shared" si="56"/>
        <v>3840.9069249984236</v>
      </c>
      <c r="W78" s="555">
        <f t="shared" si="57"/>
        <v>4.3782272946972647</v>
      </c>
      <c r="X78" s="559">
        <f t="shared" si="58"/>
        <v>37.9060089869281</v>
      </c>
      <c r="Y78" s="582">
        <f t="shared" si="59"/>
        <v>165.96112317960842</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0"/>
        <v>11525.474858427851</v>
      </c>
      <c r="I79" s="553">
        <f>ITECountywide!$B$9*E79</f>
        <v>14.410015172090286</v>
      </c>
      <c r="J79" s="562">
        <f t="shared" si="49"/>
        <v>1.67</v>
      </c>
      <c r="K79" s="416">
        <f t="shared" si="50"/>
        <v>0.85014347095642351</v>
      </c>
      <c r="L79" s="554">
        <f>Passby_Length_Adj!H74</f>
        <v>1.3209364175632392</v>
      </c>
      <c r="M79" s="554">
        <f>Passby_Length_Adj!J74</f>
        <v>1</v>
      </c>
      <c r="N79" s="416">
        <v>0.5</v>
      </c>
      <c r="O79" s="546">
        <f t="shared" si="51"/>
        <v>0.6604682087816196</v>
      </c>
      <c r="P79" s="555">
        <f t="shared" si="52"/>
        <v>60.990049561837516</v>
      </c>
      <c r="Q79" s="556">
        <f t="shared" si="5"/>
        <v>36.520987761579356</v>
      </c>
      <c r="R79" s="561">
        <f t="shared" si="53"/>
        <v>261.71052631578948</v>
      </c>
      <c r="S79" s="583">
        <f t="shared" si="31"/>
        <v>9557.926928655439</v>
      </c>
      <c r="T79" s="555">
        <f t="shared" si="54"/>
        <v>4.6520852175207867</v>
      </c>
      <c r="U79" s="559">
        <f t="shared" si="55"/>
        <v>405.42115030277023</v>
      </c>
      <c r="V79" s="582">
        <f t="shared" si="56"/>
        <v>1886.0537401937904</v>
      </c>
      <c r="W79" s="555">
        <f t="shared" si="57"/>
        <v>2.1499016054875391</v>
      </c>
      <c r="X79" s="559">
        <f t="shared" si="58"/>
        <v>37.9060089869281</v>
      </c>
      <c r="Y79" s="582">
        <f t="shared" si="59"/>
        <v>81.4941895786218</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0"/>
        <v>16309.634233624314</v>
      </c>
      <c r="I80" s="553">
        <f>ITECountywide!$B$9*E80</f>
        <v>20.391530903901348</v>
      </c>
      <c r="J80" s="562">
        <f t="shared" si="49"/>
        <v>1.67</v>
      </c>
      <c r="K80" s="416">
        <f t="shared" si="50"/>
        <v>0.85014347095642351</v>
      </c>
      <c r="L80" s="554">
        <f>Passby_Length_Adj!H75</f>
        <v>1.3209364175632392</v>
      </c>
      <c r="M80" s="554">
        <f>Passby_Length_Adj!J75</f>
        <v>1</v>
      </c>
      <c r="N80" s="416">
        <v>0.5</v>
      </c>
      <c r="O80" s="546">
        <f t="shared" si="51"/>
        <v>0.6604682087816196</v>
      </c>
      <c r="P80" s="555">
        <f t="shared" si="52"/>
        <v>86.30667390826062</v>
      </c>
      <c r="Q80" s="556">
        <f t="shared" ref="Q80:Q137" si="61">+P80/J80</f>
        <v>51.680643058838697</v>
      </c>
      <c r="R80" s="561">
        <f t="shared" si="53"/>
        <v>261.71052631578948</v>
      </c>
      <c r="S80" s="583">
        <f t="shared" si="31"/>
        <v>13525.368295267128</v>
      </c>
      <c r="T80" s="555">
        <f t="shared" si="54"/>
        <v>6.5831394587558298</v>
      </c>
      <c r="U80" s="559">
        <f t="shared" si="55"/>
        <v>405.42115030277023</v>
      </c>
      <c r="V80" s="582">
        <f t="shared" si="56"/>
        <v>2668.9439719723446</v>
      </c>
      <c r="W80" s="555">
        <f t="shared" si="57"/>
        <v>3.0423135926710456</v>
      </c>
      <c r="X80" s="559">
        <f t="shared" si="58"/>
        <v>37.9060089869281</v>
      </c>
      <c r="Y80" s="582">
        <f t="shared" si="59"/>
        <v>115.32196638484217</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0"/>
        <v>14690.300489127512</v>
      </c>
      <c r="I81" s="553">
        <f>ITECountywide!$B$9*E81</f>
        <v>63.077802262734835</v>
      </c>
      <c r="J81" s="562">
        <f t="shared" si="49"/>
        <v>1.67</v>
      </c>
      <c r="K81" s="416">
        <f t="shared" si="50"/>
        <v>0.85014347095642351</v>
      </c>
      <c r="L81" s="554">
        <f>Passby_Length_Adj!H76</f>
        <v>0.3846286671810874</v>
      </c>
      <c r="M81" s="554">
        <f>Passby_Length_Adj!J76</f>
        <v>1</v>
      </c>
      <c r="N81" s="416">
        <v>0.5</v>
      </c>
      <c r="O81" s="546">
        <f t="shared" si="51"/>
        <v>0.1923143335905437</v>
      </c>
      <c r="P81" s="555">
        <f t="shared" si="52"/>
        <v>77.737547989618179</v>
      </c>
      <c r="Q81" s="556">
        <f t="shared" si="61"/>
        <v>46.549429933903106</v>
      </c>
      <c r="R81" s="561">
        <f t="shared" si="53"/>
        <v>261.71052631578948</v>
      </c>
      <c r="S81" s="583">
        <f t="shared" si="31"/>
        <v>12182.475807701747</v>
      </c>
      <c r="T81" s="555">
        <f t="shared" si="54"/>
        <v>5.9295196584837777</v>
      </c>
      <c r="U81" s="559">
        <f t="shared" si="55"/>
        <v>405.42115030277023</v>
      </c>
      <c r="V81" s="582">
        <f t="shared" si="56"/>
        <v>2403.9526806853823</v>
      </c>
      <c r="W81" s="555">
        <f t="shared" si="57"/>
        <v>2.7402515726781691</v>
      </c>
      <c r="X81" s="559">
        <f t="shared" si="58"/>
        <v>37.9060089869281</v>
      </c>
      <c r="Y81" s="582">
        <f t="shared" si="59"/>
        <v>103.87200074038253</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0"/>
        <v>32749.745541117623</v>
      </c>
      <c r="I82" s="553">
        <f>ITECountywide!$B$9*E82</f>
        <v>40.946194055033907</v>
      </c>
      <c r="J82" s="562">
        <f t="shared" si="49"/>
        <v>1.67</v>
      </c>
      <c r="K82" s="416">
        <f t="shared" si="50"/>
        <v>0.85014347095642351</v>
      </c>
      <c r="L82" s="554">
        <f>Passby_Length_Adj!H77</f>
        <v>1.3209364175632392</v>
      </c>
      <c r="M82" s="554">
        <f>Passby_Length_Adj!J77</f>
        <v>1</v>
      </c>
      <c r="N82" s="416">
        <v>0.5</v>
      </c>
      <c r="O82" s="546">
        <f t="shared" si="51"/>
        <v>0.6604682087816196</v>
      </c>
      <c r="P82" s="555">
        <f t="shared" si="52"/>
        <v>173.30380120778733</v>
      </c>
      <c r="Q82" s="556">
        <f t="shared" si="61"/>
        <v>103.77473126214811</v>
      </c>
      <c r="R82" s="561">
        <f t="shared" si="53"/>
        <v>261.71052631578948</v>
      </c>
      <c r="S82" s="583">
        <f t="shared" si="31"/>
        <v>27158.939536896392</v>
      </c>
      <c r="T82" s="555">
        <f t="shared" si="54"/>
        <v>13.218944033181705</v>
      </c>
      <c r="U82" s="559">
        <f t="shared" si="55"/>
        <v>405.42115030277023</v>
      </c>
      <c r="V82" s="582">
        <f t="shared" si="56"/>
        <v>5359.2394957204679</v>
      </c>
      <c r="W82" s="555">
        <f t="shared" si="57"/>
        <v>6.1089656940834587</v>
      </c>
      <c r="X82" s="559">
        <f t="shared" si="58"/>
        <v>37.9060089869281</v>
      </c>
      <c r="Y82" s="582">
        <f t="shared" si="59"/>
        <v>231.56650850076304</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0"/>
        <v>4732.134151813777</v>
      </c>
      <c r="I83" s="553">
        <f>ITECountywide!$B$9*E83</f>
        <v>20.319027682909702</v>
      </c>
      <c r="J83" s="562">
        <f t="shared" si="49"/>
        <v>1.67</v>
      </c>
      <c r="K83" s="416">
        <f t="shared" si="50"/>
        <v>0.85014347095642351</v>
      </c>
      <c r="L83" s="554">
        <f>Passby_Length_Adj!H78</f>
        <v>0.3846286671810874</v>
      </c>
      <c r="M83" s="554">
        <f>Passby_Length_Adj!J78</f>
        <v>1</v>
      </c>
      <c r="N83" s="416">
        <v>0.5</v>
      </c>
      <c r="O83" s="546">
        <f t="shared" si="51"/>
        <v>0.1923143335905437</v>
      </c>
      <c r="P83" s="555">
        <f t="shared" si="52"/>
        <v>25.041319338035059</v>
      </c>
      <c r="Q83" s="556">
        <f t="shared" si="61"/>
        <v>14.994801998823389</v>
      </c>
      <c r="R83" s="561">
        <f t="shared" si="53"/>
        <v>261.71052631578948</v>
      </c>
      <c r="S83" s="583">
        <f t="shared" si="31"/>
        <v>3924.2975231131213</v>
      </c>
      <c r="T83" s="555">
        <f t="shared" si="54"/>
        <v>1.9100550394138844</v>
      </c>
      <c r="U83" s="559">
        <f t="shared" si="55"/>
        <v>405.42115030277023</v>
      </c>
      <c r="V83" s="582">
        <f t="shared" si="56"/>
        <v>774.37671122078018</v>
      </c>
      <c r="W83" s="555">
        <f t="shared" si="57"/>
        <v>0.88270747499201974</v>
      </c>
      <c r="X83" s="559">
        <f t="shared" si="58"/>
        <v>37.9060089869281</v>
      </c>
      <c r="Y83" s="582">
        <f t="shared" si="59"/>
        <v>33.459917479876111</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0"/>
        <v>49262.344111871491</v>
      </c>
      <c r="I84" s="553">
        <f>ITECountywide!$B$9*E84</f>
        <v>61.591486232406027</v>
      </c>
      <c r="J84" s="562">
        <f t="shared" si="49"/>
        <v>1.67</v>
      </c>
      <c r="K84" s="416">
        <f t="shared" si="50"/>
        <v>0.85014347095642351</v>
      </c>
      <c r="L84" s="554">
        <f>Passby_Length_Adj!H79</f>
        <v>1.3209364175632392</v>
      </c>
      <c r="M84" s="554">
        <f>Passby_Length_Adj!J79</f>
        <v>1</v>
      </c>
      <c r="N84" s="416">
        <v>0.5</v>
      </c>
      <c r="O84" s="546">
        <f t="shared" si="51"/>
        <v>0.6604682087816196</v>
      </c>
      <c r="P84" s="555">
        <f t="shared" si="52"/>
        <v>260.68451372468411</v>
      </c>
      <c r="Q84" s="556">
        <f t="shared" si="61"/>
        <v>156.09851121238569</v>
      </c>
      <c r="R84" s="561">
        <f t="shared" si="53"/>
        <v>261.71052631578948</v>
      </c>
      <c r="S84" s="583">
        <f t="shared" si="31"/>
        <v>40852.623526504627</v>
      </c>
      <c r="T84" s="555">
        <f t="shared" si="54"/>
        <v>19.884007005202051</v>
      </c>
      <c r="U84" s="559">
        <f t="shared" si="55"/>
        <v>405.42115030277023</v>
      </c>
      <c r="V84" s="582">
        <f t="shared" si="56"/>
        <v>8061.396992677357</v>
      </c>
      <c r="W84" s="555">
        <f t="shared" si="57"/>
        <v>9.1891391892410788</v>
      </c>
      <c r="X84" s="559">
        <f t="shared" si="58"/>
        <v>37.9060089869281</v>
      </c>
      <c r="Y84" s="582">
        <f t="shared" si="59"/>
        <v>348.32359268950552</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0"/>
        <v>16048.680085886324</v>
      </c>
      <c r="I85" s="553">
        <f>ITECountywide!$B$9*E85</f>
        <v>20.065266409438927</v>
      </c>
      <c r="J85" s="562">
        <f t="shared" si="49"/>
        <v>1.67</v>
      </c>
      <c r="K85" s="416">
        <f t="shared" si="50"/>
        <v>0.85014347095642351</v>
      </c>
      <c r="L85" s="554">
        <f>Passby_Length_Adj!H80</f>
        <v>1.3209364175632392</v>
      </c>
      <c r="M85" s="554">
        <f>Passby_Length_Adj!J80</f>
        <v>1</v>
      </c>
      <c r="N85" s="416">
        <v>0.5</v>
      </c>
      <c r="O85" s="546">
        <f t="shared" si="51"/>
        <v>0.6604682087816196</v>
      </c>
      <c r="P85" s="555">
        <f t="shared" si="52"/>
        <v>84.925767125728456</v>
      </c>
      <c r="Q85" s="556">
        <f t="shared" si="61"/>
        <v>50.853752769897284</v>
      </c>
      <c r="R85" s="561">
        <f t="shared" si="53"/>
        <v>261.71052631578948</v>
      </c>
      <c r="S85" s="583">
        <f t="shared" si="31"/>
        <v>13308.962402542855</v>
      </c>
      <c r="T85" s="555">
        <f t="shared" si="54"/>
        <v>6.4778092274157357</v>
      </c>
      <c r="U85" s="559">
        <f t="shared" si="55"/>
        <v>405.42115030277023</v>
      </c>
      <c r="V85" s="582">
        <f t="shared" si="56"/>
        <v>2626.2408684207867</v>
      </c>
      <c r="W85" s="555">
        <f t="shared" si="57"/>
        <v>2.9936365751883089</v>
      </c>
      <c r="X85" s="559">
        <f t="shared" si="58"/>
        <v>37.9060089869281</v>
      </c>
      <c r="Y85" s="582">
        <f t="shared" si="59"/>
        <v>113.4768149226847</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0"/>
        <v>16324.131686276427</v>
      </c>
      <c r="I86" s="553">
        <f>ITECountywide!$B$9*E86</f>
        <v>20.40965670914926</v>
      </c>
      <c r="J86" s="562">
        <f t="shared" si="49"/>
        <v>1.67</v>
      </c>
      <c r="K86" s="416">
        <f t="shared" si="50"/>
        <v>0.85014347095642351</v>
      </c>
      <c r="L86" s="554">
        <f>Passby_Length_Adj!H81</f>
        <v>1.3209364175632392</v>
      </c>
      <c r="M86" s="554">
        <f>Passby_Length_Adj!J81</f>
        <v>1</v>
      </c>
      <c r="N86" s="416">
        <v>0.5</v>
      </c>
      <c r="O86" s="546">
        <f t="shared" si="51"/>
        <v>0.6604682087816196</v>
      </c>
      <c r="P86" s="555">
        <f t="shared" si="52"/>
        <v>86.38339095173464</v>
      </c>
      <c r="Q86" s="556">
        <f t="shared" si="61"/>
        <v>51.726581408224341</v>
      </c>
      <c r="R86" s="561">
        <f t="shared" si="53"/>
        <v>261.71052631578948</v>
      </c>
      <c r="S86" s="583">
        <f t="shared" si="31"/>
        <v>13537.390844862923</v>
      </c>
      <c r="T86" s="555">
        <f t="shared" si="54"/>
        <v>6.5889911382747242</v>
      </c>
      <c r="U86" s="559">
        <f t="shared" si="55"/>
        <v>405.42115030277023</v>
      </c>
      <c r="V86" s="582">
        <f t="shared" si="56"/>
        <v>2671.3163666140981</v>
      </c>
      <c r="W86" s="555">
        <f t="shared" si="57"/>
        <v>3.0450178714200868</v>
      </c>
      <c r="X86" s="559">
        <f t="shared" si="58"/>
        <v>37.9060089869281</v>
      </c>
      <c r="Y86" s="582">
        <f t="shared" si="59"/>
        <v>115.42447479940648</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0"/>
        <v>18034.831099225463</v>
      </c>
      <c r="I87" s="553">
        <f>ITECountywide!$B$9*E87</f>
        <v>22.548501728402911</v>
      </c>
      <c r="J87" s="562">
        <f t="shared" si="49"/>
        <v>1.67</v>
      </c>
      <c r="K87" s="416">
        <f t="shared" si="50"/>
        <v>0.85014347095642351</v>
      </c>
      <c r="L87" s="554">
        <f>Passby_Length_Adj!H82</f>
        <v>1.3209364175632392</v>
      </c>
      <c r="M87" s="554">
        <f>Passby_Length_Adj!J82</f>
        <v>1</v>
      </c>
      <c r="N87" s="416">
        <v>0.5</v>
      </c>
      <c r="O87" s="546">
        <f t="shared" si="51"/>
        <v>0.6604682087816196</v>
      </c>
      <c r="P87" s="555">
        <f t="shared" si="52"/>
        <v>95.436002081667738</v>
      </c>
      <c r="Q87" s="556">
        <f t="shared" si="61"/>
        <v>57.147306635729187</v>
      </c>
      <c r="R87" s="561">
        <f t="shared" si="53"/>
        <v>261.71052631578948</v>
      </c>
      <c r="S87" s="583">
        <f t="shared" si="31"/>
        <v>14956.051697166495</v>
      </c>
      <c r="T87" s="555">
        <f t="shared" si="54"/>
        <v>7.2794893215042231</v>
      </c>
      <c r="U87" s="559">
        <f t="shared" si="55"/>
        <v>405.42115030277023</v>
      </c>
      <c r="V87" s="582">
        <f t="shared" si="56"/>
        <v>2951.2589343409745</v>
      </c>
      <c r="W87" s="555">
        <f t="shared" si="57"/>
        <v>3.364122763806916</v>
      </c>
      <c r="X87" s="559">
        <f t="shared" si="58"/>
        <v>37.9060089869281</v>
      </c>
      <c r="Y87" s="582">
        <f t="shared" si="59"/>
        <v>127.52046771799435</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0"/>
        <v>9290.7449608067564</v>
      </c>
      <c r="I89" s="553">
        <f>ITECountywide!$B$9*E89</f>
        <v>32.717078472481724</v>
      </c>
      <c r="J89" s="562">
        <f t="shared" ref="J89:J126" si="62">IF(F89="Prod",$M$3,$M$4)</f>
        <v>1.67</v>
      </c>
      <c r="K89" s="416">
        <f t="shared" ref="K89:K126" si="63">IF(F89="Prod",$F$4,$F$5)</f>
        <v>0.85014347095642351</v>
      </c>
      <c r="L89" s="554">
        <f>Passby_Length_Adj!H84</f>
        <v>0.4689899613519371</v>
      </c>
      <c r="M89" s="554">
        <f>Passby_Length_Adj!J84</f>
        <v>1</v>
      </c>
      <c r="N89" s="416">
        <v>0.5</v>
      </c>
      <c r="O89" s="546">
        <f t="shared" ref="O89:O126" si="64">L89*M89*N89</f>
        <v>0.23449498067596855</v>
      </c>
      <c r="P89" s="555">
        <f t="shared" ref="P89:P126" si="65">IF($F89="Prod",$I89*$O89*$F$4*$F$6,$I89*O89*$F$5*$F$7)</f>
        <v>49.164394750438071</v>
      </c>
      <c r="Q89" s="556">
        <f t="shared" si="61"/>
        <v>29.439757335591661</v>
      </c>
      <c r="R89" s="561">
        <f t="shared" ref="R89:R126" si="66">$Q$4</f>
        <v>261.71052631578948</v>
      </c>
      <c r="S89" s="583">
        <f t="shared" si="31"/>
        <v>7704.6943869068182</v>
      </c>
      <c r="T89" s="555">
        <f t="shared" ref="T89:T126" si="67">IF($F89="Prod",$I89*$O89*$G$4*$G$6,$I89*$O89*$G$5*$G$7)</f>
        <v>3.7500699817430787</v>
      </c>
      <c r="U89" s="559">
        <f t="shared" ref="U89:U126" si="68">+$R$4</f>
        <v>405.42115030277023</v>
      </c>
      <c r="V89" s="582">
        <f t="shared" ref="V89:V126" si="69">+T89*U89</f>
        <v>1520.3576857141675</v>
      </c>
      <c r="W89" s="555">
        <f t="shared" ref="W89:W126" si="70">IF($F89="Prod",$I89*$O89*$J$4*$J$6,$I89*$O89*$J$5*$J$7)</f>
        <v>1.7330468160978068</v>
      </c>
      <c r="X89" s="559">
        <f t="shared" ref="X89:X126" si="71">+$S$4</f>
        <v>37.9060089869281</v>
      </c>
      <c r="Y89" s="582">
        <f t="shared" ref="Y89:Y126" si="72">+W89*X89</f>
        <v>65.692888185770599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0"/>
        <v>26096.441524260525</v>
      </c>
      <c r="I90" s="553">
        <f>ITECountywide!$B$9*E90</f>
        <v>91.897832606915415</v>
      </c>
      <c r="J90" s="562">
        <f t="shared" si="62"/>
        <v>1.67</v>
      </c>
      <c r="K90" s="416">
        <f t="shared" si="63"/>
        <v>0.85014347095642351</v>
      </c>
      <c r="L90" s="554">
        <f>Passby_Length_Adj!H85</f>
        <v>0.4689899613519371</v>
      </c>
      <c r="M90" s="554">
        <f>Passby_Length_Adj!J85</f>
        <v>1</v>
      </c>
      <c r="N90" s="416">
        <v>0.5</v>
      </c>
      <c r="O90" s="546">
        <f t="shared" si="64"/>
        <v>0.23449498067596855</v>
      </c>
      <c r="P90" s="555">
        <f t="shared" si="65"/>
        <v>138.09611157048255</v>
      </c>
      <c r="Q90" s="556">
        <f t="shared" si="61"/>
        <v>82.692282377534468</v>
      </c>
      <c r="R90" s="561">
        <f t="shared" si="66"/>
        <v>261.71052631578948</v>
      </c>
      <c r="S90" s="583">
        <f t="shared" si="31"/>
        <v>21641.440743278428</v>
      </c>
      <c r="T90" s="555">
        <f t="shared" si="67"/>
        <v>10.533437566447317</v>
      </c>
      <c r="U90" s="559">
        <f t="shared" si="68"/>
        <v>405.42115030277023</v>
      </c>
      <c r="V90" s="582">
        <f t="shared" si="69"/>
        <v>4270.478374831484</v>
      </c>
      <c r="W90" s="555">
        <f t="shared" si="70"/>
        <v>4.8678932729173843</v>
      </c>
      <c r="X90" s="559">
        <f t="shared" si="71"/>
        <v>37.9060089869281</v>
      </c>
      <c r="Y90" s="582">
        <f t="shared" si="72"/>
        <v>184.52240615061322</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0"/>
        <v>4704.5655923420354</v>
      </c>
      <c r="I91" s="553">
        <f>ITECountywide!$B$9*E91</f>
        <v>16.566985996591853</v>
      </c>
      <c r="J91" s="562">
        <f t="shared" si="62"/>
        <v>1.67</v>
      </c>
      <c r="K91" s="416">
        <f t="shared" si="63"/>
        <v>0.85014347095642351</v>
      </c>
      <c r="L91" s="554">
        <f>Passby_Length_Adj!H86</f>
        <v>0.4689899613519371</v>
      </c>
      <c r="M91" s="554">
        <f>Passby_Length_Adj!J86</f>
        <v>1</v>
      </c>
      <c r="N91" s="416">
        <v>0.5</v>
      </c>
      <c r="O91" s="546">
        <f t="shared" si="64"/>
        <v>0.23449498067596855</v>
      </c>
      <c r="P91" s="555">
        <f t="shared" si="65"/>
        <v>24.895433131246754</v>
      </c>
      <c r="Q91" s="556">
        <f t="shared" si="61"/>
        <v>14.907444988770512</v>
      </c>
      <c r="R91" s="561">
        <f t="shared" si="66"/>
        <v>261.71052631578948</v>
      </c>
      <c r="S91" s="583">
        <f t="shared" si="31"/>
        <v>3901.435274034809</v>
      </c>
      <c r="T91" s="555">
        <f t="shared" si="67"/>
        <v>1.8989274034976034</v>
      </c>
      <c r="U91" s="559">
        <f t="shared" si="68"/>
        <v>405.42115030277023</v>
      </c>
      <c r="V91" s="582">
        <f t="shared" si="69"/>
        <v>769.86533226745109</v>
      </c>
      <c r="W91" s="555">
        <f t="shared" si="70"/>
        <v>0.87756498056143784</v>
      </c>
      <c r="X91" s="559">
        <f t="shared" si="71"/>
        <v>37.9060089869281</v>
      </c>
      <c r="Y91" s="582">
        <f t="shared" si="72"/>
        <v>33.264986039775245</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0"/>
        <v>35052.616721935738</v>
      </c>
      <c r="I92" s="553">
        <f>ITECountywide!$B$9*E92</f>
        <v>123.43673373828283</v>
      </c>
      <c r="J92" s="562">
        <f t="shared" si="62"/>
        <v>1.67</v>
      </c>
      <c r="K92" s="416">
        <f t="shared" si="63"/>
        <v>0.85014347095642351</v>
      </c>
      <c r="L92" s="554">
        <f>Passby_Length_Adj!H87</f>
        <v>0.4689899613519371</v>
      </c>
      <c r="M92" s="554">
        <f>Passby_Length_Adj!J87</f>
        <v>1</v>
      </c>
      <c r="N92" s="416">
        <v>0.5</v>
      </c>
      <c r="O92" s="546">
        <f t="shared" si="64"/>
        <v>0.23449498067596855</v>
      </c>
      <c r="P92" s="555">
        <f t="shared" si="65"/>
        <v>185.49004335206828</v>
      </c>
      <c r="Q92" s="556">
        <f t="shared" si="61"/>
        <v>111.07188224674748</v>
      </c>
      <c r="R92" s="561">
        <f t="shared" si="66"/>
        <v>261.71052631578948</v>
      </c>
      <c r="S92" s="583">
        <f t="shared" si="31"/>
        <v>29068.680761681677</v>
      </c>
      <c r="T92" s="555">
        <f t="shared" si="67"/>
        <v>14.148463476825686</v>
      </c>
      <c r="U92" s="559">
        <f t="shared" si="68"/>
        <v>405.42115030277023</v>
      </c>
      <c r="V92" s="582">
        <f t="shared" si="69"/>
        <v>5736.0863377914011</v>
      </c>
      <c r="W92" s="555">
        <f t="shared" si="70"/>
        <v>6.5385312009008665</v>
      </c>
      <c r="X92" s="559">
        <f t="shared" si="71"/>
        <v>37.9060089869281</v>
      </c>
      <c r="Y92" s="582">
        <f t="shared" si="72"/>
        <v>247.84962246265803</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0"/>
        <v>19430.782397255123</v>
      </c>
      <c r="I93" s="553">
        <f>ITECountywide!$B$9*E93</f>
        <v>68.42491481086897</v>
      </c>
      <c r="J93" s="562">
        <f t="shared" si="62"/>
        <v>1.67</v>
      </c>
      <c r="K93" s="416">
        <f t="shared" si="63"/>
        <v>0.85014347095642351</v>
      </c>
      <c r="L93" s="554">
        <f>Passby_Length_Adj!H88</f>
        <v>0.4689899613519371</v>
      </c>
      <c r="M93" s="554">
        <f>Passby_Length_Adj!J88</f>
        <v>1</v>
      </c>
      <c r="N93" s="416">
        <v>0.5</v>
      </c>
      <c r="O93" s="546">
        <f t="shared" si="64"/>
        <v>0.23449498067596855</v>
      </c>
      <c r="P93" s="555">
        <f t="shared" si="65"/>
        <v>102.82304165257823</v>
      </c>
      <c r="Q93" s="556">
        <f t="shared" si="61"/>
        <v>61.57068362429834</v>
      </c>
      <c r="R93" s="561">
        <f t="shared" si="66"/>
        <v>261.71052631578948</v>
      </c>
      <c r="S93" s="583">
        <f t="shared" si="31"/>
        <v>16113.696016938078</v>
      </c>
      <c r="T93" s="555">
        <f t="shared" si="67"/>
        <v>7.8429441446427273</v>
      </c>
      <c r="U93" s="559">
        <f t="shared" si="68"/>
        <v>405.42115030277023</v>
      </c>
      <c r="V93" s="582">
        <f t="shared" si="69"/>
        <v>3179.6954368814309</v>
      </c>
      <c r="W93" s="555">
        <f t="shared" si="70"/>
        <v>3.6245161943319779</v>
      </c>
      <c r="X93" s="559">
        <f t="shared" si="71"/>
        <v>37.9060089869281</v>
      </c>
      <c r="Y93" s="582">
        <f t="shared" si="72"/>
        <v>137.39094343561439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0"/>
        <v>18860.738367093789</v>
      </c>
      <c r="I94" s="553">
        <f>ITECountywide!$B$9*E94</f>
        <v>284.21511603055654</v>
      </c>
      <c r="J94" s="562">
        <f t="shared" si="62"/>
        <v>1.67</v>
      </c>
      <c r="K94" s="416">
        <f t="shared" si="63"/>
        <v>0.85014347095642351</v>
      </c>
      <c r="L94" s="554">
        <f>Passby_Length_Adj!H89</f>
        <v>0.3846286671810874</v>
      </c>
      <c r="M94" s="554">
        <f>Passby_Length_Adj!J89</f>
        <v>0.28494260634706281</v>
      </c>
      <c r="N94" s="416">
        <v>0.5</v>
      </c>
      <c r="O94" s="546">
        <f t="shared" si="64"/>
        <v>5.4798547451188014E-2</v>
      </c>
      <c r="P94" s="555">
        <f t="shared" si="65"/>
        <v>99.806505320754411</v>
      </c>
      <c r="Q94" s="556">
        <f t="shared" si="61"/>
        <v>59.764374443565515</v>
      </c>
      <c r="R94" s="561">
        <f t="shared" si="66"/>
        <v>261.71052631578948</v>
      </c>
      <c r="S94" s="583">
        <f t="shared" si="31"/>
        <v>15640.96589055945</v>
      </c>
      <c r="T94" s="555">
        <f t="shared" si="67"/>
        <v>7.6128544139701244</v>
      </c>
      <c r="U94" s="559">
        <f t="shared" si="68"/>
        <v>405.42115030277023</v>
      </c>
      <c r="V94" s="582">
        <f t="shared" si="69"/>
        <v>3086.4121935992894</v>
      </c>
      <c r="W94" s="555">
        <f t="shared" si="70"/>
        <v>3.5181831719883223</v>
      </c>
      <c r="X94" s="559">
        <f t="shared" si="71"/>
        <v>37.9060089869281</v>
      </c>
      <c r="Y94" s="582">
        <f t="shared" si="72"/>
        <v>133.36028293504856</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0"/>
        <v>10067.02784872399</v>
      </c>
      <c r="I95" s="553">
        <f>ITECountywide!$B$9*E95</f>
        <v>160.19124330117839</v>
      </c>
      <c r="J95" s="562">
        <f t="shared" si="62"/>
        <v>1.67</v>
      </c>
      <c r="K95" s="416">
        <f t="shared" si="63"/>
        <v>0.85014347095642351</v>
      </c>
      <c r="L95" s="554">
        <f>Passby_Length_Adj!H90</f>
        <v>0.3846286671810874</v>
      </c>
      <c r="M95" s="554">
        <f>Passby_Length_Adj!J90</f>
        <v>0.26984126984126988</v>
      </c>
      <c r="N95" s="416">
        <v>0.5</v>
      </c>
      <c r="O95" s="546">
        <f t="shared" si="64"/>
        <v>5.1894343984749895E-2</v>
      </c>
      <c r="P95" s="555">
        <f t="shared" si="65"/>
        <v>53.272297668941917</v>
      </c>
      <c r="Q95" s="556">
        <f t="shared" si="61"/>
        <v>31.899579442480192</v>
      </c>
      <c r="R95" s="561">
        <f t="shared" si="66"/>
        <v>261.71052631578948</v>
      </c>
      <c r="S95" s="583">
        <f t="shared" si="31"/>
        <v>8348.4557251438291</v>
      </c>
      <c r="T95" s="555">
        <f t="shared" si="67"/>
        <v>4.063404936862379</v>
      </c>
      <c r="U95" s="559">
        <f t="shared" si="68"/>
        <v>405.42115030277023</v>
      </c>
      <c r="V95" s="582">
        <f t="shared" si="69"/>
        <v>1647.3903036487011</v>
      </c>
      <c r="W95" s="555">
        <f t="shared" si="70"/>
        <v>1.8778505528241405</v>
      </c>
      <c r="X95" s="559">
        <f t="shared" si="71"/>
        <v>37.9060089869281</v>
      </c>
      <c r="Y95" s="582">
        <f t="shared" si="72"/>
        <v>71.181819931459771</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0"/>
        <v>7508.6259016573622</v>
      </c>
      <c r="I96" s="553">
        <f>ITECountywide!$B$9*E96</f>
        <v>119.48075804939616</v>
      </c>
      <c r="J96" s="562">
        <f t="shared" si="62"/>
        <v>1.67</v>
      </c>
      <c r="K96" s="416">
        <f t="shared" si="63"/>
        <v>0.85014347095642351</v>
      </c>
      <c r="L96" s="554">
        <f>Passby_Length_Adj!H91</f>
        <v>0.3846286671810874</v>
      </c>
      <c r="M96" s="554">
        <f>Passby_Length_Adj!J91</f>
        <v>0.26984126984126988</v>
      </c>
      <c r="N96" s="416">
        <v>0.5</v>
      </c>
      <c r="O96" s="546">
        <f t="shared" si="64"/>
        <v>5.1894343984749895E-2</v>
      </c>
      <c r="P96" s="555">
        <f t="shared" si="65"/>
        <v>39.733847976641798</v>
      </c>
      <c r="Q96" s="556">
        <f t="shared" si="61"/>
        <v>23.792723339306466</v>
      </c>
      <c r="R96" s="561">
        <f t="shared" si="66"/>
        <v>261.71052631578948</v>
      </c>
      <c r="S96" s="583">
        <f t="shared" si="31"/>
        <v>6226.8061476158637</v>
      </c>
      <c r="T96" s="555">
        <f t="shared" si="67"/>
        <v>3.0307443285472302</v>
      </c>
      <c r="U96" s="559">
        <f t="shared" si="68"/>
        <v>405.42115030277023</v>
      </c>
      <c r="V96" s="582">
        <f t="shared" si="69"/>
        <v>1228.7278519532151</v>
      </c>
      <c r="W96" s="555">
        <f t="shared" si="70"/>
        <v>1.4006196776503543</v>
      </c>
      <c r="X96" s="559">
        <f t="shared" si="71"/>
        <v>37.9060089869281</v>
      </c>
      <c r="Y96" s="582">
        <f t="shared" si="72"/>
        <v>53.091902088282673</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0"/>
        <v>27179.683396590084</v>
      </c>
      <c r="I97" s="553">
        <f>ITECountywide!$B$9*E97</f>
        <v>95.712436224945051</v>
      </c>
      <c r="J97" s="562">
        <f t="shared" si="62"/>
        <v>1.67</v>
      </c>
      <c r="K97" s="416">
        <f t="shared" si="63"/>
        <v>0.85014347095642351</v>
      </c>
      <c r="L97" s="554">
        <f>Passby_Length_Adj!H92</f>
        <v>0.4689899613519371</v>
      </c>
      <c r="M97" s="554">
        <f>Passby_Length_Adj!J92</f>
        <v>1</v>
      </c>
      <c r="N97" s="416">
        <v>0.5</v>
      </c>
      <c r="O97" s="546">
        <f t="shared" si="64"/>
        <v>0.23449498067596855</v>
      </c>
      <c r="P97" s="555">
        <f t="shared" si="65"/>
        <v>143.82836783691542</v>
      </c>
      <c r="Q97" s="556">
        <f t="shared" si="61"/>
        <v>86.124771159829592</v>
      </c>
      <c r="R97" s="561">
        <f t="shared" si="66"/>
        <v>261.71052631578948</v>
      </c>
      <c r="S97" s="583">
        <f t="shared" si="31"/>
        <v>22539.759189065928</v>
      </c>
      <c r="T97" s="555">
        <f t="shared" si="67"/>
        <v>10.970671915848456</v>
      </c>
      <c r="U97" s="559">
        <f t="shared" si="68"/>
        <v>405.42115030277023</v>
      </c>
      <c r="V97" s="582">
        <f t="shared" si="69"/>
        <v>4447.7424277175769</v>
      </c>
      <c r="W97" s="555">
        <f t="shared" si="70"/>
        <v>5.0699555279705626</v>
      </c>
      <c r="X97" s="559">
        <f t="shared" si="71"/>
        <v>37.9060089869281</v>
      </c>
      <c r="Y97" s="582">
        <f t="shared" si="72"/>
        <v>192.18177980657794</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0"/>
        <v>23080.902884500567</v>
      </c>
      <c r="I98" s="553">
        <f>ITECountywide!$B$9*E98</f>
        <v>81.278704137667205</v>
      </c>
      <c r="J98" s="562">
        <f t="shared" si="62"/>
        <v>1.67</v>
      </c>
      <c r="K98" s="416">
        <f t="shared" si="63"/>
        <v>0.85014347095642351</v>
      </c>
      <c r="L98" s="554">
        <f>Passby_Length_Adj!H93</f>
        <v>0.4689899613519371</v>
      </c>
      <c r="M98" s="554">
        <f>Passby_Length_Adj!J93</f>
        <v>1</v>
      </c>
      <c r="N98" s="416">
        <v>0.5</v>
      </c>
      <c r="O98" s="546">
        <f t="shared" si="64"/>
        <v>0.23449498067596855</v>
      </c>
      <c r="P98" s="555">
        <f t="shared" si="65"/>
        <v>122.13860410517334</v>
      </c>
      <c r="Q98" s="556">
        <f t="shared" si="61"/>
        <v>73.136888685732544</v>
      </c>
      <c r="R98" s="561">
        <f t="shared" si="66"/>
        <v>261.71052631578948</v>
      </c>
      <c r="S98" s="583">
        <f t="shared" si="31"/>
        <v>19140.693631042373</v>
      </c>
      <c r="T98" s="555">
        <f t="shared" si="67"/>
        <v>9.3162605823136122</v>
      </c>
      <c r="U98" s="559">
        <f t="shared" si="68"/>
        <v>405.42115030277023</v>
      </c>
      <c r="V98" s="582">
        <f t="shared" si="69"/>
        <v>3777.0090818019407</v>
      </c>
      <c r="W98" s="555">
        <f t="shared" si="70"/>
        <v>4.3053905177021443</v>
      </c>
      <c r="X98" s="559">
        <f t="shared" si="71"/>
        <v>37.9060089869281</v>
      </c>
      <c r="Y98" s="582">
        <f t="shared" si="72"/>
        <v>163.20017165625251</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0"/>
        <v>20724.870343015915</v>
      </c>
      <c r="I99" s="553">
        <f>ITECountywide!$B$9*E99</f>
        <v>72.982006524219813</v>
      </c>
      <c r="J99" s="562">
        <f t="shared" si="62"/>
        <v>1.67</v>
      </c>
      <c r="K99" s="416">
        <f t="shared" si="63"/>
        <v>0.85014347095642351</v>
      </c>
      <c r="L99" s="554">
        <f>Passby_Length_Adj!H94</f>
        <v>0.4689899613519371</v>
      </c>
      <c r="M99" s="554">
        <f>Passby_Length_Adj!J94</f>
        <v>1</v>
      </c>
      <c r="N99" s="416">
        <v>0.5</v>
      </c>
      <c r="O99" s="546">
        <f t="shared" si="64"/>
        <v>0.23449498067596855</v>
      </c>
      <c r="P99" s="555">
        <f t="shared" si="65"/>
        <v>109.67104478640255</v>
      </c>
      <c r="Q99" s="556">
        <f t="shared" si="61"/>
        <v>65.671284303235055</v>
      </c>
      <c r="R99" s="561">
        <f t="shared" si="66"/>
        <v>261.71052631578948</v>
      </c>
      <c r="S99" s="583">
        <f t="shared" si="31"/>
        <v>17186.866378833489</v>
      </c>
      <c r="T99" s="555">
        <f t="shared" si="67"/>
        <v>8.3652833520588494</v>
      </c>
      <c r="U99" s="559">
        <f t="shared" si="68"/>
        <v>405.42115030277023</v>
      </c>
      <c r="V99" s="582">
        <f t="shared" si="69"/>
        <v>3391.4627992003125</v>
      </c>
      <c r="W99" s="555">
        <f t="shared" si="70"/>
        <v>3.8659085696056774</v>
      </c>
      <c r="X99" s="559">
        <f t="shared" si="71"/>
        <v>37.9060089869281</v>
      </c>
      <c r="Y99" s="582">
        <f t="shared" si="72"/>
        <v>146.54116498211516</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0"/>
        <v>19123.421261464115</v>
      </c>
      <c r="I100" s="553">
        <f>ITECountywide!$B$9*E100</f>
        <v>67.342551831206222</v>
      </c>
      <c r="J100" s="562">
        <f t="shared" si="62"/>
        <v>1.67</v>
      </c>
      <c r="K100" s="416">
        <f t="shared" si="63"/>
        <v>0.85014347095642351</v>
      </c>
      <c r="L100" s="554">
        <f>Passby_Length_Adj!H95</f>
        <v>0.4689899613519371</v>
      </c>
      <c r="M100" s="554">
        <f>Passby_Length_Adj!J95</f>
        <v>1</v>
      </c>
      <c r="N100" s="416">
        <v>0.5</v>
      </c>
      <c r="O100" s="546">
        <f t="shared" si="64"/>
        <v>0.23449498067596855</v>
      </c>
      <c r="P100" s="555">
        <f t="shared" si="65"/>
        <v>101.19656021597447</v>
      </c>
      <c r="Q100" s="556">
        <f t="shared" si="61"/>
        <v>60.596742644296093</v>
      </c>
      <c r="R100" s="561">
        <f t="shared" si="66"/>
        <v>261.71052631578948</v>
      </c>
      <c r="S100" s="583">
        <f t="shared" si="31"/>
        <v>15858.805410461175</v>
      </c>
      <c r="T100" s="555">
        <f t="shared" si="67"/>
        <v>7.7188824279831163</v>
      </c>
      <c r="U100" s="559">
        <f t="shared" si="68"/>
        <v>405.42115030277023</v>
      </c>
      <c r="V100" s="582">
        <f t="shared" si="69"/>
        <v>3129.3981930047548</v>
      </c>
      <c r="W100" s="555">
        <f t="shared" si="70"/>
        <v>3.5671826607970569</v>
      </c>
      <c r="X100" s="559">
        <f t="shared" si="71"/>
        <v>37.9060089869281</v>
      </c>
      <c r="Y100" s="582">
        <f t="shared" si="72"/>
        <v>135.21765799818732</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0"/>
        <v>17934.015294253921</v>
      </c>
      <c r="I101" s="553">
        <f>ITECountywide!$B$9*E101</f>
        <v>63.154094551514092</v>
      </c>
      <c r="J101" s="562">
        <f t="shared" si="62"/>
        <v>1.67</v>
      </c>
      <c r="K101" s="416">
        <f t="shared" si="63"/>
        <v>0.85014347095642351</v>
      </c>
      <c r="L101" s="554">
        <f>Passby_Length_Adj!H96</f>
        <v>0.4689899613519371</v>
      </c>
      <c r="M101" s="554">
        <f>Passby_Length_Adj!J96</f>
        <v>1</v>
      </c>
      <c r="N101" s="416">
        <v>0.5</v>
      </c>
      <c r="O101" s="546">
        <f t="shared" si="64"/>
        <v>0.23449498067596855</v>
      </c>
      <c r="P101" s="555">
        <f t="shared" si="65"/>
        <v>94.902509013715346</v>
      </c>
      <c r="Q101" s="556">
        <f t="shared" si="61"/>
        <v>56.827849708811584</v>
      </c>
      <c r="R101" s="561">
        <f t="shared" si="66"/>
        <v>261.71052631578948</v>
      </c>
      <c r="S101" s="583">
        <f t="shared" si="31"/>
        <v>14872.446456687663</v>
      </c>
      <c r="T101" s="555">
        <f t="shared" si="67"/>
        <v>7.2387965325509231</v>
      </c>
      <c r="U101" s="559">
        <f t="shared" si="68"/>
        <v>405.42115030277023</v>
      </c>
      <c r="V101" s="582">
        <f t="shared" si="69"/>
        <v>2934.7612170344996</v>
      </c>
      <c r="W101" s="555">
        <f t="shared" si="70"/>
        <v>3.3453171125318755</v>
      </c>
      <c r="X101" s="559">
        <f t="shared" si="71"/>
        <v>37.9060089869281</v>
      </c>
      <c r="Y101" s="582">
        <f t="shared" si="72"/>
        <v>126.80762053175764</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0"/>
        <v>16602.069348740555</v>
      </c>
      <c r="I102" s="553">
        <f>ITECountywide!$B$9*E102</f>
        <v>58.463687032601783</v>
      </c>
      <c r="J102" s="562">
        <f t="shared" si="62"/>
        <v>1.67</v>
      </c>
      <c r="K102" s="416">
        <f t="shared" si="63"/>
        <v>0.85014347095642351</v>
      </c>
      <c r="L102" s="554">
        <f>Passby_Length_Adj!H97</f>
        <v>0.4689899613519371</v>
      </c>
      <c r="M102" s="554">
        <f>Passby_Length_Adj!J97</f>
        <v>1</v>
      </c>
      <c r="N102" s="416">
        <v>0.5</v>
      </c>
      <c r="O102" s="546">
        <f t="shared" si="64"/>
        <v>0.23449498067596855</v>
      </c>
      <c r="P102" s="555">
        <f t="shared" si="65"/>
        <v>87.854170422169474</v>
      </c>
      <c r="Q102" s="556">
        <f t="shared" si="61"/>
        <v>52.607287677945799</v>
      </c>
      <c r="R102" s="561">
        <f t="shared" si="66"/>
        <v>261.71052631578948</v>
      </c>
      <c r="S102" s="583">
        <f t="shared" si="31"/>
        <v>13767.880946241341</v>
      </c>
      <c r="T102" s="555">
        <f t="shared" si="67"/>
        <v>6.7011765108362873</v>
      </c>
      <c r="U102" s="559">
        <f t="shared" si="68"/>
        <v>405.42115030277023</v>
      </c>
      <c r="V102" s="582">
        <f t="shared" si="69"/>
        <v>2716.7986894051519</v>
      </c>
      <c r="W102" s="555">
        <f t="shared" si="70"/>
        <v>3.0968629046266916</v>
      </c>
      <c r="X102" s="559">
        <f t="shared" si="71"/>
        <v>37.9060089869281</v>
      </c>
      <c r="Y102" s="582">
        <f t="shared" si="72"/>
        <v>117.38971309406362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0"/>
        <v>15319.196729015843</v>
      </c>
      <c r="I103" s="553">
        <f>ITECountywide!$B$9*E103</f>
        <v>53.946089751997178</v>
      </c>
      <c r="J103" s="562">
        <f t="shared" si="62"/>
        <v>1.67</v>
      </c>
      <c r="K103" s="416">
        <f t="shared" si="63"/>
        <v>0.85014347095642351</v>
      </c>
      <c r="L103" s="554">
        <f>Passby_Length_Adj!H98</f>
        <v>0.4689899613519371</v>
      </c>
      <c r="M103" s="554">
        <f>Passby_Length_Adj!J98</f>
        <v>1</v>
      </c>
      <c r="N103" s="416">
        <v>0.5</v>
      </c>
      <c r="O103" s="546">
        <f t="shared" si="64"/>
        <v>0.23449498067596855</v>
      </c>
      <c r="P103" s="555">
        <f t="shared" si="65"/>
        <v>81.06551610470153</v>
      </c>
      <c r="Q103" s="556">
        <f t="shared" si="61"/>
        <v>48.542225212396126</v>
      </c>
      <c r="R103" s="561">
        <f t="shared" si="66"/>
        <v>261.71052631578948</v>
      </c>
      <c r="S103" s="583">
        <f t="shared" si="31"/>
        <v>12704.011308875775</v>
      </c>
      <c r="T103" s="555">
        <f t="shared" si="67"/>
        <v>6.1833642017131236</v>
      </c>
      <c r="U103" s="559">
        <f t="shared" si="68"/>
        <v>405.42115030277023</v>
      </c>
      <c r="V103" s="582">
        <f t="shared" si="69"/>
        <v>2506.866627399505</v>
      </c>
      <c r="W103" s="555">
        <f t="shared" si="70"/>
        <v>2.8575625774245226</v>
      </c>
      <c r="X103" s="559">
        <f t="shared" si="71"/>
        <v>37.9060089869281</v>
      </c>
      <c r="Y103" s="582">
        <f t="shared" si="72"/>
        <v>108.31879274056338</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0"/>
        <v>14366.399436458403</v>
      </c>
      <c r="I104" s="553">
        <f>ITECountywide!$B$9*E104</f>
        <v>50.590842791664826</v>
      </c>
      <c r="J104" s="562">
        <f t="shared" si="62"/>
        <v>1.67</v>
      </c>
      <c r="K104" s="416">
        <f t="shared" si="63"/>
        <v>0.85014347095642351</v>
      </c>
      <c r="L104" s="554">
        <f>Passby_Length_Adj!H99</f>
        <v>0.4689899613519371</v>
      </c>
      <c r="M104" s="554">
        <f>Passby_Length_Adj!J99</f>
        <v>1</v>
      </c>
      <c r="N104" s="416">
        <v>0.5</v>
      </c>
      <c r="O104" s="546">
        <f t="shared" si="64"/>
        <v>0.23449498067596855</v>
      </c>
      <c r="P104" s="555">
        <f t="shared" si="65"/>
        <v>76.023541278564977</v>
      </c>
      <c r="Q104" s="556">
        <f t="shared" si="61"/>
        <v>45.523078609919153</v>
      </c>
      <c r="R104" s="561">
        <f t="shared" si="66"/>
        <v>261.71052631578948</v>
      </c>
      <c r="S104" s="583">
        <f t="shared" si="31"/>
        <v>11913.868862517</v>
      </c>
      <c r="T104" s="555">
        <f t="shared" si="67"/>
        <v>5.7987818522267505</v>
      </c>
      <c r="U104" s="559">
        <f t="shared" si="68"/>
        <v>405.42115030277023</v>
      </c>
      <c r="V104" s="582">
        <f t="shared" si="69"/>
        <v>2350.9488088845978</v>
      </c>
      <c r="W104" s="555">
        <f t="shared" si="70"/>
        <v>2.6798327698343778</v>
      </c>
      <c r="X104" s="559">
        <f t="shared" si="71"/>
        <v>37.9060089869281</v>
      </c>
      <c r="Y104" s="582">
        <f t="shared" si="72"/>
        <v>101.58176505680635</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0"/>
        <v>13618.576780884296</v>
      </c>
      <c r="I105" s="553">
        <f>ITECountywide!$B$9*E105</f>
        <v>47.957407840094127</v>
      </c>
      <c r="J105" s="562">
        <f t="shared" si="62"/>
        <v>1.67</v>
      </c>
      <c r="K105" s="416">
        <f t="shared" si="63"/>
        <v>0.85014347095642351</v>
      </c>
      <c r="L105" s="554">
        <f>Passby_Length_Adj!H100</f>
        <v>0.4689899613519371</v>
      </c>
      <c r="M105" s="554">
        <f>Passby_Length_Adj!J100</f>
        <v>1</v>
      </c>
      <c r="N105" s="416">
        <v>0.5</v>
      </c>
      <c r="O105" s="546">
        <f t="shared" si="64"/>
        <v>0.23449498067596855</v>
      </c>
      <c r="P105" s="555">
        <f t="shared" si="65"/>
        <v>72.066243085894129</v>
      </c>
      <c r="Q105" s="556">
        <f t="shared" si="61"/>
        <v>43.153438973589303</v>
      </c>
      <c r="R105" s="561">
        <f t="shared" si="66"/>
        <v>261.71052631578948</v>
      </c>
      <c r="S105" s="583">
        <f t="shared" ref="S105:S137" si="73">Q105*R105</f>
        <v>11293.709226114359</v>
      </c>
      <c r="T105" s="555">
        <f t="shared" si="67"/>
        <v>5.496934443416559</v>
      </c>
      <c r="U105" s="559">
        <f t="shared" si="68"/>
        <v>405.42115030277023</v>
      </c>
      <c r="V105" s="582">
        <f t="shared" si="69"/>
        <v>2228.5734851888592</v>
      </c>
      <c r="W105" s="555">
        <f t="shared" si="70"/>
        <v>2.5403378555174125</v>
      </c>
      <c r="X105" s="559">
        <f t="shared" si="71"/>
        <v>37.9060089869281</v>
      </c>
      <c r="Y105" s="582">
        <f t="shared" si="72"/>
        <v>96.294069581076698</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0"/>
        <v>13686.47692564275</v>
      </c>
      <c r="I106" s="553">
        <f>ITECountywide!$B$9*E106</f>
        <v>48.196516154198832</v>
      </c>
      <c r="J106" s="562">
        <f t="shared" si="62"/>
        <v>1.67</v>
      </c>
      <c r="K106" s="416">
        <f t="shared" si="63"/>
        <v>0.85014347095642351</v>
      </c>
      <c r="L106" s="554">
        <f>Passby_Length_Adj!H101</f>
        <v>0.4689899613519371</v>
      </c>
      <c r="M106" s="554">
        <f>Passby_Length_Adj!J101</f>
        <v>1</v>
      </c>
      <c r="N106" s="416">
        <v>0.5</v>
      </c>
      <c r="O106" s="546">
        <f t="shared" si="64"/>
        <v>0.23449498067596855</v>
      </c>
      <c r="P106" s="555">
        <f t="shared" si="65"/>
        <v>72.425554371974968</v>
      </c>
      <c r="Q106" s="556">
        <f t="shared" si="61"/>
        <v>43.36859543232034</v>
      </c>
      <c r="R106" s="561">
        <f t="shared" si="66"/>
        <v>261.71052631578948</v>
      </c>
      <c r="S106" s="583">
        <f t="shared" si="73"/>
        <v>11350.017936169101</v>
      </c>
      <c r="T106" s="555">
        <f t="shared" si="67"/>
        <v>5.5243413193655657</v>
      </c>
      <c r="U106" s="559">
        <f t="shared" si="68"/>
        <v>405.42115030277023</v>
      </c>
      <c r="V106" s="582">
        <f t="shared" si="69"/>
        <v>2239.6848123623108</v>
      </c>
      <c r="W106" s="555">
        <f t="shared" si="70"/>
        <v>2.553003592246021</v>
      </c>
      <c r="X106" s="559">
        <f t="shared" si="71"/>
        <v>37.9060089869281</v>
      </c>
      <c r="Y106" s="582">
        <f t="shared" si="72"/>
        <v>96.774177111337394</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0"/>
        <v>14329.880316280334</v>
      </c>
      <c r="I107" s="553">
        <f>ITECountywide!$B$9*E107</f>
        <v>50.462241810187869</v>
      </c>
      <c r="J107" s="562">
        <f t="shared" si="62"/>
        <v>1.67</v>
      </c>
      <c r="K107" s="416">
        <f t="shared" si="63"/>
        <v>0.85014347095642351</v>
      </c>
      <c r="L107" s="554">
        <f>Passby_Length_Adj!H102</f>
        <v>0.4689899613519371</v>
      </c>
      <c r="M107" s="554">
        <f>Passby_Length_Adj!J102</f>
        <v>1</v>
      </c>
      <c r="N107" s="416">
        <v>0.5</v>
      </c>
      <c r="O107" s="546">
        <f t="shared" si="64"/>
        <v>0.23449498067596855</v>
      </c>
      <c r="P107" s="555">
        <f t="shared" si="65"/>
        <v>75.830290850537153</v>
      </c>
      <c r="Q107" s="556">
        <f t="shared" si="61"/>
        <v>45.407359790740813</v>
      </c>
      <c r="R107" s="561">
        <f t="shared" si="66"/>
        <v>261.71052631578948</v>
      </c>
      <c r="S107" s="583">
        <f t="shared" si="73"/>
        <v>11883.584029445195</v>
      </c>
      <c r="T107" s="555">
        <f t="shared" si="67"/>
        <v>5.784041456605391</v>
      </c>
      <c r="U107" s="559">
        <f t="shared" si="68"/>
        <v>405.42115030277023</v>
      </c>
      <c r="V107" s="582">
        <f t="shared" si="69"/>
        <v>2344.9727407358682</v>
      </c>
      <c r="W107" s="555">
        <f t="shared" si="70"/>
        <v>2.67302068477357</v>
      </c>
      <c r="X107" s="559">
        <f t="shared" si="71"/>
        <v>37.9060089869281</v>
      </c>
      <c r="Y107" s="582">
        <f t="shared" si="72"/>
        <v>101.32354609927165</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0"/>
        <v>28484.754910307252</v>
      </c>
      <c r="I108" s="553">
        <f>ITECountywide!$B$9*E108</f>
        <v>100.30820624194673</v>
      </c>
      <c r="J108" s="562">
        <f t="shared" si="62"/>
        <v>1.67</v>
      </c>
      <c r="K108" s="416">
        <f t="shared" si="63"/>
        <v>0.85014347095642351</v>
      </c>
      <c r="L108" s="554">
        <f>Passby_Length_Adj!H103</f>
        <v>0.4689899613519371</v>
      </c>
      <c r="M108" s="554">
        <f>Passby_Length_Adj!J103</f>
        <v>1</v>
      </c>
      <c r="N108" s="416">
        <v>0.5</v>
      </c>
      <c r="O108" s="546">
        <f t="shared" si="64"/>
        <v>0.23449498067596855</v>
      </c>
      <c r="P108" s="555">
        <f t="shared" si="65"/>
        <v>150.7344933789054</v>
      </c>
      <c r="Q108" s="556">
        <f t="shared" si="61"/>
        <v>90.260175675991263</v>
      </c>
      <c r="R108" s="561">
        <f t="shared" si="66"/>
        <v>261.71052631578948</v>
      </c>
      <c r="S108" s="583">
        <f t="shared" si="73"/>
        <v>23622.038081519295</v>
      </c>
      <c r="T108" s="555">
        <f t="shared" si="67"/>
        <v>11.497444475881551</v>
      </c>
      <c r="U108" s="559">
        <f t="shared" si="68"/>
        <v>405.42115030277023</v>
      </c>
      <c r="V108" s="582">
        <f t="shared" si="69"/>
        <v>4661.3071649541298</v>
      </c>
      <c r="W108" s="555">
        <f t="shared" si="70"/>
        <v>5.3133967203796466</v>
      </c>
      <c r="X108" s="559">
        <f t="shared" si="71"/>
        <v>37.9060089869281</v>
      </c>
      <c r="Y108" s="582">
        <f t="shared" si="72"/>
        <v>201.40966383382516</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0"/>
        <v>14679.891760787183</v>
      </c>
      <c r="I109" s="553">
        <f>ITECountywide!$B$9*E109</f>
        <v>51.694796567045906</v>
      </c>
      <c r="J109" s="562">
        <f t="shared" si="62"/>
        <v>1.67</v>
      </c>
      <c r="K109" s="416">
        <f t="shared" si="63"/>
        <v>0.85014347095642351</v>
      </c>
      <c r="L109" s="554">
        <f>Passby_Length_Adj!H104</f>
        <v>0.4689899613519371</v>
      </c>
      <c r="M109" s="554">
        <f>Passby_Length_Adj!J104</f>
        <v>1</v>
      </c>
      <c r="N109" s="416">
        <v>0.5</v>
      </c>
      <c r="O109" s="546">
        <f t="shared" si="64"/>
        <v>0.23449498067596855</v>
      </c>
      <c r="P109" s="555">
        <f t="shared" si="65"/>
        <v>77.682467494874984</v>
      </c>
      <c r="Q109" s="556">
        <f t="shared" si="61"/>
        <v>46.516447601721552</v>
      </c>
      <c r="R109" s="561">
        <f t="shared" si="66"/>
        <v>261.71052631578948</v>
      </c>
      <c r="S109" s="583">
        <f t="shared" si="73"/>
        <v>12173.843984187391</v>
      </c>
      <c r="T109" s="555">
        <f t="shared" si="67"/>
        <v>5.9253183312638562</v>
      </c>
      <c r="U109" s="559">
        <f t="shared" si="68"/>
        <v>405.42115030277023</v>
      </c>
      <c r="V109" s="582">
        <f t="shared" si="69"/>
        <v>2402.2493737710834</v>
      </c>
      <c r="W109" s="555">
        <f t="shared" si="70"/>
        <v>2.738309983108556</v>
      </c>
      <c r="X109" s="559">
        <f t="shared" si="71"/>
        <v>37.9060089869281</v>
      </c>
      <c r="Y109" s="582">
        <f t="shared" si="72"/>
        <v>103.79840282870786</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0"/>
        <v>12163.252538721774</v>
      </c>
      <c r="I110" s="553">
        <f>ITECountywide!$B$9*E110</f>
        <v>193.54734843720766</v>
      </c>
      <c r="J110" s="562">
        <f t="shared" si="62"/>
        <v>1.67</v>
      </c>
      <c r="K110" s="416">
        <f t="shared" si="63"/>
        <v>0.85014347095642351</v>
      </c>
      <c r="L110" s="554">
        <f>Passby_Length_Adj!H105</f>
        <v>0.3846286671810874</v>
      </c>
      <c r="M110" s="554">
        <f>Passby_Length_Adj!J105</f>
        <v>0.26984126984126988</v>
      </c>
      <c r="N110" s="416">
        <v>0.5</v>
      </c>
      <c r="O110" s="546">
        <f t="shared" si="64"/>
        <v>5.1894343984749895E-2</v>
      </c>
      <c r="P110" s="555">
        <f t="shared" si="65"/>
        <v>64.365016130101424</v>
      </c>
      <c r="Q110" s="556">
        <f t="shared" si="61"/>
        <v>38.54192582640804</v>
      </c>
      <c r="R110" s="561">
        <f t="shared" si="66"/>
        <v>261.71052631578948</v>
      </c>
      <c r="S110" s="583">
        <f t="shared" si="73"/>
        <v>10086.827693253368</v>
      </c>
      <c r="T110" s="555">
        <f t="shared" si="67"/>
        <v>4.909514621081585</v>
      </c>
      <c r="U110" s="559">
        <f t="shared" si="68"/>
        <v>405.42115030277023</v>
      </c>
      <c r="V110" s="582">
        <f t="shared" si="69"/>
        <v>1990.4210651071653</v>
      </c>
      <c r="W110" s="555">
        <f t="shared" si="70"/>
        <v>2.2688693075258963</v>
      </c>
      <c r="X110" s="559">
        <f t="shared" si="71"/>
        <v>37.9060089869281</v>
      </c>
      <c r="Y110" s="582">
        <f t="shared" si="72"/>
        <v>86.003780361241965</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0"/>
        <v>91690.291438520027</v>
      </c>
      <c r="I111" s="553">
        <f>ITECountywide!$B$9*E111</f>
        <v>1381.6938824378594</v>
      </c>
      <c r="J111" s="562">
        <f t="shared" si="62"/>
        <v>1.67</v>
      </c>
      <c r="K111" s="416">
        <f t="shared" si="63"/>
        <v>0.85014347095642351</v>
      </c>
      <c r="L111" s="554">
        <f>Passby_Length_Adj!H106</f>
        <v>0.3846286671810874</v>
      </c>
      <c r="M111" s="554">
        <f>Passby_Length_Adj!J106</f>
        <v>0.28494260634706281</v>
      </c>
      <c r="N111" s="416">
        <v>0.5</v>
      </c>
      <c r="O111" s="546">
        <f t="shared" si="64"/>
        <v>5.4798547451188014E-2</v>
      </c>
      <c r="P111" s="555">
        <f t="shared" si="65"/>
        <v>485.2030383013194</v>
      </c>
      <c r="Q111" s="556">
        <f t="shared" si="61"/>
        <v>290.54074149779603</v>
      </c>
      <c r="R111" s="561">
        <f t="shared" si="66"/>
        <v>261.71052631578948</v>
      </c>
      <c r="S111" s="583">
        <f t="shared" si="73"/>
        <v>76037.570373567942</v>
      </c>
      <c r="T111" s="555">
        <f t="shared" si="67"/>
        <v>37.009412161391502</v>
      </c>
      <c r="U111" s="559">
        <f t="shared" si="68"/>
        <v>405.42115030277023</v>
      </c>
      <c r="V111" s="582">
        <f t="shared" si="69"/>
        <v>15004.398450500677</v>
      </c>
      <c r="W111" s="555">
        <f t="shared" si="70"/>
        <v>17.103425862505738</v>
      </c>
      <c r="X111" s="559">
        <f t="shared" si="71"/>
        <v>37.9060089869281</v>
      </c>
      <c r="Y111" s="582">
        <f t="shared" si="72"/>
        <v>648.32261445140102</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0"/>
        <v>75081.43978055859</v>
      </c>
      <c r="I112" s="553">
        <f>ITECountywide!$B$9*E112</f>
        <v>1131.4127635746866</v>
      </c>
      <c r="J112" s="562">
        <f t="shared" si="62"/>
        <v>1.67</v>
      </c>
      <c r="K112" s="416">
        <f t="shared" si="63"/>
        <v>0.85014347095642351</v>
      </c>
      <c r="L112" s="554">
        <f>Passby_Length_Adj!H107</f>
        <v>0.3846286671810874</v>
      </c>
      <c r="M112" s="554">
        <f>Passby_Length_Adj!J107</f>
        <v>0.28494260634706281</v>
      </c>
      <c r="N112" s="416">
        <v>0.5</v>
      </c>
      <c r="O112" s="546">
        <f t="shared" si="64"/>
        <v>5.4798547451188014E-2</v>
      </c>
      <c r="P112" s="555">
        <f t="shared" si="65"/>
        <v>397.31297752490372</v>
      </c>
      <c r="Q112" s="556">
        <f t="shared" si="61"/>
        <v>237.91196258976271</v>
      </c>
      <c r="R112" s="561">
        <f t="shared" si="66"/>
        <v>261.71052631578948</v>
      </c>
      <c r="S112" s="583">
        <f t="shared" si="73"/>
        <v>62264.064946189217</v>
      </c>
      <c r="T112" s="555">
        <f t="shared" si="67"/>
        <v>30.305498073071021</v>
      </c>
      <c r="U112" s="559">
        <f t="shared" si="68"/>
        <v>405.42115030277023</v>
      </c>
      <c r="V112" s="582">
        <f t="shared" si="69"/>
        <v>12286.489889282841</v>
      </c>
      <c r="W112" s="555">
        <f t="shared" si="70"/>
        <v>14.005297821504017</v>
      </c>
      <c r="X112" s="559">
        <f t="shared" si="71"/>
        <v>37.9060089869281</v>
      </c>
      <c r="Y112" s="582">
        <f t="shared" si="72"/>
        <v>530.88494508653582</v>
      </c>
      <c r="Z112" s="551"/>
    </row>
    <row r="113" spans="2:29"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0"/>
        <v>21515.409382920909</v>
      </c>
      <c r="I113" s="553">
        <f>ITECountywide!$B$9*E113</f>
        <v>75.765865936273457</v>
      </c>
      <c r="J113" s="562">
        <f t="shared" si="62"/>
        <v>1.67</v>
      </c>
      <c r="K113" s="416">
        <f t="shared" si="63"/>
        <v>0.85014347095642351</v>
      </c>
      <c r="L113" s="554">
        <f>Passby_Length_Adj!H108</f>
        <v>0.4689899613519371</v>
      </c>
      <c r="M113" s="554">
        <f>Passby_Length_Adj!J108</f>
        <v>1</v>
      </c>
      <c r="N113" s="416">
        <v>0.5</v>
      </c>
      <c r="O113" s="546">
        <f t="shared" si="64"/>
        <v>0.23449498067596855</v>
      </c>
      <c r="P113" s="555">
        <f t="shared" si="65"/>
        <v>113.85438784311974</v>
      </c>
      <c r="Q113" s="556">
        <f t="shared" si="61"/>
        <v>68.176280145580691</v>
      </c>
      <c r="R113" s="561">
        <f t="shared" si="66"/>
        <v>261.71052631578948</v>
      </c>
      <c r="S113" s="583">
        <f t="shared" si="73"/>
        <v>17842.450159152631</v>
      </c>
      <c r="T113" s="555">
        <f t="shared" si="67"/>
        <v>8.6843725892997607</v>
      </c>
      <c r="U113" s="559">
        <f t="shared" si="68"/>
        <v>405.42115030277023</v>
      </c>
      <c r="V113" s="582">
        <f t="shared" si="69"/>
        <v>3520.8283248117564</v>
      </c>
      <c r="W113" s="555">
        <f t="shared" si="70"/>
        <v>4.013371574121237</v>
      </c>
      <c r="X113" s="559">
        <f t="shared" si="71"/>
        <v>37.9060089869281</v>
      </c>
      <c r="Y113" s="582">
        <f t="shared" si="72"/>
        <v>152.13089895652138</v>
      </c>
      <c r="Z113" s="551"/>
    </row>
    <row r="114" spans="2:29"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0"/>
        <v>14798.277984664495</v>
      </c>
      <c r="I114" s="553">
        <f>ITECountywide!$B$9*E114</f>
        <v>52.111690087747888</v>
      </c>
      <c r="J114" s="562">
        <f t="shared" si="62"/>
        <v>1.67</v>
      </c>
      <c r="K114" s="416">
        <f t="shared" si="63"/>
        <v>0.85014347095642351</v>
      </c>
      <c r="L114" s="554">
        <f>Passby_Length_Adj!H109</f>
        <v>0.4689899613519371</v>
      </c>
      <c r="M114" s="554">
        <f>Passby_Length_Adj!J109</f>
        <v>1</v>
      </c>
      <c r="N114" s="416">
        <v>0.5</v>
      </c>
      <c r="O114" s="546">
        <f t="shared" si="64"/>
        <v>0.23449498067596855</v>
      </c>
      <c r="P114" s="555">
        <f t="shared" si="65"/>
        <v>78.30893900693043</v>
      </c>
      <c r="Q114" s="556">
        <f t="shared" si="61"/>
        <v>46.891580243670916</v>
      </c>
      <c r="R114" s="561">
        <f t="shared" si="66"/>
        <v>261.71052631578948</v>
      </c>
      <c r="S114" s="583">
        <f t="shared" si="73"/>
        <v>12272.02014535019</v>
      </c>
      <c r="T114" s="555">
        <f t="shared" si="67"/>
        <v>5.9731031565159842</v>
      </c>
      <c r="U114" s="559">
        <f t="shared" si="68"/>
        <v>405.42115030277023</v>
      </c>
      <c r="V114" s="582">
        <f t="shared" si="69"/>
        <v>2421.6223525918181</v>
      </c>
      <c r="W114" s="555">
        <f t="shared" si="70"/>
        <v>2.7603931281336251</v>
      </c>
      <c r="X114" s="559">
        <f t="shared" si="71"/>
        <v>37.9060089869281</v>
      </c>
      <c r="Y114" s="582">
        <f t="shared" si="72"/>
        <v>104.63548672248777</v>
      </c>
      <c r="Z114" s="551"/>
    </row>
    <row r="115" spans="2:29"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0"/>
        <v>15822.576182559535</v>
      </c>
      <c r="I115" s="553">
        <f>ITECountywide!$B$9*E115</f>
        <v>55.718725332082435</v>
      </c>
      <c r="J115" s="562">
        <f t="shared" si="62"/>
        <v>1.67</v>
      </c>
      <c r="K115" s="416">
        <f t="shared" si="63"/>
        <v>0.85014347095642351</v>
      </c>
      <c r="L115" s="554">
        <f>Passby_Length_Adj!H110</f>
        <v>0.4689899613519371</v>
      </c>
      <c r="M115" s="554">
        <f>Passby_Length_Adj!J110</f>
        <v>1</v>
      </c>
      <c r="N115" s="416">
        <v>0.5</v>
      </c>
      <c r="O115" s="546">
        <f t="shared" si="64"/>
        <v>0.23449498067596855</v>
      </c>
      <c r="P115" s="555">
        <f t="shared" si="65"/>
        <v>83.729279480801438</v>
      </c>
      <c r="Q115" s="556">
        <f t="shared" si="61"/>
        <v>50.13729310227631</v>
      </c>
      <c r="R115" s="561">
        <f t="shared" si="66"/>
        <v>261.71052631578948</v>
      </c>
      <c r="S115" s="583">
        <f t="shared" si="73"/>
        <v>13121.457365845734</v>
      </c>
      <c r="T115" s="555">
        <f t="shared" si="67"/>
        <v>6.3865457750017853</v>
      </c>
      <c r="U115" s="559">
        <f t="shared" si="68"/>
        <v>405.42115030277023</v>
      </c>
      <c r="V115" s="582">
        <f t="shared" si="69"/>
        <v>2589.2407345625211</v>
      </c>
      <c r="W115" s="555">
        <f t="shared" si="70"/>
        <v>2.951460339437483</v>
      </c>
      <c r="X115" s="559">
        <f t="shared" si="71"/>
        <v>37.9060089869281</v>
      </c>
      <c r="Y115" s="582">
        <f t="shared" si="72"/>
        <v>111.87808215127909</v>
      </c>
      <c r="Z115" s="551"/>
    </row>
    <row r="116" spans="2:29"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0"/>
        <v>21129.367348538355</v>
      </c>
      <c r="I116" s="553">
        <f>ITECountywide!$B$9*E116</f>
        <v>74.406430542680027</v>
      </c>
      <c r="J116" s="562">
        <f t="shared" si="62"/>
        <v>1.67</v>
      </c>
      <c r="K116" s="416">
        <f t="shared" si="63"/>
        <v>0.85014347095642351</v>
      </c>
      <c r="L116" s="554">
        <f>Passby_Length_Adj!H111</f>
        <v>0.4689899613519371</v>
      </c>
      <c r="M116" s="554">
        <f>Passby_Length_Adj!J111</f>
        <v>1</v>
      </c>
      <c r="N116" s="416">
        <v>0.5</v>
      </c>
      <c r="O116" s="546">
        <f t="shared" si="64"/>
        <v>0.23449498067596855</v>
      </c>
      <c r="P116" s="555">
        <f t="shared" si="65"/>
        <v>111.81154595598241</v>
      </c>
      <c r="Q116" s="556">
        <f t="shared" si="61"/>
        <v>66.953021530528389</v>
      </c>
      <c r="R116" s="561">
        <f t="shared" si="66"/>
        <v>261.71052631578948</v>
      </c>
      <c r="S116" s="583">
        <f t="shared" si="73"/>
        <v>17522.310503186971</v>
      </c>
      <c r="T116" s="555">
        <f t="shared" si="67"/>
        <v>8.528552506955867</v>
      </c>
      <c r="U116" s="559">
        <f t="shared" si="68"/>
        <v>405.42115030277023</v>
      </c>
      <c r="V116" s="582">
        <f t="shared" si="69"/>
        <v>3457.6555677876222</v>
      </c>
      <c r="W116" s="555">
        <f t="shared" si="70"/>
        <v>3.9413613186047063</v>
      </c>
      <c r="X116" s="559">
        <f t="shared" si="71"/>
        <v>37.9060089869281</v>
      </c>
      <c r="Y116" s="582">
        <f t="shared" si="72"/>
        <v>149.40127756376077</v>
      </c>
      <c r="Z116" s="551"/>
    </row>
    <row r="117" spans="2:29"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0"/>
        <v>73914.181516445984</v>
      </c>
      <c r="I117" s="553">
        <f>ITECountywide!$B$9*E117</f>
        <v>260.28656336002075</v>
      </c>
      <c r="J117" s="562">
        <f t="shared" si="62"/>
        <v>1.67</v>
      </c>
      <c r="K117" s="416">
        <f t="shared" si="63"/>
        <v>0.85014347095642351</v>
      </c>
      <c r="L117" s="554">
        <f>Passby_Length_Adj!H112</f>
        <v>0.4689899613519371</v>
      </c>
      <c r="M117" s="554">
        <f>Passby_Length_Adj!J112</f>
        <v>1</v>
      </c>
      <c r="N117" s="416">
        <v>0.5</v>
      </c>
      <c r="O117" s="546">
        <f t="shared" si="64"/>
        <v>0.23449498067596855</v>
      </c>
      <c r="P117" s="555">
        <f t="shared" si="65"/>
        <v>391.13612665722468</v>
      </c>
      <c r="Q117" s="556">
        <f t="shared" si="61"/>
        <v>234.21324949534412</v>
      </c>
      <c r="R117" s="561">
        <f t="shared" si="66"/>
        <v>261.71052631578948</v>
      </c>
      <c r="S117" s="583">
        <f t="shared" si="73"/>
        <v>61296.072795557826</v>
      </c>
      <c r="T117" s="555">
        <f t="shared" si="67"/>
        <v>29.834351766111133</v>
      </c>
      <c r="U117" s="559">
        <f t="shared" si="68"/>
        <v>405.42115030277023</v>
      </c>
      <c r="V117" s="582">
        <f t="shared" si="69"/>
        <v>12095.47721155426</v>
      </c>
      <c r="W117" s="555">
        <f t="shared" si="70"/>
        <v>13.787563589564821</v>
      </c>
      <c r="X117" s="559">
        <f t="shared" si="71"/>
        <v>37.9060089869281</v>
      </c>
      <c r="Y117" s="582">
        <f t="shared" si="72"/>
        <v>522.6315093338867</v>
      </c>
      <c r="Z117" s="551"/>
    </row>
    <row r="118" spans="2:29"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0"/>
        <v>10294.45425020139</v>
      </c>
      <c r="I118" s="553">
        <f>ITECountywide!$B$9*E118</f>
        <v>36.251610495824622</v>
      </c>
      <c r="J118" s="562">
        <f t="shared" si="62"/>
        <v>1.67</v>
      </c>
      <c r="K118" s="416">
        <f t="shared" si="63"/>
        <v>0.85014347095642351</v>
      </c>
      <c r="L118" s="554">
        <f>Passby_Length_Adj!H113</f>
        <v>0.4689899613519371</v>
      </c>
      <c r="M118" s="554">
        <f>Passby_Length_Adj!J113</f>
        <v>1</v>
      </c>
      <c r="N118" s="416">
        <v>0.5</v>
      </c>
      <c r="O118" s="546">
        <f t="shared" si="64"/>
        <v>0.23449498067596855</v>
      </c>
      <c r="P118" s="555">
        <f t="shared" si="65"/>
        <v>54.475783656995084</v>
      </c>
      <c r="Q118" s="556">
        <f t="shared" si="61"/>
        <v>32.620229734727594</v>
      </c>
      <c r="R118" s="561">
        <f t="shared" si="66"/>
        <v>261.71052631578948</v>
      </c>
      <c r="S118" s="583">
        <f t="shared" si="73"/>
        <v>8537.0574924175253</v>
      </c>
      <c r="T118" s="555">
        <f t="shared" si="67"/>
        <v>4.1552021958372061</v>
      </c>
      <c r="U118" s="559">
        <f t="shared" si="68"/>
        <v>405.42115030277023</v>
      </c>
      <c r="V118" s="582">
        <f t="shared" si="69"/>
        <v>1684.6068539769169</v>
      </c>
      <c r="W118" s="555">
        <f t="shared" si="70"/>
        <v>1.9202734804407828</v>
      </c>
      <c r="X118" s="559">
        <f t="shared" si="71"/>
        <v>37.9060089869281</v>
      </c>
      <c r="Y118" s="582">
        <f t="shared" si="72"/>
        <v>72.789903806948018</v>
      </c>
      <c r="Z118" s="551"/>
    </row>
    <row r="119" spans="2:29"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0"/>
        <v>11776.855662230388</v>
      </c>
      <c r="I119" s="553">
        <f>ITECountywide!$B$9*E119</f>
        <v>41.471842407223363</v>
      </c>
      <c r="J119" s="562">
        <f t="shared" si="62"/>
        <v>1.67</v>
      </c>
      <c r="K119" s="416">
        <f t="shared" si="63"/>
        <v>0.85014347095642351</v>
      </c>
      <c r="L119" s="554">
        <f>Passby_Length_Adj!H114</f>
        <v>0.4689899613519371</v>
      </c>
      <c r="M119" s="554">
        <f>Passby_Length_Adj!J114</f>
        <v>1</v>
      </c>
      <c r="N119" s="416">
        <v>0.5</v>
      </c>
      <c r="O119" s="546">
        <f t="shared" si="64"/>
        <v>0.23449498067596855</v>
      </c>
      <c r="P119" s="555">
        <f t="shared" si="65"/>
        <v>62.320296503602371</v>
      </c>
      <c r="Q119" s="556">
        <f t="shared" si="61"/>
        <v>37.317542816528366</v>
      </c>
      <c r="R119" s="561">
        <f t="shared" si="66"/>
        <v>261.71052631578948</v>
      </c>
      <c r="S119" s="583">
        <f t="shared" si="73"/>
        <v>9766.3937713256473</v>
      </c>
      <c r="T119" s="555">
        <f t="shared" si="67"/>
        <v>4.7535513120377635</v>
      </c>
      <c r="U119" s="559">
        <f t="shared" si="68"/>
        <v>405.42115030277023</v>
      </c>
      <c r="V119" s="582">
        <f t="shared" si="69"/>
        <v>1927.1902409495926</v>
      </c>
      <c r="W119" s="555">
        <f t="shared" si="70"/>
        <v>2.1967928616242554</v>
      </c>
      <c r="X119" s="559">
        <f t="shared" si="71"/>
        <v>37.9060089869281</v>
      </c>
      <c r="Y119" s="582">
        <f t="shared" si="72"/>
        <v>83.271649955148519</v>
      </c>
      <c r="Z119" s="551"/>
    </row>
    <row r="120" spans="2:29"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0"/>
        <v>34177.588110668621</v>
      </c>
      <c r="I120" s="553">
        <f>ITECountywide!$B$9*E120</f>
        <v>120.35534684613775</v>
      </c>
      <c r="J120" s="562">
        <f t="shared" si="62"/>
        <v>1.67</v>
      </c>
      <c r="K120" s="416">
        <f t="shared" si="63"/>
        <v>0.85014347095642351</v>
      </c>
      <c r="L120" s="554">
        <f>Passby_Length_Adj!H115</f>
        <v>0.4689899613519371</v>
      </c>
      <c r="M120" s="554">
        <f>Passby_Length_Adj!J115</f>
        <v>1</v>
      </c>
      <c r="N120" s="416">
        <v>0.5</v>
      </c>
      <c r="O120" s="546">
        <f t="shared" si="64"/>
        <v>0.23449498067596855</v>
      </c>
      <c r="P120" s="555">
        <f t="shared" si="65"/>
        <v>180.85960174122368</v>
      </c>
      <c r="Q120" s="556">
        <f t="shared" si="61"/>
        <v>108.29916271929562</v>
      </c>
      <c r="R120" s="561">
        <f t="shared" si="66"/>
        <v>261.71052631578948</v>
      </c>
      <c r="S120" s="583">
        <f t="shared" si="73"/>
        <v>28343.030874826185</v>
      </c>
      <c r="T120" s="555">
        <f t="shared" si="67"/>
        <v>13.795271290179524</v>
      </c>
      <c r="U120" s="559">
        <f t="shared" si="68"/>
        <v>405.42115030277023</v>
      </c>
      <c r="V120" s="582">
        <f t="shared" si="69"/>
        <v>5592.8947552033642</v>
      </c>
      <c r="W120" s="555">
        <f t="shared" si="70"/>
        <v>6.3753079550633993</v>
      </c>
      <c r="X120" s="559">
        <f t="shared" si="71"/>
        <v>37.9060089869281</v>
      </c>
      <c r="Y120" s="582">
        <f t="shared" si="72"/>
        <v>241.66248063906741</v>
      </c>
      <c r="Z120" s="551"/>
    </row>
    <row r="121" spans="2:29"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0"/>
        <v>29107.569392444428</v>
      </c>
      <c r="I121" s="553">
        <f>ITECountywide!$B$9*E121</f>
        <v>102.5014286769441</v>
      </c>
      <c r="J121" s="562">
        <f t="shared" si="62"/>
        <v>1.67</v>
      </c>
      <c r="K121" s="416">
        <f t="shared" si="63"/>
        <v>0.85014347095642351</v>
      </c>
      <c r="L121" s="554">
        <f>Passby_Length_Adj!H116</f>
        <v>0.4689899613519371</v>
      </c>
      <c r="M121" s="554">
        <f>Passby_Length_Adj!J116</f>
        <v>1</v>
      </c>
      <c r="N121" s="416">
        <v>0.5</v>
      </c>
      <c r="O121" s="546">
        <f t="shared" si="64"/>
        <v>0.23449498067596855</v>
      </c>
      <c r="P121" s="555">
        <f t="shared" si="65"/>
        <v>154.03027829015357</v>
      </c>
      <c r="Q121" s="556">
        <f t="shared" si="61"/>
        <v>92.233699574942264</v>
      </c>
      <c r="R121" s="561">
        <f t="shared" si="66"/>
        <v>261.71052631578948</v>
      </c>
      <c r="S121" s="583">
        <f t="shared" si="73"/>
        <v>24138.53005981055</v>
      </c>
      <c r="T121" s="555">
        <f t="shared" si="67"/>
        <v>11.748834208729699</v>
      </c>
      <c r="U121" s="559">
        <f t="shared" si="68"/>
        <v>405.42115030277023</v>
      </c>
      <c r="V121" s="582">
        <f t="shared" si="69"/>
        <v>4763.225879619732</v>
      </c>
      <c r="W121" s="555">
        <f t="shared" si="70"/>
        <v>5.4295732659463125</v>
      </c>
      <c r="X121" s="559">
        <f t="shared" si="71"/>
        <v>37.9060089869281</v>
      </c>
      <c r="Y121" s="582">
        <f t="shared" si="72"/>
        <v>205.81345301414547</v>
      </c>
      <c r="Z121" s="551"/>
    </row>
    <row r="122" spans="2:29"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0"/>
        <v>10835.206817418642</v>
      </c>
      <c r="I122" s="553">
        <f>ITECountywide!$B$9*E122</f>
        <v>163.27725367319408</v>
      </c>
      <c r="J122" s="562">
        <f t="shared" si="62"/>
        <v>1.67</v>
      </c>
      <c r="K122" s="416">
        <f t="shared" si="63"/>
        <v>0.85014347095642351</v>
      </c>
      <c r="L122" s="554">
        <f>Passby_Length_Adj!H117</f>
        <v>0.3846286671810874</v>
      </c>
      <c r="M122" s="554">
        <f>Passby_Length_Adj!J117</f>
        <v>0.28494260634706281</v>
      </c>
      <c r="N122" s="416">
        <v>0.5</v>
      </c>
      <c r="O122" s="546">
        <f t="shared" si="64"/>
        <v>5.4798547451188014E-2</v>
      </c>
      <c r="P122" s="555">
        <f t="shared" si="65"/>
        <v>57.337316589944436</v>
      </c>
      <c r="Q122" s="556">
        <f t="shared" si="61"/>
        <v>34.333722508948767</v>
      </c>
      <c r="R122" s="561">
        <f t="shared" si="66"/>
        <v>261.71052631578948</v>
      </c>
      <c r="S122" s="583">
        <f t="shared" si="73"/>
        <v>8985.4965881972494</v>
      </c>
      <c r="T122" s="555">
        <f t="shared" si="67"/>
        <v>4.3734688664246031</v>
      </c>
      <c r="U122" s="559">
        <f t="shared" si="68"/>
        <v>405.42115030277023</v>
      </c>
      <c r="V122" s="582">
        <f t="shared" si="69"/>
        <v>1773.0967786392152</v>
      </c>
      <c r="W122" s="555">
        <f t="shared" si="70"/>
        <v>2.0211426269802653</v>
      </c>
      <c r="X122" s="559">
        <f t="shared" si="71"/>
        <v>37.9060089869281</v>
      </c>
      <c r="Y122" s="582">
        <f t="shared" si="72"/>
        <v>76.613450582177407</v>
      </c>
      <c r="Z122" s="551"/>
    </row>
    <row r="123" spans="2:29"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0"/>
        <v>13130.230641534406</v>
      </c>
      <c r="I123" s="553">
        <f>ITECountywide!$B$9*E123</f>
        <v>197.86129008621077</v>
      </c>
      <c r="J123" s="562">
        <f t="shared" si="62"/>
        <v>1.67</v>
      </c>
      <c r="K123" s="416">
        <f t="shared" si="63"/>
        <v>0.85014347095642351</v>
      </c>
      <c r="L123" s="554">
        <f>Passby_Length_Adj!H118</f>
        <v>0.3846286671810874</v>
      </c>
      <c r="M123" s="554">
        <f>Passby_Length_Adj!J118</f>
        <v>0.28494260634706281</v>
      </c>
      <c r="N123" s="416">
        <v>0.5</v>
      </c>
      <c r="O123" s="546">
        <f t="shared" si="64"/>
        <v>5.4798547451188014E-2</v>
      </c>
      <c r="P123" s="555">
        <f t="shared" si="65"/>
        <v>69.482032404066786</v>
      </c>
      <c r="Q123" s="556">
        <f t="shared" si="61"/>
        <v>41.606007427584906</v>
      </c>
      <c r="R123" s="561">
        <f t="shared" si="66"/>
        <v>261.71052631578948</v>
      </c>
      <c r="S123" s="583">
        <f t="shared" si="73"/>
        <v>10888.730101771893</v>
      </c>
      <c r="T123" s="555">
        <f t="shared" si="67"/>
        <v>5.2998208421282156</v>
      </c>
      <c r="U123" s="559">
        <f t="shared" si="68"/>
        <v>405.42115030277023</v>
      </c>
      <c r="V123" s="582">
        <f t="shared" si="69"/>
        <v>2148.6594622142175</v>
      </c>
      <c r="W123" s="555">
        <f t="shared" si="70"/>
        <v>2.4492443290537937</v>
      </c>
      <c r="X123" s="559">
        <f t="shared" si="71"/>
        <v>37.9060089869281</v>
      </c>
      <c r="Y123" s="582">
        <f t="shared" si="72"/>
        <v>92.841077548295786</v>
      </c>
      <c r="Z123" s="551"/>
    </row>
    <row r="124" spans="2:29"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0"/>
        <v>130070.42945129455</v>
      </c>
      <c r="I124" s="553">
        <f>ITECountywide!$B$9*E124</f>
        <v>458.03909861474403</v>
      </c>
      <c r="J124" s="562">
        <f t="shared" si="62"/>
        <v>1.67</v>
      </c>
      <c r="K124" s="416">
        <f t="shared" si="63"/>
        <v>0.85014347095642351</v>
      </c>
      <c r="L124" s="554">
        <f>Passby_Length_Adj!H119</f>
        <v>0.4689899613519371</v>
      </c>
      <c r="M124" s="554">
        <f>Passby_Length_Adj!J119</f>
        <v>1</v>
      </c>
      <c r="N124" s="416">
        <v>0.5</v>
      </c>
      <c r="O124" s="546">
        <f t="shared" si="64"/>
        <v>0.23449498067596855</v>
      </c>
      <c r="P124" s="555">
        <f t="shared" si="65"/>
        <v>688.30152650613286</v>
      </c>
      <c r="Q124" s="556">
        <f t="shared" si="61"/>
        <v>412.15660269828317</v>
      </c>
      <c r="R124" s="561">
        <f t="shared" si="66"/>
        <v>261.71052631578948</v>
      </c>
      <c r="S124" s="583">
        <f t="shared" si="73"/>
        <v>107865.72141669542</v>
      </c>
      <c r="T124" s="555">
        <f t="shared" si="67"/>
        <v>52.500979744403097</v>
      </c>
      <c r="U124" s="559">
        <f t="shared" si="68"/>
        <v>405.42115030277023</v>
      </c>
      <c r="V124" s="582">
        <f t="shared" si="69"/>
        <v>21285.007599998342</v>
      </c>
      <c r="W124" s="555">
        <f t="shared" si="70"/>
        <v>24.262655425369289</v>
      </c>
      <c r="X124" s="559">
        <f t="shared" si="71"/>
        <v>37.9060089869281</v>
      </c>
      <c r="Y124" s="582">
        <f t="shared" si="72"/>
        <v>919.70043460078807</v>
      </c>
      <c r="Z124" s="551"/>
    </row>
    <row r="125" spans="2:29"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0"/>
        <v>3242.7530888134388</v>
      </c>
      <c r="I125" s="553">
        <f>ITECountywide!$B$9*E125</f>
        <v>11.419257306184756</v>
      </c>
      <c r="J125" s="562">
        <f t="shared" si="62"/>
        <v>1.67</v>
      </c>
      <c r="K125" s="416">
        <f t="shared" si="63"/>
        <v>0.85014347095642351</v>
      </c>
      <c r="L125" s="554">
        <f>Passby_Length_Adj!H120</f>
        <v>0.4689899613519371</v>
      </c>
      <c r="M125" s="554">
        <f>Passby_Length_Adj!J120</f>
        <v>1</v>
      </c>
      <c r="N125" s="416">
        <v>0.5</v>
      </c>
      <c r="O125" s="546">
        <f t="shared" si="64"/>
        <v>0.23449498067596855</v>
      </c>
      <c r="P125" s="555">
        <f t="shared" si="65"/>
        <v>17.159871851953454</v>
      </c>
      <c r="Q125" s="556">
        <f t="shared" si="61"/>
        <v>10.275372366439194</v>
      </c>
      <c r="R125" s="561">
        <f t="shared" si="66"/>
        <v>261.71052631578948</v>
      </c>
      <c r="S125" s="583">
        <f t="shared" si="73"/>
        <v>2689.1731101115211</v>
      </c>
      <c r="T125" s="555">
        <f t="shared" si="67"/>
        <v>1.3088886916887201</v>
      </c>
      <c r="U125" s="559">
        <f t="shared" si="68"/>
        <v>405.42115030277023</v>
      </c>
      <c r="V125" s="582">
        <f t="shared" si="69"/>
        <v>530.65115900272883</v>
      </c>
      <c r="W125" s="555">
        <f t="shared" si="70"/>
        <v>0.60488614633884663</v>
      </c>
      <c r="X125" s="559">
        <f t="shared" si="71"/>
        <v>37.9060089869281</v>
      </c>
      <c r="Y125" s="582">
        <f t="shared" si="72"/>
        <v>22.928819699188626</v>
      </c>
      <c r="Z125" s="551"/>
    </row>
    <row r="126" spans="2:29"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0"/>
        <v>42842.488409239988</v>
      </c>
      <c r="I126" s="553">
        <f>ITECountywide!$B$9*E126</f>
        <v>183.95879746106203</v>
      </c>
      <c r="J126" s="562">
        <f t="shared" si="62"/>
        <v>1.67</v>
      </c>
      <c r="K126" s="416">
        <f t="shared" si="63"/>
        <v>0.85014347095642351</v>
      </c>
      <c r="L126" s="554">
        <f>Passby_Length_Adj!H121</f>
        <v>0.3846286671810874</v>
      </c>
      <c r="M126" s="554">
        <f>Passby_Length_Adj!J121</f>
        <v>1</v>
      </c>
      <c r="N126" s="416">
        <v>0.5</v>
      </c>
      <c r="O126" s="546">
        <f t="shared" si="64"/>
        <v>0.1923143335905437</v>
      </c>
      <c r="P126" s="555">
        <f t="shared" si="65"/>
        <v>226.71217659386065</v>
      </c>
      <c r="Q126" s="556">
        <f t="shared" si="61"/>
        <v>135.75579436758125</v>
      </c>
      <c r="R126" s="561">
        <f t="shared" si="66"/>
        <v>261.71052631578948</v>
      </c>
      <c r="S126" s="583">
        <f t="shared" si="73"/>
        <v>35528.720394357777</v>
      </c>
      <c r="T126" s="555">
        <f t="shared" si="67"/>
        <v>17.292728452285022</v>
      </c>
      <c r="U126" s="559">
        <f t="shared" si="68"/>
        <v>405.42115030277023</v>
      </c>
      <c r="V126" s="582">
        <f t="shared" si="69"/>
        <v>7010.8378609988367</v>
      </c>
      <c r="W126" s="555">
        <f t="shared" si="70"/>
        <v>7.9916129916984895</v>
      </c>
      <c r="X126" s="559">
        <f t="shared" si="71"/>
        <v>37.9060089869281</v>
      </c>
      <c r="Y126" s="582">
        <f t="shared" si="72"/>
        <v>302.93015388337432</v>
      </c>
      <c r="Z126" s="551"/>
    </row>
    <row r="127" spans="2:29"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9"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0"/>
        <v>1459.0481649121687</v>
      </c>
      <c r="I128" s="553">
        <f>ITECountywide!$B$9*E128</f>
        <v>21.986601765717634</v>
      </c>
      <c r="J128" s="562">
        <f t="shared" ref="J128:J137" si="74">IF(F128="Prod",$M$3,$M$4)</f>
        <v>1.67</v>
      </c>
      <c r="K128" s="416">
        <f t="shared" ref="K128:K137" si="75">IF(F128="Prod",$F$4,$F$5)</f>
        <v>0.85014347095642351</v>
      </c>
      <c r="L128" s="554">
        <f>Passby_Length_Adj!H123</f>
        <v>0.3846286671810874</v>
      </c>
      <c r="M128" s="554">
        <f>Passby_Length_Adj!J123</f>
        <v>0.28494260634706281</v>
      </c>
      <c r="N128" s="416">
        <v>0.5</v>
      </c>
      <c r="O128" s="546">
        <f t="shared" ref="O128:O137" si="76">L128*M128*N128</f>
        <v>5.4798547451188014E-2</v>
      </c>
      <c r="P128" s="555">
        <f t="shared" ref="P128:P137" si="77">IF($F128="Prod",$I128*$O128*$F$4*$F$6,$I128*O128*$F$5*$F$7)</f>
        <v>7.7209330621228478</v>
      </c>
      <c r="Q128" s="556">
        <f>+P128/J128</f>
        <v>4.6233132108520048</v>
      </c>
      <c r="R128" s="561">
        <f t="shared" ref="R128:R137" si="78">$Q$4</f>
        <v>261.71052631578948</v>
      </c>
      <c r="S128" s="583">
        <f t="shared" si="73"/>
        <v>1209.9697337348207</v>
      </c>
      <c r="T128" s="555">
        <f t="shared" ref="T128:T137" si="79">IF($F128="Prod",$I128*$O128*$G$4*$G$6,$I128*$O128*$G$5*$G$7)</f>
        <v>0.58892292794993839</v>
      </c>
      <c r="U128" s="559">
        <f t="shared" ref="U128:U137" si="80">+$R$4</f>
        <v>405.42115030277023</v>
      </c>
      <c r="V128" s="582">
        <f t="shared" ref="V128:V137" si="81">+T128*U128</f>
        <v>238.7618108891395</v>
      </c>
      <c r="W128" s="555">
        <f t="shared" ref="W128:W137" si="82">IF($F128="Prod",$I128*$O128*$J$4*$J$6,$I128*$O128*$J$5*$J$7)</f>
        <v>0.27216318900167208</v>
      </c>
      <c r="X128" s="559">
        <f t="shared" ref="X128:X137" si="83">+$S$4</f>
        <v>37.9060089869281</v>
      </c>
      <c r="Y128" s="582">
        <f t="shared" ref="Y128:Y137" si="84">+W128*X128</f>
        <v>10.316620288208393</v>
      </c>
      <c r="Z128" s="591"/>
      <c r="AA128" s="230"/>
      <c r="AB128" s="230"/>
      <c r="AC128" s="230"/>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0"/>
        <v>12032.03527915616</v>
      </c>
      <c r="I129" s="553">
        <f>ITECountywide!$B$9*E129</f>
        <v>181.31242989486685</v>
      </c>
      <c r="J129" s="562">
        <f t="shared" si="74"/>
        <v>1.67</v>
      </c>
      <c r="K129" s="416">
        <f t="shared" si="75"/>
        <v>0.85014347095642351</v>
      </c>
      <c r="L129" s="554">
        <f>Passby_Length_Adj!H124</f>
        <v>0.3846286671810874</v>
      </c>
      <c r="M129" s="554">
        <f>Passby_Length_Adj!J124</f>
        <v>0.28494260634706281</v>
      </c>
      <c r="N129" s="416">
        <v>0.5</v>
      </c>
      <c r="O129" s="546">
        <f t="shared" si="76"/>
        <v>5.4798547451188014E-2</v>
      </c>
      <c r="P129" s="555">
        <f t="shared" si="77"/>
        <v>63.670645853598394</v>
      </c>
      <c r="Q129" s="556">
        <f t="shared" si="61"/>
        <v>38.126135241675684</v>
      </c>
      <c r="R129" s="557">
        <f t="shared" si="78"/>
        <v>261.71052631578948</v>
      </c>
      <c r="S129" s="582">
        <f t="shared" si="73"/>
        <v>9978.0109204859127</v>
      </c>
      <c r="T129" s="555">
        <f t="shared" si="79"/>
        <v>4.8565507405467709</v>
      </c>
      <c r="U129" s="559">
        <f t="shared" si="80"/>
        <v>405.42115030277023</v>
      </c>
      <c r="V129" s="582">
        <f t="shared" si="81"/>
        <v>1968.9483877362425</v>
      </c>
      <c r="W129" s="555">
        <f t="shared" si="82"/>
        <v>2.2443927284284633</v>
      </c>
      <c r="X129" s="559">
        <f t="shared" si="83"/>
        <v>37.9060089869281</v>
      </c>
      <c r="Y129" s="582">
        <f t="shared" si="84"/>
        <v>85.075970934005412</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0"/>
        <v>35391.80439679457</v>
      </c>
      <c r="I130" s="553">
        <f>ITECountywide!$B$9*E130</f>
        <v>151.96675119849681</v>
      </c>
      <c r="J130" s="562">
        <f t="shared" si="74"/>
        <v>1.67</v>
      </c>
      <c r="K130" s="416">
        <f t="shared" si="75"/>
        <v>0.85014347095642351</v>
      </c>
      <c r="L130" s="554">
        <f>Passby_Length_Adj!H125</f>
        <v>0.3846286671810874</v>
      </c>
      <c r="M130" s="554">
        <f>Passby_Length_Adj!J125</f>
        <v>1</v>
      </c>
      <c r="N130" s="416">
        <v>0.5</v>
      </c>
      <c r="O130" s="546">
        <f t="shared" si="76"/>
        <v>0.1923143335905437</v>
      </c>
      <c r="P130" s="555">
        <f t="shared" si="77"/>
        <v>187.2849432025744</v>
      </c>
      <c r="Q130" s="556">
        <f t="shared" si="61"/>
        <v>112.14667257639186</v>
      </c>
      <c r="R130" s="557">
        <f t="shared" si="78"/>
        <v>261.71052631578948</v>
      </c>
      <c r="S130" s="582">
        <f t="shared" si="73"/>
        <v>29349.964704532031</v>
      </c>
      <c r="T130" s="555">
        <f t="shared" si="79"/>
        <v>14.285371499059771</v>
      </c>
      <c r="U130" s="559">
        <f t="shared" si="80"/>
        <v>405.42115030277023</v>
      </c>
      <c r="V130" s="582">
        <f t="shared" si="81"/>
        <v>5791.5917456512216</v>
      </c>
      <c r="W130" s="555">
        <f t="shared" si="82"/>
        <v>6.6018014900384401</v>
      </c>
      <c r="X130" s="559">
        <f t="shared" si="83"/>
        <v>37.9060089869281</v>
      </c>
      <c r="Y130" s="582">
        <f t="shared" si="84"/>
        <v>250.24794661131244</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0"/>
        <v>1097.5511859692972</v>
      </c>
      <c r="I131" s="553">
        <f>ITECountywide!$B$9*E131</f>
        <v>4.7127093644572007</v>
      </c>
      <c r="J131" s="562">
        <f t="shared" si="74"/>
        <v>1.67</v>
      </c>
      <c r="K131" s="416">
        <f t="shared" si="75"/>
        <v>0.85014347095642351</v>
      </c>
      <c r="L131" s="554">
        <f>Passby_Length_Adj!H126</f>
        <v>0.3846286671810874</v>
      </c>
      <c r="M131" s="554">
        <f>Passby_Length_Adj!J126</f>
        <v>1</v>
      </c>
      <c r="N131" s="416">
        <v>0.5</v>
      </c>
      <c r="O131" s="546">
        <f t="shared" si="76"/>
        <v>0.1923143335905437</v>
      </c>
      <c r="P131" s="555">
        <f t="shared" si="77"/>
        <v>5.8079777233622787</v>
      </c>
      <c r="Q131" s="556">
        <f t="shared" si="61"/>
        <v>3.477830972073221</v>
      </c>
      <c r="R131" s="557">
        <f t="shared" si="78"/>
        <v>261.71052631578948</v>
      </c>
      <c r="S131" s="582">
        <f t="shared" si="73"/>
        <v>910.18497413863645</v>
      </c>
      <c r="T131" s="555">
        <f t="shared" si="79"/>
        <v>0.44301008942694897</v>
      </c>
      <c r="U131" s="559">
        <f t="shared" si="80"/>
        <v>405.42115030277023</v>
      </c>
      <c r="V131" s="582">
        <f t="shared" si="81"/>
        <v>179.60566005120677</v>
      </c>
      <c r="W131" s="555">
        <f t="shared" si="82"/>
        <v>0.20473143933802418</v>
      </c>
      <c r="X131" s="559">
        <f t="shared" si="83"/>
        <v>37.9060089869281</v>
      </c>
      <c r="Y131" s="582">
        <f t="shared" si="84"/>
        <v>7.7605517794538699</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0"/>
        <v>13493.489129418553</v>
      </c>
      <c r="I132" s="553">
        <f>ITECountywide!$B$9*E132</f>
        <v>203.3352832710803</v>
      </c>
      <c r="J132" s="562">
        <f t="shared" si="74"/>
        <v>1.67</v>
      </c>
      <c r="K132" s="416">
        <f t="shared" si="75"/>
        <v>0.85014347095642351</v>
      </c>
      <c r="L132" s="554">
        <f>Passby_Length_Adj!H127</f>
        <v>0.3846286671810874</v>
      </c>
      <c r="M132" s="554">
        <f>Passby_Length_Adj!J127</f>
        <v>0.28494260634706281</v>
      </c>
      <c r="N132" s="416">
        <v>0.5</v>
      </c>
      <c r="O132" s="546">
        <f t="shared" si="76"/>
        <v>5.4798547451188014E-2</v>
      </c>
      <c r="P132" s="555">
        <f t="shared" si="77"/>
        <v>71.404309225798926</v>
      </c>
      <c r="Q132" s="556">
        <f t="shared" si="61"/>
        <v>42.757071392693966</v>
      </c>
      <c r="R132" s="557">
        <f t="shared" si="78"/>
        <v>261.71052631578948</v>
      </c>
      <c r="S132" s="582">
        <f t="shared" si="73"/>
        <v>11189.975657903724</v>
      </c>
      <c r="T132" s="555">
        <f t="shared" si="79"/>
        <v>5.4464446873391648</v>
      </c>
      <c r="U132" s="559">
        <f t="shared" si="80"/>
        <v>405.42115030277023</v>
      </c>
      <c r="V132" s="582">
        <f t="shared" si="81"/>
        <v>2208.1038702014557</v>
      </c>
      <c r="W132" s="555">
        <f t="shared" si="82"/>
        <v>2.5170046613526438</v>
      </c>
      <c r="X132" s="559">
        <f t="shared" si="83"/>
        <v>37.9060089869281</v>
      </c>
      <c r="Y132" s="582">
        <f t="shared" si="84"/>
        <v>95.40960131337323</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0"/>
        <v>525.64224902441674</v>
      </c>
      <c r="I133" s="553">
        <f>ITECountywide!$B$9*E133</f>
        <v>7.9209768933376798</v>
      </c>
      <c r="J133" s="562">
        <f t="shared" si="74"/>
        <v>1.67</v>
      </c>
      <c r="K133" s="416">
        <f t="shared" si="75"/>
        <v>0.85014347095642351</v>
      </c>
      <c r="L133" s="554">
        <f>Passby_Length_Adj!H128</f>
        <v>0.3846286671810874</v>
      </c>
      <c r="M133" s="554">
        <f>Passby_Length_Adj!J128</f>
        <v>0.28494260634706281</v>
      </c>
      <c r="N133" s="416">
        <v>0.5</v>
      </c>
      <c r="O133" s="546">
        <f t="shared" si="76"/>
        <v>5.4798547451188014E-2</v>
      </c>
      <c r="P133" s="555">
        <f t="shared" si="77"/>
        <v>2.7815727519766562</v>
      </c>
      <c r="Q133" s="556">
        <f t="shared" si="61"/>
        <v>1.6656124263333272</v>
      </c>
      <c r="R133" s="557">
        <f t="shared" si="78"/>
        <v>261.71052631578948</v>
      </c>
      <c r="S133" s="582">
        <f t="shared" si="73"/>
        <v>435.90830473381419</v>
      </c>
      <c r="T133" s="555">
        <f t="shared" si="79"/>
        <v>0.21216761707677081</v>
      </c>
      <c r="U133" s="559">
        <f t="shared" si="80"/>
        <v>405.42115030277023</v>
      </c>
      <c r="V133" s="582">
        <f t="shared" si="81"/>
        <v>86.017239372262097</v>
      </c>
      <c r="W133" s="555">
        <f t="shared" si="82"/>
        <v>9.8050547068203375E-2</v>
      </c>
      <c r="X133" s="559">
        <f t="shared" si="83"/>
        <v>37.9060089869281</v>
      </c>
      <c r="Y133" s="582">
        <f t="shared" si="84"/>
        <v>3.7167049183405338</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0"/>
        <v>39438.873632530805</v>
      </c>
      <c r="I134" s="553">
        <f>ITECountywide!$B$9*E134</f>
        <v>627.56975509846791</v>
      </c>
      <c r="J134" s="562">
        <f t="shared" si="74"/>
        <v>1.67</v>
      </c>
      <c r="K134" s="416">
        <f t="shared" si="75"/>
        <v>0.85014347095642351</v>
      </c>
      <c r="L134" s="554">
        <f>Passby_Length_Adj!H129</f>
        <v>0.3846286671810874</v>
      </c>
      <c r="M134" s="554">
        <f>Passby_Length_Adj!J129</f>
        <v>0.26984126984126988</v>
      </c>
      <c r="N134" s="416">
        <v>0.5</v>
      </c>
      <c r="O134" s="546">
        <f t="shared" si="76"/>
        <v>5.1894343984749895E-2</v>
      </c>
      <c r="P134" s="555">
        <f t="shared" si="77"/>
        <v>208.70106325833501</v>
      </c>
      <c r="Q134" s="556">
        <f t="shared" si="61"/>
        <v>124.97069656187726</v>
      </c>
      <c r="R134" s="557">
        <f t="shared" si="78"/>
        <v>261.71052631578948</v>
      </c>
      <c r="S134" s="582">
        <f t="shared" si="73"/>
        <v>32706.146771259722</v>
      </c>
      <c r="T134" s="555">
        <f t="shared" si="79"/>
        <v>15.918910350787385</v>
      </c>
      <c r="U134" s="559">
        <f t="shared" si="80"/>
        <v>405.42115030277023</v>
      </c>
      <c r="V134" s="582">
        <f t="shared" si="81"/>
        <v>6453.8629459828971</v>
      </c>
      <c r="W134" s="555">
        <f t="shared" si="82"/>
        <v>7.3567205501469468</v>
      </c>
      <c r="X134" s="559">
        <f t="shared" si="83"/>
        <v>37.9060089869281</v>
      </c>
      <c r="Y134" s="582">
        <f t="shared" si="84"/>
        <v>278.86391528818882</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0"/>
        <v>53645.66195084303</v>
      </c>
      <c r="I135" s="553">
        <f>ITECountywide!$B$9*E135</f>
        <v>853.63479815043024</v>
      </c>
      <c r="J135" s="562">
        <f t="shared" si="74"/>
        <v>1.67</v>
      </c>
      <c r="K135" s="416">
        <f t="shared" si="75"/>
        <v>0.85014347095642351</v>
      </c>
      <c r="L135" s="554">
        <f>Passby_Length_Adj!H130</f>
        <v>0.3846286671810874</v>
      </c>
      <c r="M135" s="554">
        <f>Passby_Length_Adj!J130</f>
        <v>0.26984126984126988</v>
      </c>
      <c r="N135" s="416">
        <v>0.5</v>
      </c>
      <c r="O135" s="546">
        <f t="shared" si="76"/>
        <v>5.1894343984749895E-2</v>
      </c>
      <c r="P135" s="555">
        <f t="shared" si="77"/>
        <v>283.8799807686014</v>
      </c>
      <c r="Q135" s="556">
        <f t="shared" si="61"/>
        <v>169.98801243628827</v>
      </c>
      <c r="R135" s="557">
        <f t="shared" si="78"/>
        <v>261.71052631578948</v>
      </c>
      <c r="S135" s="582">
        <f t="shared" si="73"/>
        <v>44487.652202075973</v>
      </c>
      <c r="T135" s="555">
        <f t="shared" si="79"/>
        <v>21.653267566944859</v>
      </c>
      <c r="U135" s="559">
        <f t="shared" si="80"/>
        <v>405.42115030277023</v>
      </c>
      <c r="V135" s="582">
        <f t="shared" si="81"/>
        <v>8778.6926448044505</v>
      </c>
      <c r="W135" s="555">
        <f t="shared" si="82"/>
        <v>10.006780299487927</v>
      </c>
      <c r="X135" s="559">
        <f t="shared" si="83"/>
        <v>37.9060089869281</v>
      </c>
      <c r="Y135" s="582">
        <f t="shared" si="84"/>
        <v>379.31710396260445</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0"/>
        <v>93449.045867358756</v>
      </c>
      <c r="I136" s="553">
        <f>ITECountywide!$B$9*E136</f>
        <v>1487.00481092823</v>
      </c>
      <c r="J136" s="562">
        <f t="shared" si="74"/>
        <v>1.67</v>
      </c>
      <c r="K136" s="416">
        <f t="shared" si="75"/>
        <v>0.85014347095642351</v>
      </c>
      <c r="L136" s="554">
        <f>Passby_Length_Adj!H131</f>
        <v>0.3846286671810874</v>
      </c>
      <c r="M136" s="554">
        <f>Passby_Length_Adj!J131</f>
        <v>0.26984126984126988</v>
      </c>
      <c r="N136" s="416">
        <v>0.5</v>
      </c>
      <c r="O136" s="546">
        <f t="shared" si="76"/>
        <v>5.1894343984749895E-2</v>
      </c>
      <c r="P136" s="555">
        <f t="shared" si="77"/>
        <v>494.50994505349877</v>
      </c>
      <c r="Q136" s="556">
        <f t="shared" si="61"/>
        <v>296.11373955299331</v>
      </c>
      <c r="R136" s="557">
        <f t="shared" si="78"/>
        <v>261.71052631578948</v>
      </c>
      <c r="S136" s="582">
        <f t="shared" si="73"/>
        <v>77496.082627750482</v>
      </c>
      <c r="T136" s="555">
        <f t="shared" si="79"/>
        <v>37.719307031681126</v>
      </c>
      <c r="U136" s="559">
        <f t="shared" si="80"/>
        <v>405.42115030277023</v>
      </c>
      <c r="V136" s="582">
        <f t="shared" si="81"/>
        <v>15292.204845407532</v>
      </c>
      <c r="W136" s="555">
        <f t="shared" si="82"/>
        <v>17.43149468541014</v>
      </c>
      <c r="X136" s="559">
        <f t="shared" si="83"/>
        <v>37.9060089869281</v>
      </c>
      <c r="Y136" s="582">
        <f t="shared" si="84"/>
        <v>660.75839420074624</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0"/>
        <v>19593.566858826856</v>
      </c>
      <c r="I137" s="566">
        <f>ITECountywide!$B$9*E137</f>
        <v>311.78197606933963</v>
      </c>
      <c r="J137" s="567">
        <f t="shared" si="74"/>
        <v>1.67</v>
      </c>
      <c r="K137" s="533">
        <f t="shared" si="75"/>
        <v>0.85014347095642351</v>
      </c>
      <c r="L137" s="568">
        <f>Passby_Length_Adj!H132</f>
        <v>0.3846286671810874</v>
      </c>
      <c r="M137" s="568">
        <f>Passby_Length_Adj!J132</f>
        <v>0.26984126984126988</v>
      </c>
      <c r="N137" s="533">
        <v>0.5</v>
      </c>
      <c r="O137" s="569">
        <f t="shared" si="76"/>
        <v>5.1894343984749895E-2</v>
      </c>
      <c r="P137" s="570">
        <f t="shared" si="77"/>
        <v>103.6844579934327</v>
      </c>
      <c r="Q137" s="571">
        <f t="shared" si="61"/>
        <v>62.086501792474671</v>
      </c>
      <c r="R137" s="572">
        <f t="shared" si="78"/>
        <v>261.71052631578948</v>
      </c>
      <c r="S137" s="585">
        <f t="shared" si="73"/>
        <v>16248.691061214753</v>
      </c>
      <c r="T137" s="570">
        <f t="shared" si="79"/>
        <v>7.90864965323322</v>
      </c>
      <c r="U137" s="574">
        <f t="shared" si="80"/>
        <v>405.42115030277023</v>
      </c>
      <c r="V137" s="585">
        <f t="shared" si="81"/>
        <v>3206.3338397554171</v>
      </c>
      <c r="W137" s="570">
        <f t="shared" si="82"/>
        <v>3.6548811536573269</v>
      </c>
      <c r="X137" s="574">
        <f t="shared" si="83"/>
        <v>37.9060089869281</v>
      </c>
      <c r="Y137" s="585">
        <f t="shared" si="84"/>
        <v>138.54195785668878</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T9:V9"/>
    <mergeCell ref="W9:Y9"/>
    <mergeCell ref="I9:O9"/>
    <mergeCell ref="P9:S9"/>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2AAAF-1B92-46A1-8C6D-93F78C6F6BF3}">
  <sheetPr>
    <tabColor theme="9" tint="0.79998168889431442"/>
  </sheetPr>
  <dimension ref="A1:AJ161"/>
  <sheetViews>
    <sheetView zoomScale="75" zoomScaleNormal="75" workbookViewId="0">
      <selection activeCell="AA24" sqref="AA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5703125" style="11" customWidth="1"/>
    <col min="10" max="10" width="11.5703125" style="69" customWidth="1"/>
    <col min="11" max="12" width="11.5703125" style="12" customWidth="1"/>
    <col min="13" max="14" width="8.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10" t="str">
        <f>+HYPERLINK(ContextAreas_Map!A1,"Context Area")</f>
        <v>Context Area</v>
      </c>
      <c r="C2" s="811"/>
      <c r="E2" s="814" t="s">
        <v>57</v>
      </c>
      <c r="F2" s="815"/>
      <c r="G2" s="815"/>
      <c r="H2" s="815"/>
      <c r="I2" s="815"/>
      <c r="J2" s="816"/>
      <c r="L2" s="439" t="s">
        <v>65</v>
      </c>
      <c r="M2" s="440"/>
      <c r="O2" s="817" t="s">
        <v>58</v>
      </c>
      <c r="P2" s="818"/>
      <c r="Q2" s="818"/>
      <c r="R2" s="818"/>
      <c r="S2" s="819"/>
    </row>
    <row r="3" spans="1:36" ht="17.100000000000001" customHeight="1" thickBot="1" x14ac:dyDescent="0.3">
      <c r="A3" s="10"/>
      <c r="B3" s="812"/>
      <c r="C3" s="813"/>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07" t="s">
        <v>53</v>
      </c>
      <c r="C4" s="809">
        <v>2</v>
      </c>
      <c r="E4" s="445" t="s">
        <v>67</v>
      </c>
      <c r="F4" s="518">
        <f>'2045_24hr_all_productions'!$Q$40</f>
        <v>0.85822198498152991</v>
      </c>
      <c r="G4" s="518">
        <f>'2045_24hr_all_productions'!$S$40</f>
        <v>5.8215179670835629E-2</v>
      </c>
      <c r="H4" s="519">
        <f>'2045_24hr_all_productions'!$T$40</f>
        <v>4.8558018463658578E-2</v>
      </c>
      <c r="I4" s="518">
        <f>'2045_24hr_all_productions'!$R$40</f>
        <v>3.5004816883975831E-2</v>
      </c>
      <c r="J4" s="520">
        <f>+H4+I4</f>
        <v>8.3562835347634409E-2</v>
      </c>
      <c r="K4" s="69"/>
      <c r="L4" s="444" t="s">
        <v>71</v>
      </c>
      <c r="M4" s="442">
        <f>ITECountywide!B4</f>
        <v>1.67</v>
      </c>
      <c r="O4" s="692" t="s">
        <v>120</v>
      </c>
      <c r="P4" s="680"/>
      <c r="Q4" s="681">
        <f>+RoadCapCost!P15</f>
        <v>254.27556818181819</v>
      </c>
      <c r="R4" s="681">
        <f>+TransitCapCost!AD13</f>
        <v>154.50490219883392</v>
      </c>
      <c r="S4" s="536">
        <f>+WalkBikeCapCost!$Z$7</f>
        <v>37.9060089869281</v>
      </c>
      <c r="T4" s="11"/>
    </row>
    <row r="5" spans="1:36" ht="17.100000000000001" customHeight="1" thickBot="1" x14ac:dyDescent="0.3">
      <c r="B5" s="808"/>
      <c r="C5" s="806"/>
      <c r="E5" s="445" t="s">
        <v>70</v>
      </c>
      <c r="F5" s="518">
        <f>'2045_24hr_all_attractions'!$Q$40</f>
        <v>0.85824475890316576</v>
      </c>
      <c r="G5" s="518">
        <f>'2045_24hr_all_attractions'!$S$40</f>
        <v>5.8216687295045359E-2</v>
      </c>
      <c r="H5" s="519">
        <f>'2045_24hr_all_attractions'!$T$40</f>
        <v>4.8538362404460834E-2</v>
      </c>
      <c r="I5" s="518">
        <f>'2045_24hr_all_attractions'!$R$40</f>
        <v>3.5000191397328094E-2</v>
      </c>
      <c r="J5" s="520">
        <f>+H5+I5</f>
        <v>8.3538553801788928E-2</v>
      </c>
      <c r="K5" s="69"/>
      <c r="S5" s="429"/>
      <c r="T5" s="11"/>
    </row>
    <row r="6" spans="1:36" ht="17.100000000000001" customHeight="1" x14ac:dyDescent="0.25">
      <c r="B6" s="803" t="s">
        <v>54</v>
      </c>
      <c r="C6" s="805" t="s">
        <v>124</v>
      </c>
      <c r="E6" s="445" t="s">
        <v>72</v>
      </c>
      <c r="F6" s="434">
        <f>'2045_24hr_all_productions'!$M$40</f>
        <v>7.6471373100006446</v>
      </c>
      <c r="G6" s="434">
        <f>'2045_24hr_all_productions'!$O$40</f>
        <v>5.637793526704173</v>
      </c>
      <c r="H6" s="435">
        <f>'2045_24hr_all_productions'!$P$40</f>
        <v>0.94649848902903699</v>
      </c>
      <c r="I6" s="434">
        <f>'2045_24hr_all_productions'!$N$40</f>
        <v>4.8688882138517613</v>
      </c>
      <c r="J6" s="447">
        <f>+((H4/J4)*H6)+(I4/J4*I6)</f>
        <v>2.5896037462143378</v>
      </c>
      <c r="K6" s="69"/>
      <c r="O6" s="69"/>
      <c r="P6" s="11"/>
      <c r="S6" s="429"/>
      <c r="U6" s="20"/>
      <c r="V6" s="422"/>
      <c r="W6" s="20"/>
      <c r="X6" s="20"/>
    </row>
    <row r="7" spans="1:36" ht="17.100000000000001" customHeight="1" thickBot="1" x14ac:dyDescent="0.3">
      <c r="B7" s="804"/>
      <c r="C7" s="806"/>
      <c r="E7" s="448" t="s">
        <v>73</v>
      </c>
      <c r="F7" s="449">
        <f>'2045_24hr_all_attractions'!$M$40</f>
        <v>7.6306695013739914</v>
      </c>
      <c r="G7" s="449">
        <f>'2045_24hr_all_attractions'!$O$40</f>
        <v>5.6227905022831042</v>
      </c>
      <c r="H7" s="451">
        <f>'2045_24hr_all_attractions'!$P$40</f>
        <v>0.94738827549947435</v>
      </c>
      <c r="I7" s="449">
        <f>'2045_24hr_all_attractions'!$N$40</f>
        <v>4.8918738607364203</v>
      </c>
      <c r="J7" s="450">
        <f>+((H5/J5)*H7)+(I5/J5*I7)</f>
        <v>2.6000114556285321</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2" t="s">
        <v>121</v>
      </c>
      <c r="C9" s="793"/>
      <c r="D9" s="793"/>
      <c r="E9" s="793"/>
      <c r="F9" s="793"/>
      <c r="G9" s="793"/>
      <c r="H9" s="793"/>
      <c r="I9" s="797" t="s">
        <v>74</v>
      </c>
      <c r="J9" s="798"/>
      <c r="K9" s="798"/>
      <c r="L9" s="798"/>
      <c r="M9" s="798"/>
      <c r="N9" s="798"/>
      <c r="O9" s="799"/>
      <c r="P9" s="794" t="s">
        <v>75</v>
      </c>
      <c r="Q9" s="795"/>
      <c r="R9" s="795"/>
      <c r="S9" s="796"/>
      <c r="T9" s="794" t="s">
        <v>61</v>
      </c>
      <c r="U9" s="795"/>
      <c r="V9" s="796"/>
      <c r="W9" s="794" t="s">
        <v>64</v>
      </c>
      <c r="X9" s="795"/>
      <c r="Y9" s="796"/>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9426.5320921038983</v>
      </c>
      <c r="I12" s="553">
        <f>ITECountywide!$B$9*E12</f>
        <v>17.853918169193626</v>
      </c>
      <c r="J12" s="554">
        <f>IF(F12="Prod",$M$3,$M$4)</f>
        <v>1.67</v>
      </c>
      <c r="K12" s="416">
        <f>IF(F12="Prod",$F$4,$F$5)</f>
        <v>0.85824475890316576</v>
      </c>
      <c r="L12" s="554">
        <f>Passby_Length_Adj!H7</f>
        <v>1</v>
      </c>
      <c r="M12" s="554">
        <f>Passby_Length_Adj!J7</f>
        <v>1</v>
      </c>
      <c r="N12" s="416">
        <v>0.5</v>
      </c>
      <c r="O12" s="546">
        <f>L12*M12*N12</f>
        <v>0.5</v>
      </c>
      <c r="P12" s="555">
        <f>IF($F12="Prod",$I12*$O12*$F$4*$F$6,$I12*O12*$F$5*$F$7)</f>
        <v>58.462495310272018</v>
      </c>
      <c r="Q12" s="556">
        <f>+P12/J12</f>
        <v>35.007482221719776</v>
      </c>
      <c r="R12" s="557">
        <f>+$Q$4</f>
        <v>254.27556818181819</v>
      </c>
      <c r="S12" s="582">
        <f>+Q12*R12</f>
        <v>8901.5474325426949</v>
      </c>
      <c r="T12" s="555">
        <f>IF($F12="Prod",$I12*$O12*$G$4*$G$6,$I12*$O12*$G$5*$G$7)</f>
        <v>2.9221528970579684</v>
      </c>
      <c r="U12" s="559">
        <f>+$R$4</f>
        <v>154.50490219883392</v>
      </c>
      <c r="V12" s="582">
        <f>+T12*U12</f>
        <v>451.4869475699806</v>
      </c>
      <c r="W12" s="555">
        <f>IF($F12="Prod",$I12*$O12*$J$4*$J$6,$I12*$O12*$J$5*$J$7)</f>
        <v>1.938946197595478</v>
      </c>
      <c r="X12" s="559">
        <f>$S$4</f>
        <v>37.9060089869281</v>
      </c>
      <c r="Y12" s="582">
        <f>+W12*X12</f>
        <v>73.497711991224264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4746.761337749781</v>
      </c>
      <c r="I14" s="553">
        <f>ITECountywide!$B$9*E14</f>
        <v>8.9903994029645062</v>
      </c>
      <c r="J14" s="554">
        <f t="shared" ref="J14:J20" si="1">IF(F14="Prod",$M$3,$M$4)</f>
        <v>1.67</v>
      </c>
      <c r="K14" s="416">
        <f t="shared" ref="K14:K20" si="2">IF(F14="Prod",$F$4,$F$5)</f>
        <v>0.85824475890316576</v>
      </c>
      <c r="L14" s="554">
        <f>Passby_Length_Adj!H9</f>
        <v>1</v>
      </c>
      <c r="M14" s="554">
        <f>Passby_Length_Adj!J9</f>
        <v>1</v>
      </c>
      <c r="N14" s="416">
        <v>0.5</v>
      </c>
      <c r="O14" s="546">
        <f t="shared" ref="O14:O20" si="3">L14*M14*N14</f>
        <v>0.5</v>
      </c>
      <c r="P14" s="555">
        <f t="shared" ref="P14:P20" si="4">IF($F14="Prod",$I14*$O14*$F$4*$F$6,$I14*O14*$F$5*$F$7)</f>
        <v>29.438982410045604</v>
      </c>
      <c r="Q14" s="556">
        <f t="shared" ref="Q14:Q20" si="5">+P14/J14</f>
        <v>17.628133179668026</v>
      </c>
      <c r="R14" s="561">
        <f t="shared" ref="R14:R20" si="6">+$Q$4</f>
        <v>254.27556818181819</v>
      </c>
      <c r="S14" s="582">
        <f t="shared" ref="S14:S20" si="7">+Q14*R14</f>
        <v>4482.4035802448489</v>
      </c>
      <c r="T14" s="555">
        <f t="shared" ref="T14:T20" si="8">IF($F14="Prod",$I14*$O14*$G$4*$G$6,$I14*$O14*$G$5*$G$7)</f>
        <v>1.4714597329347741</v>
      </c>
      <c r="U14" s="559">
        <f t="shared" ref="U14:U20" si="9">+$R$4</f>
        <v>154.50490219883392</v>
      </c>
      <c r="V14" s="582">
        <f t="shared" ref="V14:V20" si="10">+T14*U14</f>
        <v>227.34774212660955</v>
      </c>
      <c r="W14" s="555">
        <f t="shared" ref="W14:W20" si="11">IF($F14="Prod",$I14*$O14*$J$4*$J$6,$I14*$O14*$J$5*$J$7)</f>
        <v>0.97636275533741845</v>
      </c>
      <c r="X14" s="559">
        <f t="shared" ref="X14:X20" si="12">$S$4</f>
        <v>37.9060089869281</v>
      </c>
      <c r="Y14" s="582">
        <f t="shared" ref="Y14:Y20" si="13">+W14*X14</f>
        <v>37.010015378322066</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3225.1180863340246</v>
      </c>
      <c r="I15" s="553">
        <f>ITECountywide!$B$9*E15</f>
        <v>6.1083963685464484</v>
      </c>
      <c r="J15" s="554">
        <f t="shared" si="1"/>
        <v>1.67</v>
      </c>
      <c r="K15" s="416">
        <f t="shared" si="2"/>
        <v>0.85824475890316576</v>
      </c>
      <c r="L15" s="554">
        <f>Passby_Length_Adj!H10</f>
        <v>1</v>
      </c>
      <c r="M15" s="554">
        <f>Passby_Length_Adj!J10</f>
        <v>1</v>
      </c>
      <c r="N15" s="416">
        <v>0.5</v>
      </c>
      <c r="O15" s="546">
        <f t="shared" si="3"/>
        <v>0.5</v>
      </c>
      <c r="P15" s="555">
        <f t="shared" si="4"/>
        <v>20.001889258438244</v>
      </c>
      <c r="Q15" s="556">
        <f t="shared" si="5"/>
        <v>11.977179196669608</v>
      </c>
      <c r="R15" s="561">
        <f t="shared" si="6"/>
        <v>254.27556818181819</v>
      </c>
      <c r="S15" s="582">
        <f t="shared" si="7"/>
        <v>3045.5040454486175</v>
      </c>
      <c r="T15" s="555">
        <f t="shared" si="8"/>
        <v>0.99976195564318304</v>
      </c>
      <c r="U15" s="559">
        <f t="shared" si="9"/>
        <v>154.50490219883392</v>
      </c>
      <c r="V15" s="582">
        <f t="shared" si="10"/>
        <v>154.46812317876493</v>
      </c>
      <c r="W15" s="555">
        <f t="shared" si="11"/>
        <v>0.66337550110627019</v>
      </c>
      <c r="X15" s="559">
        <f t="shared" si="12"/>
        <v>37.9060089869281</v>
      </c>
      <c r="Y15" s="582">
        <f t="shared" si="13"/>
        <v>25.145917706642209</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3761.0427534993219</v>
      </c>
      <c r="I16" s="553">
        <f>ITECountywide!$B$9*E16</f>
        <v>7.1234414624295379</v>
      </c>
      <c r="J16" s="554">
        <f t="shared" si="1"/>
        <v>1.67</v>
      </c>
      <c r="K16" s="416">
        <f t="shared" si="2"/>
        <v>0.85824475890316576</v>
      </c>
      <c r="L16" s="554">
        <f>Passby_Length_Adj!H11</f>
        <v>1</v>
      </c>
      <c r="M16" s="554">
        <f>Passby_Length_Adj!J11</f>
        <v>1</v>
      </c>
      <c r="N16" s="416">
        <v>0.5</v>
      </c>
      <c r="O16" s="546">
        <f t="shared" si="3"/>
        <v>0.5</v>
      </c>
      <c r="P16" s="555">
        <f t="shared" si="4"/>
        <v>23.32564533699178</v>
      </c>
      <c r="Q16" s="556">
        <f t="shared" si="5"/>
        <v>13.967452297599868</v>
      </c>
      <c r="R16" s="561">
        <f t="shared" si="6"/>
        <v>254.27556818181819</v>
      </c>
      <c r="S16" s="582">
        <f t="shared" si="7"/>
        <v>3551.5818690246483</v>
      </c>
      <c r="T16" s="555">
        <f t="shared" si="8"/>
        <v>1.165894506135819</v>
      </c>
      <c r="U16" s="559">
        <f t="shared" si="9"/>
        <v>154.50490219883392</v>
      </c>
      <c r="V16" s="582">
        <f t="shared" si="10"/>
        <v>180.13641664467249</v>
      </c>
      <c r="W16" s="555">
        <f t="shared" si="11"/>
        <v>0.77361000574113992</v>
      </c>
      <c r="X16" s="559">
        <f t="shared" si="12"/>
        <v>37.9060089869281</v>
      </c>
      <c r="Y16" s="582">
        <f t="shared" si="13"/>
        <v>29.324467830001147</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1665.1945015493181</v>
      </c>
      <c r="I17" s="553">
        <f>ITECountywide!$B$9*E17</f>
        <v>3.1538901131367418</v>
      </c>
      <c r="J17" s="554">
        <f t="shared" si="1"/>
        <v>1.67</v>
      </c>
      <c r="K17" s="416">
        <f t="shared" si="2"/>
        <v>0.85824475890316576</v>
      </c>
      <c r="L17" s="554">
        <f>Passby_Length_Adj!H12</f>
        <v>1</v>
      </c>
      <c r="M17" s="554">
        <f>Passby_Length_Adj!J12</f>
        <v>1</v>
      </c>
      <c r="N17" s="416">
        <v>0.5</v>
      </c>
      <c r="O17" s="546">
        <f t="shared" si="3"/>
        <v>0.5</v>
      </c>
      <c r="P17" s="555">
        <f t="shared" si="4"/>
        <v>10.327384958362773</v>
      </c>
      <c r="Q17" s="556">
        <f t="shared" si="5"/>
        <v>6.1840628493190257</v>
      </c>
      <c r="R17" s="561">
        <f t="shared" si="6"/>
        <v>254.27556818181819</v>
      </c>
      <c r="S17" s="582">
        <f t="shared" si="7"/>
        <v>1572.4560946826687</v>
      </c>
      <c r="T17" s="555">
        <f t="shared" si="8"/>
        <v>0.51619756760211821</v>
      </c>
      <c r="U17" s="559">
        <f t="shared" si="9"/>
        <v>154.50490219883392</v>
      </c>
      <c r="V17" s="582">
        <f t="shared" si="10"/>
        <v>79.755054697641228</v>
      </c>
      <c r="W17" s="555">
        <f t="shared" si="11"/>
        <v>0.34251435368691696</v>
      </c>
      <c r="X17" s="559">
        <f t="shared" si="12"/>
        <v>37.9060089869281</v>
      </c>
      <c r="Y17" s="582">
        <f t="shared" si="13"/>
        <v>12.983352169008144</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1445.0825846778566</v>
      </c>
      <c r="I18" s="553">
        <f>ITECountywide!$B$9*E18</f>
        <v>2.736996592434759</v>
      </c>
      <c r="J18" s="562">
        <f t="shared" si="1"/>
        <v>1.67</v>
      </c>
      <c r="K18" s="416">
        <f t="shared" si="2"/>
        <v>0.85824475890316576</v>
      </c>
      <c r="L18" s="554">
        <f>Passby_Length_Adj!H13</f>
        <v>1</v>
      </c>
      <c r="M18" s="554">
        <f>Passby_Length_Adj!J13</f>
        <v>1</v>
      </c>
      <c r="N18" s="416">
        <v>0.5</v>
      </c>
      <c r="O18" s="546">
        <f t="shared" si="3"/>
        <v>0.5</v>
      </c>
      <c r="P18" s="555">
        <f t="shared" si="4"/>
        <v>8.9622708546711412</v>
      </c>
      <c r="Q18" s="556">
        <f t="shared" si="5"/>
        <v>5.3666292542940965</v>
      </c>
      <c r="R18" s="561">
        <f t="shared" si="6"/>
        <v>254.27556818181819</v>
      </c>
      <c r="S18" s="582">
        <f t="shared" si="7"/>
        <v>1364.6027028567987</v>
      </c>
      <c r="T18" s="555">
        <f t="shared" si="8"/>
        <v>0.44796455579264288</v>
      </c>
      <c r="U18" s="559">
        <f t="shared" si="9"/>
        <v>154.50490219883392</v>
      </c>
      <c r="V18" s="582">
        <f t="shared" si="10"/>
        <v>69.212719881286375</v>
      </c>
      <c r="W18" s="555">
        <f t="shared" si="11"/>
        <v>0.29723946785473826</v>
      </c>
      <c r="X18" s="559">
        <f t="shared" si="12"/>
        <v>37.9060089869281</v>
      </c>
      <c r="Y18" s="582">
        <f t="shared" si="13"/>
        <v>11.267161939771434</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947.43825088150868</v>
      </c>
      <c r="I19" s="553">
        <f>ITECountywide!$B$9*E19</f>
        <v>1.7944547195433187</v>
      </c>
      <c r="J19" s="554">
        <f t="shared" si="1"/>
        <v>1.67</v>
      </c>
      <c r="K19" s="416">
        <f t="shared" si="2"/>
        <v>0.85824475890316576</v>
      </c>
      <c r="L19" s="554">
        <f>Passby_Length_Adj!H14</f>
        <v>1</v>
      </c>
      <c r="M19" s="554">
        <f>Passby_Length_Adj!J14</f>
        <v>1</v>
      </c>
      <c r="N19" s="416">
        <v>0.5</v>
      </c>
      <c r="O19" s="546">
        <f t="shared" si="3"/>
        <v>0.5</v>
      </c>
      <c r="P19" s="555">
        <f t="shared" si="4"/>
        <v>5.8759259245857161</v>
      </c>
      <c r="Q19" s="556">
        <f t="shared" si="5"/>
        <v>3.5185185177159979</v>
      </c>
      <c r="R19" s="561">
        <f t="shared" si="6"/>
        <v>254.27556818181819</v>
      </c>
      <c r="S19" s="582">
        <f t="shared" si="7"/>
        <v>894.6732952504841</v>
      </c>
      <c r="T19" s="555">
        <f t="shared" si="8"/>
        <v>0.29369861604948105</v>
      </c>
      <c r="U19" s="559">
        <f t="shared" si="9"/>
        <v>154.50490219883392</v>
      </c>
      <c r="V19" s="582">
        <f t="shared" si="10"/>
        <v>45.377875948657945</v>
      </c>
      <c r="W19" s="555">
        <f t="shared" si="11"/>
        <v>0.19487885640807345</v>
      </c>
      <c r="X19" s="559">
        <f t="shared" si="12"/>
        <v>37.9060089869281</v>
      </c>
      <c r="Y19" s="582">
        <f t="shared" si="13"/>
        <v>7.3870796823667026</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12670.790345122397</v>
      </c>
      <c r="I20" s="553">
        <f>ITECountywide!$B$9*E20</f>
        <v>23.998566148235899</v>
      </c>
      <c r="J20" s="554">
        <f t="shared" si="1"/>
        <v>1.67</v>
      </c>
      <c r="K20" s="416">
        <f t="shared" si="2"/>
        <v>0.85824475890316576</v>
      </c>
      <c r="L20" s="554">
        <f>Passby_Length_Adj!H15</f>
        <v>1</v>
      </c>
      <c r="M20" s="554">
        <f>Passby_Length_Adj!J15</f>
        <v>1</v>
      </c>
      <c r="N20" s="416">
        <v>0.5</v>
      </c>
      <c r="O20" s="546">
        <f t="shared" si="3"/>
        <v>0.5</v>
      </c>
      <c r="P20" s="555">
        <f t="shared" si="4"/>
        <v>78.583090142944314</v>
      </c>
      <c r="Q20" s="556">
        <f t="shared" si="5"/>
        <v>47.055742600565459</v>
      </c>
      <c r="R20" s="561">
        <f t="shared" si="6"/>
        <v>254.27556818181819</v>
      </c>
      <c r="S20" s="582">
        <f t="shared" si="7"/>
        <v>11965.125685976169</v>
      </c>
      <c r="T20" s="555">
        <f t="shared" si="8"/>
        <v>3.9278481580758884</v>
      </c>
      <c r="U20" s="559">
        <f t="shared" si="9"/>
        <v>154.50490219883392</v>
      </c>
      <c r="V20" s="582">
        <f t="shared" si="10"/>
        <v>606.87179551538509</v>
      </c>
      <c r="W20" s="555">
        <f t="shared" si="11"/>
        <v>2.6062586452958505</v>
      </c>
      <c r="X20" s="559">
        <f t="shared" si="12"/>
        <v>37.9060089869281</v>
      </c>
      <c r="Y20" s="582">
        <f t="shared" si="13"/>
        <v>98.79286363084357</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9053.2244196898391</v>
      </c>
      <c r="I22" s="553">
        <f>ITECountywide!$B$9*E22</f>
        <v>17.110760154029219</v>
      </c>
      <c r="J22" s="554">
        <f t="shared" ref="J22:J35" si="14">IF(F22="Prod",$M$3,$M$4)</f>
        <v>1.67</v>
      </c>
      <c r="K22" s="416">
        <f t="shared" ref="K22:K35" si="15">IF(F22="Prod",$F$4,$F$5)</f>
        <v>0.85822198498152991</v>
      </c>
      <c r="L22" s="554">
        <f>Passby_Length_Adj!H17</f>
        <v>1</v>
      </c>
      <c r="M22" s="554">
        <f>Passby_Length_Adj!J17</f>
        <v>1</v>
      </c>
      <c r="N22" s="416">
        <v>0.5</v>
      </c>
      <c r="O22" s="546">
        <f t="shared" ref="O22:O35" si="16">L22*M22*N22</f>
        <v>0.5</v>
      </c>
      <c r="P22" s="555">
        <f t="shared" ref="P22:P35" si="17">IF($F22="Prod",$I22*$O22*$F$4*$F$6,$I22*O22*$F$5*$F$7)</f>
        <v>56.148457771776705</v>
      </c>
      <c r="Q22" s="556">
        <f t="shared" ref="Q22:Q35" si="18">+P22/J22</f>
        <v>33.621831001063896</v>
      </c>
      <c r="R22" s="561">
        <f t="shared" ref="R22:R35" si="19">+$Q$4</f>
        <v>254.27556818181819</v>
      </c>
      <c r="S22" s="582">
        <f t="shared" ref="S22:S35" si="20">+Q22*R22</f>
        <v>8549.2101811085904</v>
      </c>
      <c r="T22" s="555">
        <f t="shared" ref="T22:T35" si="21">IF($F22="Prod",$I22*$O22*$G$4*$G$6,$I22*$O22*$G$5*$G$7)</f>
        <v>2.8079199135946391</v>
      </c>
      <c r="U22" s="559">
        <f t="shared" ref="U22:U35" si="22">+$R$4</f>
        <v>154.50490219883392</v>
      </c>
      <c r="V22" s="582">
        <f t="shared" ref="V22:V35" si="23">+T22*U22</f>
        <v>433.83739163209788</v>
      </c>
      <c r="W22" s="555">
        <f t="shared" ref="W22:W35" si="24">IF($F22="Prod",$I22*$O22*$J$4*$J$6,$I22*$O22*$J$5*$J$7)</f>
        <v>1.8513383187703023</v>
      </c>
      <c r="X22" s="559">
        <f t="shared" ref="X22:X35" si="25">$S$4</f>
        <v>37.9060089869281</v>
      </c>
      <c r="Y22" s="582">
        <f t="shared" ref="Y22:Y35" si="26">+W22*X22</f>
        <v>70.17684694915144</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7020.0850373018702</v>
      </c>
      <c r="I23" s="553">
        <f>ITECountywide!$B$9*E23</f>
        <v>13.268089441471812</v>
      </c>
      <c r="J23" s="554">
        <f t="shared" si="14"/>
        <v>1.67</v>
      </c>
      <c r="K23" s="416">
        <f t="shared" si="15"/>
        <v>0.85822198498152991</v>
      </c>
      <c r="L23" s="554">
        <f>Passby_Length_Adj!H18</f>
        <v>1</v>
      </c>
      <c r="M23" s="554">
        <f>Passby_Length_Adj!J18</f>
        <v>1</v>
      </c>
      <c r="N23" s="416">
        <v>0.5</v>
      </c>
      <c r="O23" s="546">
        <f t="shared" si="16"/>
        <v>0.5</v>
      </c>
      <c r="P23" s="555">
        <f t="shared" si="17"/>
        <v>43.538846492521778</v>
      </c>
      <c r="Q23" s="556">
        <f t="shared" si="18"/>
        <v>26.071165564384298</v>
      </c>
      <c r="R23" s="561">
        <f t="shared" si="19"/>
        <v>254.27556818181819</v>
      </c>
      <c r="S23" s="582">
        <f t="shared" si="20"/>
        <v>6629.2604370460704</v>
      </c>
      <c r="T23" s="555">
        <f t="shared" si="21"/>
        <v>2.1773277296094027</v>
      </c>
      <c r="U23" s="559">
        <f t="shared" si="22"/>
        <v>154.50490219883392</v>
      </c>
      <c r="V23" s="582">
        <f t="shared" si="23"/>
        <v>336.40780791810988</v>
      </c>
      <c r="W23" s="555">
        <f t="shared" si="24"/>
        <v>1.4355716624362942</v>
      </c>
      <c r="X23" s="559">
        <f t="shared" si="25"/>
        <v>37.9060089869281</v>
      </c>
      <c r="Y23" s="582">
        <f t="shared" si="26"/>
        <v>54.416792337689479</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5217.1123774483822</v>
      </c>
      <c r="I24" s="553">
        <f>ITECountywide!$B$9*E24</f>
        <v>9.8604380548642965</v>
      </c>
      <c r="J24" s="554">
        <f t="shared" si="14"/>
        <v>1.67</v>
      </c>
      <c r="K24" s="416">
        <f t="shared" si="15"/>
        <v>0.85822198498152991</v>
      </c>
      <c r="L24" s="554">
        <f>Passby_Length_Adj!H19</f>
        <v>1</v>
      </c>
      <c r="M24" s="554">
        <f>Passby_Length_Adj!J19</f>
        <v>1</v>
      </c>
      <c r="N24" s="416">
        <v>0.5</v>
      </c>
      <c r="O24" s="546">
        <f t="shared" si="16"/>
        <v>0.5</v>
      </c>
      <c r="P24" s="555">
        <f t="shared" si="17"/>
        <v>32.356738376956066</v>
      </c>
      <c r="Q24" s="556">
        <f t="shared" si="18"/>
        <v>19.375292441291059</v>
      </c>
      <c r="R24" s="561">
        <f t="shared" si="19"/>
        <v>254.27556818181819</v>
      </c>
      <c r="S24" s="582">
        <f t="shared" si="20"/>
        <v>4926.6634941981711</v>
      </c>
      <c r="T24" s="555">
        <f t="shared" si="21"/>
        <v>1.6181233400375887</v>
      </c>
      <c r="U24" s="559">
        <f t="shared" si="22"/>
        <v>154.50490219883392</v>
      </c>
      <c r="V24" s="582">
        <f t="shared" si="23"/>
        <v>250.00798839815812</v>
      </c>
      <c r="W24" s="555">
        <f t="shared" si="24"/>
        <v>1.0668729294608523</v>
      </c>
      <c r="X24" s="559">
        <f t="shared" si="25"/>
        <v>37.9060089869281</v>
      </c>
      <c r="Y24" s="582">
        <f t="shared" si="26"/>
        <v>40.440894852053376</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4267.6746469936224</v>
      </c>
      <c r="I25" s="553">
        <f>ITECountywide!$B$9*E25</f>
        <v>8.0659833353209791</v>
      </c>
      <c r="J25" s="554">
        <f t="shared" si="14"/>
        <v>1.67</v>
      </c>
      <c r="K25" s="416">
        <f t="shared" si="15"/>
        <v>0.85822198498152991</v>
      </c>
      <c r="L25" s="554">
        <f>Passby_Length_Adj!H20</f>
        <v>1</v>
      </c>
      <c r="M25" s="554">
        <f>Passby_Length_Adj!J20</f>
        <v>1</v>
      </c>
      <c r="N25" s="416">
        <v>0.5</v>
      </c>
      <c r="O25" s="546">
        <f t="shared" si="16"/>
        <v>0.5</v>
      </c>
      <c r="P25" s="555">
        <f t="shared" si="17"/>
        <v>26.468287826737967</v>
      </c>
      <c r="Q25" s="556">
        <f t="shared" si="18"/>
        <v>15.849274147747286</v>
      </c>
      <c r="R25" s="561">
        <f t="shared" si="19"/>
        <v>254.27556818181819</v>
      </c>
      <c r="S25" s="582">
        <f t="shared" si="20"/>
        <v>4030.0831891878433</v>
      </c>
      <c r="T25" s="555">
        <f t="shared" si="21"/>
        <v>1.3236486880822189</v>
      </c>
      <c r="U25" s="559">
        <f t="shared" si="22"/>
        <v>154.50490219883392</v>
      </c>
      <c r="V25" s="582">
        <f t="shared" si="23"/>
        <v>204.51021109775806</v>
      </c>
      <c r="W25" s="555">
        <f t="shared" si="24"/>
        <v>0.87271774560676352</v>
      </c>
      <c r="X25" s="559">
        <f t="shared" si="25"/>
        <v>37.9060089869281</v>
      </c>
      <c r="Y25" s="582">
        <f t="shared" si="26"/>
        <v>33.081246708021609</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5619.9041418837369</v>
      </c>
      <c r="I26" s="553">
        <f>ITECountywide!$B$9*E26</f>
        <v>10.621721875276615</v>
      </c>
      <c r="J26" s="554">
        <f t="shared" si="14"/>
        <v>1.67</v>
      </c>
      <c r="K26" s="416">
        <f t="shared" si="15"/>
        <v>0.85822198498152991</v>
      </c>
      <c r="L26" s="554">
        <f>Passby_Length_Adj!H22</f>
        <v>1</v>
      </c>
      <c r="M26" s="554">
        <f>Passby_Length_Adj!J22</f>
        <v>1</v>
      </c>
      <c r="N26" s="416">
        <v>0.5</v>
      </c>
      <c r="O26" s="546">
        <f t="shared" si="16"/>
        <v>0.5</v>
      </c>
      <c r="P26" s="555">
        <f t="shared" si="17"/>
        <v>34.85486891341224</v>
      </c>
      <c r="Q26" s="556">
        <f t="shared" si="18"/>
        <v>20.871178990067211</v>
      </c>
      <c r="R26" s="561">
        <f t="shared" si="19"/>
        <v>254.27556818181819</v>
      </c>
      <c r="S26" s="582">
        <f t="shared" si="20"/>
        <v>5307.0308963237667</v>
      </c>
      <c r="T26" s="555">
        <f t="shared" si="21"/>
        <v>1.7430519802610793</v>
      </c>
      <c r="U26" s="559">
        <f t="shared" si="22"/>
        <v>154.50490219883392</v>
      </c>
      <c r="V26" s="582">
        <f t="shared" si="23"/>
        <v>269.31007573772183</v>
      </c>
      <c r="W26" s="555">
        <f t="shared" si="24"/>
        <v>1.1492417953383447</v>
      </c>
      <c r="X26" s="559">
        <f t="shared" si="25"/>
        <v>37.9060089869281</v>
      </c>
      <c r="Y26" s="582">
        <f t="shared" si="26"/>
        <v>43.563169822248682</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3299.0563563276546</v>
      </c>
      <c r="I27" s="553">
        <f>ITECountywide!$B$9*E27</f>
        <v>6.2352770052818345</v>
      </c>
      <c r="J27" s="554">
        <f t="shared" si="14"/>
        <v>1.67</v>
      </c>
      <c r="K27" s="416">
        <f t="shared" si="15"/>
        <v>0.85822198498152991</v>
      </c>
      <c r="L27" s="554">
        <f>Passby_Length_Adj!H22</f>
        <v>1</v>
      </c>
      <c r="M27" s="554">
        <f>Passby_Length_Adj!J22</f>
        <v>1</v>
      </c>
      <c r="N27" s="416">
        <v>0.5</v>
      </c>
      <c r="O27" s="546">
        <f t="shared" si="16"/>
        <v>0.5</v>
      </c>
      <c r="P27" s="555">
        <f t="shared" si="17"/>
        <v>20.46087867954575</v>
      </c>
      <c r="Q27" s="556">
        <f t="shared" si="18"/>
        <v>12.252023161404642</v>
      </c>
      <c r="R27" s="561">
        <f t="shared" si="19"/>
        <v>254.27556818181819</v>
      </c>
      <c r="S27" s="582">
        <f t="shared" si="20"/>
        <v>3115.3901507429619</v>
      </c>
      <c r="T27" s="555">
        <f t="shared" si="21"/>
        <v>1.0232250532590637</v>
      </c>
      <c r="U27" s="559">
        <f t="shared" si="22"/>
        <v>154.50490219883392</v>
      </c>
      <c r="V27" s="582">
        <f t="shared" si="23"/>
        <v>158.09328678118825</v>
      </c>
      <c r="W27" s="555">
        <f t="shared" si="24"/>
        <v>0.67464023480612723</v>
      </c>
      <c r="X27" s="559">
        <f t="shared" si="25"/>
        <v>37.9060089869281</v>
      </c>
      <c r="Y27" s="582">
        <f t="shared" si="26"/>
        <v>25.572918803504344</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4795.140052801823</v>
      </c>
      <c r="I28" s="553">
        <f>ITECountywide!$B$9*E28</f>
        <v>9.0629026239561554</v>
      </c>
      <c r="J28" s="554">
        <f t="shared" si="14"/>
        <v>1.67</v>
      </c>
      <c r="K28" s="416">
        <f t="shared" si="15"/>
        <v>0.85822198498152991</v>
      </c>
      <c r="L28" s="554">
        <f>Passby_Length_Adj!H23</f>
        <v>1</v>
      </c>
      <c r="M28" s="554">
        <f>Passby_Length_Adj!J23</f>
        <v>1</v>
      </c>
      <c r="N28" s="416">
        <v>0.5</v>
      </c>
      <c r="O28" s="546">
        <f t="shared" si="16"/>
        <v>0.5</v>
      </c>
      <c r="P28" s="555">
        <f t="shared" si="17"/>
        <v>29.7396492435258</v>
      </c>
      <c r="Q28" s="556">
        <f t="shared" si="18"/>
        <v>17.808173199716048</v>
      </c>
      <c r="R28" s="561">
        <f t="shared" si="19"/>
        <v>254.27556818181819</v>
      </c>
      <c r="S28" s="582">
        <f t="shared" si="20"/>
        <v>4528.1833586380253</v>
      </c>
      <c r="T28" s="555">
        <f t="shared" si="21"/>
        <v>1.4872457169463134</v>
      </c>
      <c r="U28" s="559">
        <f t="shared" si="22"/>
        <v>154.50490219883392</v>
      </c>
      <c r="V28" s="582">
        <f t="shared" si="23"/>
        <v>229.78675404242477</v>
      </c>
      <c r="W28" s="555">
        <f t="shared" si="24"/>
        <v>0.98058173663681292</v>
      </c>
      <c r="X28" s="559">
        <f t="shared" si="25"/>
        <v>37.9060089869281</v>
      </c>
      <c r="Y28" s="582">
        <f t="shared" si="26"/>
        <v>37.169940121372591</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4095.0496050927563</v>
      </c>
      <c r="I29" s="553">
        <f>ITECountywide!$B$9*E29</f>
        <v>7.739718840858556</v>
      </c>
      <c r="J29" s="554">
        <f t="shared" si="14"/>
        <v>1.67</v>
      </c>
      <c r="K29" s="416">
        <f t="shared" si="15"/>
        <v>0.85822198498152991</v>
      </c>
      <c r="L29" s="554">
        <f>Passby_Length_Adj!H24</f>
        <v>1</v>
      </c>
      <c r="M29" s="554">
        <f>Passby_Length_Adj!J24</f>
        <v>1</v>
      </c>
      <c r="N29" s="416">
        <v>0.5</v>
      </c>
      <c r="O29" s="546">
        <f t="shared" si="16"/>
        <v>0.5</v>
      </c>
      <c r="P29" s="555">
        <f t="shared" si="17"/>
        <v>25.397660453971032</v>
      </c>
      <c r="Q29" s="556">
        <f t="shared" si="18"/>
        <v>15.208179912557505</v>
      </c>
      <c r="R29" s="561">
        <f t="shared" si="19"/>
        <v>254.27556818181819</v>
      </c>
      <c r="S29" s="582">
        <f t="shared" si="20"/>
        <v>3867.0685882768735</v>
      </c>
      <c r="T29" s="555">
        <f t="shared" si="21"/>
        <v>1.2701078422721517</v>
      </c>
      <c r="U29" s="559">
        <f t="shared" si="22"/>
        <v>154.50490219883392</v>
      </c>
      <c r="V29" s="582">
        <f t="shared" si="23"/>
        <v>196.23788795223078</v>
      </c>
      <c r="W29" s="555">
        <f t="shared" si="24"/>
        <v>0.83741680308783817</v>
      </c>
      <c r="X29" s="559">
        <f t="shared" si="25"/>
        <v>37.9060089869281</v>
      </c>
      <c r="Y29" s="582">
        <f t="shared" si="26"/>
        <v>31.743128863652192</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3548.403639073349</v>
      </c>
      <c r="I30" s="553">
        <f>ITECountywide!$B$9*E30</f>
        <v>6.7065479417275551</v>
      </c>
      <c r="J30" s="554">
        <f t="shared" si="14"/>
        <v>1.67</v>
      </c>
      <c r="K30" s="416">
        <f t="shared" si="15"/>
        <v>0.85822198498152991</v>
      </c>
      <c r="L30" s="554">
        <f>Passby_Length_Adj!H25</f>
        <v>1</v>
      </c>
      <c r="M30" s="554">
        <f>Passby_Length_Adj!J25</f>
        <v>1</v>
      </c>
      <c r="N30" s="416">
        <v>0.5</v>
      </c>
      <c r="O30" s="546">
        <f t="shared" si="16"/>
        <v>0.5</v>
      </c>
      <c r="P30" s="555">
        <f t="shared" si="17"/>
        <v>22.007340440209092</v>
      </c>
      <c r="Q30" s="556">
        <f t="shared" si="18"/>
        <v>13.178048167789875</v>
      </c>
      <c r="R30" s="561">
        <f t="shared" si="19"/>
        <v>254.27556818181819</v>
      </c>
      <c r="S30" s="582">
        <f t="shared" si="20"/>
        <v>3350.8556853921386</v>
      </c>
      <c r="T30" s="555">
        <f t="shared" si="21"/>
        <v>1.1005618305402718</v>
      </c>
      <c r="U30" s="559">
        <f t="shared" si="22"/>
        <v>154.50490219883392</v>
      </c>
      <c r="V30" s="582">
        <f t="shared" si="23"/>
        <v>170.04219799139432</v>
      </c>
      <c r="W30" s="555">
        <f t="shared" si="24"/>
        <v>0.72563048511124151</v>
      </c>
      <c r="X30" s="559">
        <f t="shared" si="25"/>
        <v>37.9060089869281</v>
      </c>
      <c r="Y30" s="582">
        <f t="shared" si="26"/>
        <v>27.505755689815718</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1937.2365813319361</v>
      </c>
      <c r="I31" s="553">
        <f>ITECountywide!$B$9*E31</f>
        <v>3.6614126600782866</v>
      </c>
      <c r="J31" s="554">
        <f t="shared" si="14"/>
        <v>1.67</v>
      </c>
      <c r="K31" s="416">
        <f t="shared" si="15"/>
        <v>0.85822198498152991</v>
      </c>
      <c r="L31" s="554">
        <f>Passby_Length_Adj!H26</f>
        <v>1</v>
      </c>
      <c r="M31" s="554">
        <f>Passby_Length_Adj!J26</f>
        <v>1</v>
      </c>
      <c r="N31" s="416">
        <v>0.5</v>
      </c>
      <c r="O31" s="546">
        <f t="shared" si="16"/>
        <v>0.5</v>
      </c>
      <c r="P31" s="555">
        <f t="shared" si="17"/>
        <v>12.014818294384423</v>
      </c>
      <c r="Q31" s="556">
        <f t="shared" si="18"/>
        <v>7.1945019726852832</v>
      </c>
      <c r="R31" s="557">
        <f t="shared" si="19"/>
        <v>254.27556818181819</v>
      </c>
      <c r="S31" s="582">
        <f t="shared" si="20"/>
        <v>1829.3860768897621</v>
      </c>
      <c r="T31" s="555">
        <f t="shared" si="21"/>
        <v>0.60084726964631063</v>
      </c>
      <c r="U31" s="559">
        <f t="shared" si="22"/>
        <v>154.50490219883392</v>
      </c>
      <c r="V31" s="582">
        <f t="shared" si="23"/>
        <v>92.83384863313961</v>
      </c>
      <c r="W31" s="555">
        <f t="shared" si="24"/>
        <v>0.39615502160127236</v>
      </c>
      <c r="X31" s="559">
        <f t="shared" si="25"/>
        <v>37.9060089869281</v>
      </c>
      <c r="Y31" s="582">
        <f t="shared" si="26"/>
        <v>15.016655809034527</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2493.4728274569484</v>
      </c>
      <c r="I32" s="553">
        <f>ITECountywide!$B$9*E32</f>
        <v>4.7127093644572007</v>
      </c>
      <c r="J32" s="562">
        <f t="shared" si="14"/>
        <v>1.67</v>
      </c>
      <c r="K32" s="416">
        <f t="shared" si="15"/>
        <v>0.85822198498152991</v>
      </c>
      <c r="L32" s="554">
        <f>Passby_Length_Adj!H27</f>
        <v>1</v>
      </c>
      <c r="M32" s="554">
        <f>Passby_Length_Adj!J27</f>
        <v>1</v>
      </c>
      <c r="N32" s="416">
        <v>0.5</v>
      </c>
      <c r="O32" s="546">
        <f t="shared" si="16"/>
        <v>0.5</v>
      </c>
      <c r="P32" s="555">
        <f t="shared" si="17"/>
        <v>15.464617606633418</v>
      </c>
      <c r="Q32" s="556">
        <f t="shared" si="18"/>
        <v>9.2602500638523466</v>
      </c>
      <c r="R32" s="557">
        <f t="shared" si="19"/>
        <v>254.27556818181819</v>
      </c>
      <c r="S32" s="582">
        <f t="shared" si="20"/>
        <v>2354.6553464917738</v>
      </c>
      <c r="T32" s="555">
        <f t="shared" si="21"/>
        <v>0.77336777281208291</v>
      </c>
      <c r="U32" s="563">
        <f t="shared" si="22"/>
        <v>154.50490219883392</v>
      </c>
      <c r="V32" s="583">
        <f t="shared" si="23"/>
        <v>119.48911210206087</v>
      </c>
      <c r="W32" s="555">
        <f t="shared" si="24"/>
        <v>0.50990250305114271</v>
      </c>
      <c r="X32" s="563">
        <f t="shared" si="25"/>
        <v>37.9060089869281</v>
      </c>
      <c r="Y32" s="583">
        <f t="shared" si="26"/>
        <v>19.328368863113749</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2301.6672253448746</v>
      </c>
      <c r="I33" s="553">
        <f>ITECountywide!$B$9*E33</f>
        <v>4.3501932594989539</v>
      </c>
      <c r="J33" s="562">
        <f t="shared" si="14"/>
        <v>1.67</v>
      </c>
      <c r="K33" s="416">
        <f t="shared" si="15"/>
        <v>0.85822198498152991</v>
      </c>
      <c r="L33" s="554">
        <f>Passby_Length_Adj!H28</f>
        <v>1</v>
      </c>
      <c r="M33" s="554">
        <f>Passby_Length_Adj!J28</f>
        <v>1</v>
      </c>
      <c r="N33" s="416">
        <v>0.5</v>
      </c>
      <c r="O33" s="546">
        <f t="shared" si="16"/>
        <v>0.5</v>
      </c>
      <c r="P33" s="555">
        <f t="shared" si="17"/>
        <v>14.275031636892381</v>
      </c>
      <c r="Q33" s="556">
        <f t="shared" si="18"/>
        <v>8.5479231358637016</v>
      </c>
      <c r="R33" s="557">
        <f t="shared" si="19"/>
        <v>254.27556818181819</v>
      </c>
      <c r="S33" s="582">
        <f t="shared" si="20"/>
        <v>2173.528012146252</v>
      </c>
      <c r="T33" s="555">
        <f t="shared" si="21"/>
        <v>0.71387794413423034</v>
      </c>
      <c r="U33" s="559">
        <f t="shared" si="22"/>
        <v>154.50490219883392</v>
      </c>
      <c r="V33" s="582">
        <f t="shared" si="23"/>
        <v>110.29764194036387</v>
      </c>
      <c r="W33" s="555">
        <f t="shared" si="24"/>
        <v>0.4706792335856701</v>
      </c>
      <c r="X33" s="559">
        <f t="shared" si="25"/>
        <v>37.9060089869281</v>
      </c>
      <c r="Y33" s="582">
        <f t="shared" si="26"/>
        <v>17.841571258258842</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8276.4117311359478</v>
      </c>
      <c r="I34" s="553">
        <f>ITECountywide!$B$9*E34</f>
        <v>15.642569928948324</v>
      </c>
      <c r="J34" s="562">
        <f t="shared" si="14"/>
        <v>1.67</v>
      </c>
      <c r="K34" s="416">
        <f t="shared" si="15"/>
        <v>0.85822198498152991</v>
      </c>
      <c r="L34" s="554">
        <f>Passby_Length_Adj!H29</f>
        <v>1</v>
      </c>
      <c r="M34" s="554">
        <f>Passby_Length_Adj!J29</f>
        <v>1</v>
      </c>
      <c r="N34" s="416">
        <v>0.5</v>
      </c>
      <c r="O34" s="546">
        <f t="shared" si="16"/>
        <v>0.5</v>
      </c>
      <c r="P34" s="555">
        <f t="shared" si="17"/>
        <v>51.330634594325538</v>
      </c>
      <c r="Q34" s="556">
        <f t="shared" si="18"/>
        <v>30.736906942709904</v>
      </c>
      <c r="R34" s="557">
        <f t="shared" si="19"/>
        <v>254.27556818181819</v>
      </c>
      <c r="S34" s="582">
        <f t="shared" si="20"/>
        <v>7815.644477009233</v>
      </c>
      <c r="T34" s="555">
        <f t="shared" si="21"/>
        <v>2.566986107449337</v>
      </c>
      <c r="U34" s="559">
        <f t="shared" si="22"/>
        <v>154.50490219883392</v>
      </c>
      <c r="V34" s="582">
        <f t="shared" si="23"/>
        <v>396.61193747722518</v>
      </c>
      <c r="W34" s="555">
        <f t="shared" si="24"/>
        <v>1.6924840774351393</v>
      </c>
      <c r="X34" s="559">
        <f t="shared" si="25"/>
        <v>37.9060089869281</v>
      </c>
      <c r="Y34" s="582">
        <f t="shared" si="26"/>
        <v>64.155316649489109</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7509.1893226876555</v>
      </c>
      <c r="I35" s="553">
        <f>ITECountywide!$B$9*E35</f>
        <v>14.192505509115339</v>
      </c>
      <c r="J35" s="562">
        <f t="shared" si="14"/>
        <v>1.67</v>
      </c>
      <c r="K35" s="416">
        <f t="shared" si="15"/>
        <v>0.85822198498152991</v>
      </c>
      <c r="L35" s="554">
        <f>Passby_Length_Adj!H30</f>
        <v>1</v>
      </c>
      <c r="M35" s="554">
        <f>Passby_Length_Adj!J30</f>
        <v>1</v>
      </c>
      <c r="N35" s="416">
        <v>0.5</v>
      </c>
      <c r="O35" s="546">
        <f t="shared" si="16"/>
        <v>0.5</v>
      </c>
      <c r="P35" s="555">
        <f t="shared" si="17"/>
        <v>46.572290715361405</v>
      </c>
      <c r="Q35" s="556">
        <f t="shared" si="18"/>
        <v>27.887599230755335</v>
      </c>
      <c r="R35" s="561">
        <f t="shared" si="19"/>
        <v>254.27556818181819</v>
      </c>
      <c r="S35" s="582">
        <f t="shared" si="20"/>
        <v>7091.1351396271484</v>
      </c>
      <c r="T35" s="555">
        <f t="shared" si="21"/>
        <v>2.3290267927379267</v>
      </c>
      <c r="U35" s="559">
        <f t="shared" si="22"/>
        <v>154.50490219883392</v>
      </c>
      <c r="V35" s="582">
        <f t="shared" si="23"/>
        <v>359.84605683043719</v>
      </c>
      <c r="W35" s="555">
        <f t="shared" si="24"/>
        <v>1.5355909995732488</v>
      </c>
      <c r="X35" s="559">
        <f t="shared" si="25"/>
        <v>37.9060089869281</v>
      </c>
      <c r="Y35" s="582">
        <f t="shared" si="26"/>
        <v>58.208126230069475</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8017.4741682846479</v>
      </c>
      <c r="I37" s="553">
        <f>ITECountywide!$B$9*E37</f>
        <v>15.153173187254691</v>
      </c>
      <c r="J37" s="562">
        <f>IF(F37="Prod",$M$3,$M$4)</f>
        <v>1.67</v>
      </c>
      <c r="K37" s="416">
        <f>IF(F37="Prod",$F$4,$F$5)</f>
        <v>0.85822198498152991</v>
      </c>
      <c r="L37" s="554">
        <f>Passby_Length_Adj!H32</f>
        <v>1</v>
      </c>
      <c r="M37" s="554">
        <f>Passby_Length_Adj!J32</f>
        <v>1</v>
      </c>
      <c r="N37" s="416">
        <v>0.5</v>
      </c>
      <c r="O37" s="546">
        <f>L37*M37*N37</f>
        <v>0.5</v>
      </c>
      <c r="P37" s="555">
        <f>IF($F37="Prod",$I37*$O37*$F$4*$F$6,$I37*O37*$F$5*$F$7)</f>
        <v>49.724693535175142</v>
      </c>
      <c r="Q37" s="556">
        <f>+P37/J37</f>
        <v>29.775265589925237</v>
      </c>
      <c r="R37" s="561">
        <f>+$Q$4</f>
        <v>254.27556818181819</v>
      </c>
      <c r="S37" s="582">
        <f>+Q37*R37</f>
        <v>7571.1225756427793</v>
      </c>
      <c r="T37" s="555">
        <f>IF($F37="Prod",$I37*$O37*$G$4*$G$6,$I37*$O37*$G$5*$G$7)</f>
        <v>2.4866748387342361</v>
      </c>
      <c r="U37" s="559">
        <f>+$R$4</f>
        <v>154.50490219883392</v>
      </c>
      <c r="V37" s="582">
        <f>+T37*U37</f>
        <v>384.20345275893425</v>
      </c>
      <c r="W37" s="555">
        <f>IF($F37="Prod",$I37*$O37*$J$4*$J$6,$I37*$O37*$J$5*$J$7)</f>
        <v>1.6395326636567511</v>
      </c>
      <c r="X37" s="559">
        <f>$S$4</f>
        <v>37.9060089869281</v>
      </c>
      <c r="Y37" s="582">
        <f>+W37*X37</f>
        <v>62.14813988293497</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4277.264927099226</v>
      </c>
      <c r="I38" s="553">
        <f>ITECountywide!$B$9*E38</f>
        <v>8.0841091405688896</v>
      </c>
      <c r="J38" s="562">
        <f>IF(F38="Prod",$M$3,$M$4)</f>
        <v>1.67</v>
      </c>
      <c r="K38" s="416">
        <f>IF(F38="Prod",$F$4,$F$5)</f>
        <v>0.85822198498152991</v>
      </c>
      <c r="L38" s="554">
        <f>Passby_Length_Adj!H33</f>
        <v>1</v>
      </c>
      <c r="M38" s="554">
        <f>Passby_Length_Adj!J33</f>
        <v>1</v>
      </c>
      <c r="N38" s="416">
        <v>0.5</v>
      </c>
      <c r="O38" s="546">
        <f>L38*M38*N38</f>
        <v>0.5</v>
      </c>
      <c r="P38" s="555">
        <f>IF($F38="Prod",$I38*$O38*$F$4*$F$6,$I38*O38*$F$5*$F$7)</f>
        <v>26.527767125225012</v>
      </c>
      <c r="Q38" s="556">
        <f>+P38/J38</f>
        <v>15.884890494146715</v>
      </c>
      <c r="R38" s="561">
        <f>+$Q$4</f>
        <v>254.27556818181819</v>
      </c>
      <c r="S38" s="582">
        <f>+Q38*R38</f>
        <v>4039.1395559051184</v>
      </c>
      <c r="T38" s="555">
        <f>IF($F38="Prod",$I38*$O38*$G$4*$G$6,$I38*$O38*$G$5*$G$7)</f>
        <v>1.3266231795161114</v>
      </c>
      <c r="U38" s="559">
        <f>+$R$4</f>
        <v>154.50490219883392</v>
      </c>
      <c r="V38" s="582">
        <f>+T38*U38</f>
        <v>204.96978460584288</v>
      </c>
      <c r="W38" s="555">
        <f>IF($F38="Prod",$I38*$O38*$J$4*$J$6,$I38*$O38*$J$5*$J$7)</f>
        <v>0.87467890908003698</v>
      </c>
      <c r="X38" s="559">
        <f>$S$4</f>
        <v>37.9060089869281</v>
      </c>
      <c r="Y38" s="582">
        <f>+W38*X38</f>
        <v>33.155586588264349</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3212.7438353772213</v>
      </c>
      <c r="I39" s="553">
        <f>ITECountywide!$B$9*E39</f>
        <v>6.0721447580506238</v>
      </c>
      <c r="J39" s="562">
        <f>IF(F39="Prod",$M$3,$M$4)</f>
        <v>1.67</v>
      </c>
      <c r="K39" s="416">
        <f>IF(F39="Prod",$F$4,$F$5)</f>
        <v>0.85822198498152991</v>
      </c>
      <c r="L39" s="554">
        <f>Passby_Length_Adj!H34</f>
        <v>1</v>
      </c>
      <c r="M39" s="554">
        <f>Passby_Length_Adj!J34</f>
        <v>1</v>
      </c>
      <c r="N39" s="416">
        <v>0.5</v>
      </c>
      <c r="O39" s="546">
        <f>L39*M39*N39</f>
        <v>0.5</v>
      </c>
      <c r="P39" s="555">
        <f>IF($F39="Prod",$I39*$O39*$F$4*$F$6,$I39*O39*$F$5*$F$7)</f>
        <v>19.925564993162286</v>
      </c>
      <c r="Q39" s="556">
        <f>+P39/J39</f>
        <v>11.931476043809752</v>
      </c>
      <c r="R39" s="561">
        <f>+$Q$4</f>
        <v>254.27556818181819</v>
      </c>
      <c r="S39" s="582">
        <f>+Q39*R39</f>
        <v>3033.8828502874771</v>
      </c>
      <c r="T39" s="555">
        <f>IF($F39="Prod",$I39*$O39*$G$4*$G$6,$I39*$O39*$G$5*$G$7)</f>
        <v>0.99645463035402992</v>
      </c>
      <c r="U39" s="559">
        <f>+$R$4</f>
        <v>154.50490219883392</v>
      </c>
      <c r="V39" s="582">
        <f>+T39*U39</f>
        <v>153.9571252084246</v>
      </c>
      <c r="W39" s="555">
        <f>IF($F39="Prod",$I39*$O39*$J$4*$J$6,$I39*$O39*$J$5*$J$7)</f>
        <v>0.65698976354666461</v>
      </c>
      <c r="X39" s="559">
        <f>$S$4</f>
        <v>37.9060089869281</v>
      </c>
      <c r="Y39" s="582">
        <f>+W39*X39</f>
        <v>24.903859881319637</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3855.2926024526646</v>
      </c>
      <c r="I40" s="553">
        <f>ITECountywide!$B$9*E40</f>
        <v>7.2865737096607477</v>
      </c>
      <c r="J40" s="562">
        <f>IF(F40="Prod",$M$3,$M$4)</f>
        <v>1.67</v>
      </c>
      <c r="K40" s="416">
        <f>IF(F40="Prod",$F$4,$F$5)</f>
        <v>0.85822198498152991</v>
      </c>
      <c r="L40" s="554">
        <f>Passby_Length_Adj!H35</f>
        <v>1</v>
      </c>
      <c r="M40" s="554">
        <f>Passby_Length_Adj!J35</f>
        <v>1</v>
      </c>
      <c r="N40" s="416">
        <v>0.5</v>
      </c>
      <c r="O40" s="546">
        <f>L40*M40*N40</f>
        <v>0.5</v>
      </c>
      <c r="P40" s="555">
        <f>IF($F40="Prod",$I40*$O40*$F$4*$F$6,$I40*O40*$F$5*$F$7)</f>
        <v>23.910677991794739</v>
      </c>
      <c r="Q40" s="556">
        <f>+P40/J40</f>
        <v>14.317771252571701</v>
      </c>
      <c r="R40" s="561">
        <f>+$Q$4</f>
        <v>254.27556818181819</v>
      </c>
      <c r="S40" s="582">
        <f>+Q40*R40</f>
        <v>3640.6594203449717</v>
      </c>
      <c r="T40" s="555">
        <f>IF($F40="Prod",$I40*$O40*$G$4*$G$6,$I40*$O40*$G$5*$G$7)</f>
        <v>1.1957455564248358</v>
      </c>
      <c r="U40" s="559">
        <f>+$R$4</f>
        <v>154.50490219883392</v>
      </c>
      <c r="V40" s="582">
        <f>+T40*U40</f>
        <v>184.7485502501095</v>
      </c>
      <c r="W40" s="555">
        <f>IF($F40="Prod",$I40*$O40*$J$4*$J$6,$I40*$O40*$J$5*$J$7)</f>
        <v>0.78838771625599757</v>
      </c>
      <c r="X40" s="559">
        <f>$S$4</f>
        <v>37.9060089869281</v>
      </c>
      <c r="Y40" s="582">
        <f>+W40*X40</f>
        <v>29.884631857583564</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1015.9602198037146</v>
      </c>
      <c r="I42" s="553">
        <f>ITECountywide!$B$9*E42</f>
        <v>4.368319064746867</v>
      </c>
      <c r="J42" s="562">
        <f t="shared" ref="J42:J50" si="27">IF(F42="Prod",$M$3,$M$4)</f>
        <v>1.67</v>
      </c>
      <c r="K42" s="416">
        <f t="shared" ref="K42:K50" si="28">IF(F42="Prod",$F$4,$F$5)</f>
        <v>0.85824475890316576</v>
      </c>
      <c r="L42" s="554">
        <f>Passby_Length_Adj!H37</f>
        <v>0.4404979999697734</v>
      </c>
      <c r="M42" s="554">
        <f>Passby_Length_Adj!J37</f>
        <v>1</v>
      </c>
      <c r="N42" s="416">
        <v>0.5</v>
      </c>
      <c r="O42" s="546">
        <f t="shared" ref="O42:O50" si="29">L42*M42*N42</f>
        <v>0.2202489999848867</v>
      </c>
      <c r="P42" s="555">
        <f t="shared" ref="P42:P50" si="30">IF($F42="Prod",$I42*$O42*$F$4*$F$6,$I42*O42*$F$5*$F$7)</f>
        <v>6.3008929482614384</v>
      </c>
      <c r="Q42" s="556">
        <f t="shared" ref="Q42:Q50" si="31">+P42/J42</f>
        <v>3.7729897893781068</v>
      </c>
      <c r="R42" s="557">
        <f t="shared" ref="R42:R50" si="32">+$Q$4</f>
        <v>254.27556818181819</v>
      </c>
      <c r="S42" s="582">
        <f t="shared" ref="S42:S50" si="33">+Q42*R42</f>
        <v>959.37912243831659</v>
      </c>
      <c r="T42" s="555">
        <f t="shared" ref="T42:T50" si="34">IF($F42="Prod",$I42*$O42*$G$4*$G$6,$I42*$O42*$G$5*$G$7)</f>
        <v>0.31493990266917699</v>
      </c>
      <c r="U42" s="559">
        <f t="shared" ref="U42:U50" si="35">+$R$4</f>
        <v>154.50490219883392</v>
      </c>
      <c r="V42" s="583">
        <f t="shared" ref="V42:V50" si="36">+T42*U42</f>
        <v>48.659758860411465</v>
      </c>
      <c r="W42" s="555">
        <f t="shared" ref="W42:W50" si="37">IF($F42="Prod",$I42*$O42*$J$4*$J$6,$I42*$O42*$J$5*$J$7)</f>
        <v>0.20897316063314014</v>
      </c>
      <c r="X42" s="563">
        <f t="shared" ref="X42:X50" si="38">$S$4</f>
        <v>37.9060089869281</v>
      </c>
      <c r="Y42" s="583">
        <f t="shared" ref="Y42:Y50" si="39">+W42*X42</f>
        <v>7.9213385049865801</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12807.000613127322</v>
      </c>
      <c r="I43" s="553">
        <f>ITECountywide!$B$9*E43</f>
        <v>55.066196343157593</v>
      </c>
      <c r="J43" s="562">
        <f t="shared" si="27"/>
        <v>1.67</v>
      </c>
      <c r="K43" s="416">
        <f t="shared" si="28"/>
        <v>0.85824475890316576</v>
      </c>
      <c r="L43" s="554">
        <f>Passby_Length_Adj!H38</f>
        <v>0.4404979999697734</v>
      </c>
      <c r="M43" s="554">
        <f>Passby_Length_Adj!J38</f>
        <v>1</v>
      </c>
      <c r="N43" s="416">
        <v>0.5</v>
      </c>
      <c r="O43" s="546">
        <f t="shared" si="29"/>
        <v>0.2202489999848867</v>
      </c>
      <c r="P43" s="555">
        <f t="shared" si="30"/>
        <v>79.427853845718857</v>
      </c>
      <c r="Q43" s="556">
        <f t="shared" si="31"/>
        <v>47.561589129172972</v>
      </c>
      <c r="R43" s="557">
        <f t="shared" si="32"/>
        <v>254.27556818181819</v>
      </c>
      <c r="S43" s="582">
        <f t="shared" si="33"/>
        <v>12093.750099450644</v>
      </c>
      <c r="T43" s="555">
        <f t="shared" si="34"/>
        <v>3.970072300037176</v>
      </c>
      <c r="U43" s="559">
        <f t="shared" si="35"/>
        <v>154.50490219883392</v>
      </c>
      <c r="V43" s="583">
        <f t="shared" si="36"/>
        <v>613.39563243954353</v>
      </c>
      <c r="W43" s="555">
        <f t="shared" si="37"/>
        <v>2.6342757759480482</v>
      </c>
      <c r="X43" s="563">
        <f t="shared" si="38"/>
        <v>37.9060089869281</v>
      </c>
      <c r="Y43" s="583">
        <f t="shared" si="39"/>
        <v>99.854881237133711</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32919.640483183437</v>
      </c>
      <c r="I44" s="553">
        <f>ITECountywide!$B$9*E44</f>
        <v>141.54441318094723</v>
      </c>
      <c r="J44" s="562">
        <f t="shared" si="27"/>
        <v>1.67</v>
      </c>
      <c r="K44" s="416">
        <f t="shared" si="28"/>
        <v>0.85824475890316576</v>
      </c>
      <c r="L44" s="554">
        <f>Passby_Length_Adj!H39</f>
        <v>0.4404979999697734</v>
      </c>
      <c r="M44" s="554">
        <f>Passby_Length_Adj!J39</f>
        <v>1</v>
      </c>
      <c r="N44" s="416">
        <v>0.5</v>
      </c>
      <c r="O44" s="546">
        <f t="shared" si="29"/>
        <v>0.2202489999848867</v>
      </c>
      <c r="P44" s="555">
        <f t="shared" si="30"/>
        <v>204.1646183940812</v>
      </c>
      <c r="Q44" s="556">
        <f t="shared" si="31"/>
        <v>122.25426251142588</v>
      </c>
      <c r="R44" s="557">
        <f t="shared" si="32"/>
        <v>254.27556818181819</v>
      </c>
      <c r="S44" s="582">
        <f t="shared" si="33"/>
        <v>31086.272062741969</v>
      </c>
      <c r="T44" s="555">
        <f t="shared" si="34"/>
        <v>10.204836929226568</v>
      </c>
      <c r="U44" s="559">
        <f t="shared" si="35"/>
        <v>154.50490219883392</v>
      </c>
      <c r="V44" s="582">
        <f t="shared" si="36"/>
        <v>1576.6973317051995</v>
      </c>
      <c r="W44" s="555">
        <f t="shared" si="37"/>
        <v>6.7712506696439476</v>
      </c>
      <c r="X44" s="559">
        <f t="shared" si="38"/>
        <v>37.9060089869281</v>
      </c>
      <c r="Y44" s="582">
        <f t="shared" si="39"/>
        <v>256.67108873626637</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92743.256579592198</v>
      </c>
      <c r="I45" s="553">
        <f>ITECountywide!$B$9*E45</f>
        <v>398.76771545407081</v>
      </c>
      <c r="J45" s="562">
        <f t="shared" si="27"/>
        <v>1.67</v>
      </c>
      <c r="K45" s="416">
        <f t="shared" si="28"/>
        <v>0.85824475890316576</v>
      </c>
      <c r="L45" s="554">
        <f>Passby_Length_Adj!H40</f>
        <v>0.4404979999697734</v>
      </c>
      <c r="M45" s="554">
        <f>Passby_Length_Adj!J40</f>
        <v>1</v>
      </c>
      <c r="N45" s="416">
        <v>0.5</v>
      </c>
      <c r="O45" s="546">
        <f t="shared" si="29"/>
        <v>0.2202489999848867</v>
      </c>
      <c r="P45" s="555">
        <f t="shared" si="30"/>
        <v>575.18524838901089</v>
      </c>
      <c r="Q45" s="556">
        <f t="shared" si="31"/>
        <v>344.42230442455741</v>
      </c>
      <c r="R45" s="557">
        <f t="shared" si="32"/>
        <v>254.27556818181819</v>
      </c>
      <c r="S45" s="582">
        <f t="shared" si="33"/>
        <v>87578.177152045493</v>
      </c>
      <c r="T45" s="555">
        <f t="shared" si="34"/>
        <v>28.749700658597067</v>
      </c>
      <c r="U45" s="559">
        <f t="shared" si="35"/>
        <v>154.50490219883392</v>
      </c>
      <c r="V45" s="583">
        <f t="shared" si="36"/>
        <v>4441.9696885022913</v>
      </c>
      <c r="W45" s="555">
        <f t="shared" si="37"/>
        <v>19.076388107589558</v>
      </c>
      <c r="X45" s="563">
        <f t="shared" si="38"/>
        <v>37.9060089869281</v>
      </c>
      <c r="Y45" s="583">
        <f t="shared" si="39"/>
        <v>723.10973904441812</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22515.533335981905</v>
      </c>
      <c r="I46" s="553">
        <f>ITECountywide!$B$9*E46</f>
        <v>96.80992582909964</v>
      </c>
      <c r="J46" s="562">
        <f t="shared" si="27"/>
        <v>1.67</v>
      </c>
      <c r="K46" s="416">
        <f t="shared" si="28"/>
        <v>0.85824475890316576</v>
      </c>
      <c r="L46" s="554">
        <f>Passby_Length_Adj!H41</f>
        <v>0.4404979999697734</v>
      </c>
      <c r="M46" s="554">
        <f>Passby_Length_Adj!J41</f>
        <v>1</v>
      </c>
      <c r="N46" s="416">
        <v>0.5</v>
      </c>
      <c r="O46" s="546">
        <f t="shared" si="29"/>
        <v>0.2202489999848867</v>
      </c>
      <c r="P46" s="555">
        <f t="shared" si="30"/>
        <v>139.63929143844123</v>
      </c>
      <c r="Q46" s="556">
        <f t="shared" si="31"/>
        <v>83.616342178707328</v>
      </c>
      <c r="R46" s="557">
        <f t="shared" si="32"/>
        <v>254.27556818181819</v>
      </c>
      <c r="S46" s="582">
        <f t="shared" si="33"/>
        <v>21261.592916776135</v>
      </c>
      <c r="T46" s="555">
        <f t="shared" si="34"/>
        <v>6.9796432371621338</v>
      </c>
      <c r="U46" s="559">
        <f t="shared" si="35"/>
        <v>154.50490219883392</v>
      </c>
      <c r="V46" s="583">
        <f t="shared" si="36"/>
        <v>1078.3890957404881</v>
      </c>
      <c r="W46" s="555">
        <f t="shared" si="37"/>
        <v>4.6312267673925369</v>
      </c>
      <c r="X46" s="563">
        <f t="shared" si="38"/>
        <v>37.9060089869281</v>
      </c>
      <c r="Y46" s="583">
        <f t="shared" si="39"/>
        <v>175.55132346528347</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12781.706997696527</v>
      </c>
      <c r="I47" s="553">
        <f>ITECountywide!$B$9*E47</f>
        <v>54.957441511670126</v>
      </c>
      <c r="J47" s="562">
        <f t="shared" si="27"/>
        <v>1.67</v>
      </c>
      <c r="K47" s="416">
        <f t="shared" si="28"/>
        <v>0.85824475890316576</v>
      </c>
      <c r="L47" s="554">
        <f>Passby_Length_Adj!H42</f>
        <v>0.4404979999697734</v>
      </c>
      <c r="M47" s="554">
        <f>Passby_Length_Adj!J42</f>
        <v>1</v>
      </c>
      <c r="N47" s="416">
        <v>0.5</v>
      </c>
      <c r="O47" s="546">
        <f t="shared" si="29"/>
        <v>0.2202489999848867</v>
      </c>
      <c r="P47" s="555">
        <f t="shared" si="30"/>
        <v>79.270985141612783</v>
      </c>
      <c r="Q47" s="556">
        <f t="shared" si="31"/>
        <v>47.46765577342083</v>
      </c>
      <c r="R47" s="557">
        <f t="shared" si="32"/>
        <v>254.27556818181819</v>
      </c>
      <c r="S47" s="582">
        <f t="shared" si="33"/>
        <v>12069.865142045544</v>
      </c>
      <c r="T47" s="555">
        <f t="shared" si="34"/>
        <v>3.9622314725848327</v>
      </c>
      <c r="U47" s="559">
        <f t="shared" si="35"/>
        <v>154.50490219883392</v>
      </c>
      <c r="V47" s="583">
        <f t="shared" si="36"/>
        <v>612.18418616086126</v>
      </c>
      <c r="W47" s="555">
        <f t="shared" si="37"/>
        <v>2.6290731246459789</v>
      </c>
      <c r="X47" s="563">
        <f t="shared" si="38"/>
        <v>37.9060089869281</v>
      </c>
      <c r="Y47" s="583">
        <f t="shared" si="39"/>
        <v>99.65766949012162</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16314.381952864631</v>
      </c>
      <c r="I48" s="553">
        <f>ITECountywide!$B$9*E48</f>
        <v>70.146866309420645</v>
      </c>
      <c r="J48" s="562">
        <f t="shared" si="27"/>
        <v>1.67</v>
      </c>
      <c r="K48" s="416">
        <f t="shared" si="28"/>
        <v>0.85824475890316576</v>
      </c>
      <c r="L48" s="554">
        <f>Passby_Length_Adj!H43</f>
        <v>0.4404979999697734</v>
      </c>
      <c r="M48" s="554">
        <f>Passby_Length_Adj!J43</f>
        <v>1</v>
      </c>
      <c r="N48" s="416">
        <v>0.5</v>
      </c>
      <c r="O48" s="546">
        <f t="shared" si="29"/>
        <v>0.2202489999848867</v>
      </c>
      <c r="P48" s="555">
        <f t="shared" si="30"/>
        <v>101.18031414843057</v>
      </c>
      <c r="Q48" s="556">
        <f t="shared" si="31"/>
        <v>60.587014460138064</v>
      </c>
      <c r="R48" s="557">
        <f t="shared" si="32"/>
        <v>254.27556818181819</v>
      </c>
      <c r="S48" s="582">
        <f t="shared" si="33"/>
        <v>15405.797526291641</v>
      </c>
      <c r="T48" s="555">
        <f t="shared" si="34"/>
        <v>5.0573337067623028</v>
      </c>
      <c r="U48" s="559">
        <f t="shared" si="35"/>
        <v>154.50490219883392</v>
      </c>
      <c r="V48" s="583">
        <f t="shared" si="36"/>
        <v>781.38284975017575</v>
      </c>
      <c r="W48" s="555">
        <f t="shared" si="37"/>
        <v>3.3557100898350725</v>
      </c>
      <c r="X48" s="563">
        <f t="shared" si="38"/>
        <v>37.9060089869281</v>
      </c>
      <c r="Y48" s="583">
        <f t="shared" si="39"/>
        <v>127.20157682281356</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1694.6722338634572</v>
      </c>
      <c r="I49" s="553">
        <f>ITECountywide!$B$9*E49</f>
        <v>7.2865737096607477</v>
      </c>
      <c r="J49" s="562">
        <f t="shared" si="27"/>
        <v>1.67</v>
      </c>
      <c r="K49" s="416">
        <f t="shared" si="28"/>
        <v>0.85824475890316576</v>
      </c>
      <c r="L49" s="554">
        <f>Passby_Length_Adj!H44</f>
        <v>0.4404979999697734</v>
      </c>
      <c r="M49" s="554">
        <f>Passby_Length_Adj!J44</f>
        <v>1</v>
      </c>
      <c r="N49" s="416">
        <v>0.5</v>
      </c>
      <c r="O49" s="546">
        <f t="shared" si="29"/>
        <v>0.2202489999848867</v>
      </c>
      <c r="P49" s="555">
        <f t="shared" si="30"/>
        <v>10.510203175108288</v>
      </c>
      <c r="Q49" s="556">
        <f t="shared" si="31"/>
        <v>6.2935348353941842</v>
      </c>
      <c r="R49" s="561">
        <f t="shared" si="32"/>
        <v>254.27556818181819</v>
      </c>
      <c r="S49" s="583">
        <f t="shared" si="33"/>
        <v>1600.2921461419219</v>
      </c>
      <c r="T49" s="555">
        <f t="shared" si="34"/>
        <v>0.52533543930709181</v>
      </c>
      <c r="U49" s="559">
        <f t="shared" si="35"/>
        <v>154.50490219883392</v>
      </c>
      <c r="V49" s="582">
        <f t="shared" si="36"/>
        <v>81.166900671723667</v>
      </c>
      <c r="W49" s="555">
        <f t="shared" si="37"/>
        <v>0.34857763723868185</v>
      </c>
      <c r="X49" s="559">
        <f t="shared" si="38"/>
        <v>37.9060089869281</v>
      </c>
      <c r="Y49" s="582">
        <f t="shared" si="39"/>
        <v>13.213187049811637</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12149.36661192658</v>
      </c>
      <c r="I50" s="553">
        <f>ITECountywide!$B$9*E50</f>
        <v>52.238570724483274</v>
      </c>
      <c r="J50" s="562">
        <f t="shared" si="27"/>
        <v>1.67</v>
      </c>
      <c r="K50" s="416">
        <f t="shared" si="28"/>
        <v>0.85824475890316576</v>
      </c>
      <c r="L50" s="554">
        <f>Passby_Length_Adj!H45</f>
        <v>0.4404979999697734</v>
      </c>
      <c r="M50" s="554">
        <f>Passby_Length_Adj!J45</f>
        <v>1</v>
      </c>
      <c r="N50" s="416">
        <v>0.5</v>
      </c>
      <c r="O50" s="546">
        <f t="shared" si="29"/>
        <v>0.2202489999848867</v>
      </c>
      <c r="P50" s="555">
        <f t="shared" si="30"/>
        <v>75.349267538960433</v>
      </c>
      <c r="Q50" s="556">
        <f t="shared" si="31"/>
        <v>45.119321879617026</v>
      </c>
      <c r="R50" s="561">
        <f t="shared" si="32"/>
        <v>254.27556818181819</v>
      </c>
      <c r="S50" s="583">
        <f t="shared" si="33"/>
        <v>11472.741206917961</v>
      </c>
      <c r="T50" s="555">
        <f t="shared" si="34"/>
        <v>3.7662107862762157</v>
      </c>
      <c r="U50" s="559">
        <f t="shared" si="35"/>
        <v>154.50490219883392</v>
      </c>
      <c r="V50" s="582">
        <f t="shared" si="36"/>
        <v>581.89802919380008</v>
      </c>
      <c r="W50" s="555">
        <f t="shared" si="37"/>
        <v>2.4990068420942317</v>
      </c>
      <c r="X50" s="559">
        <f t="shared" si="38"/>
        <v>37.9060089869281</v>
      </c>
      <c r="Y50" s="582">
        <f t="shared" si="39"/>
        <v>94.727375814818757</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1808.7457516828799</v>
      </c>
      <c r="I52" s="553">
        <f>ITECountywide!$B$9*E52</f>
        <v>3.4257771918554263</v>
      </c>
      <c r="J52" s="562">
        <f t="shared" ref="J52:J60" si="40">IF(F52="Prod",$M$3,$M$4)</f>
        <v>1.67</v>
      </c>
      <c r="K52" s="416">
        <f t="shared" ref="K52:K60" si="41">IF(F52="Prod",$F$4,$F$5)</f>
        <v>0.85824475890316576</v>
      </c>
      <c r="L52" s="554">
        <f>Passby_Length_Adj!H47</f>
        <v>1</v>
      </c>
      <c r="M52" s="554">
        <f>Passby_Length_Adj!J47</f>
        <v>1</v>
      </c>
      <c r="N52" s="416">
        <v>0.5</v>
      </c>
      <c r="O52" s="546">
        <f t="shared" ref="O52:O60" si="42">L52*M52*N52</f>
        <v>0.5</v>
      </c>
      <c r="P52" s="555">
        <f t="shared" ref="P52:P60" si="43">IF($F52="Prod",$I52*$O52*$F$4*$F$6,$I52*O52*$F$5*$F$7)</f>
        <v>11.217676765118183</v>
      </c>
      <c r="Q52" s="556">
        <f t="shared" ref="Q52:Q60" si="44">+P52/J52</f>
        <v>6.7171717156396307</v>
      </c>
      <c r="R52" s="557">
        <f t="shared" ref="R52:R60" si="45">+$Q$4</f>
        <v>254.27556818181819</v>
      </c>
      <c r="S52" s="582">
        <f t="shared" ref="S52:S60" si="46">+Q52*R52</f>
        <v>1708.0126545691055</v>
      </c>
      <c r="T52" s="555">
        <f t="shared" ref="T52:T60" si="47">IF($F52="Prod",$I52*$O52*$G$4*$G$6,$I52*$O52*$G$5*$G$7)</f>
        <v>0.56069735791264563</v>
      </c>
      <c r="U52" s="563">
        <f t="shared" ref="U52:U60" si="48">+$R$4</f>
        <v>154.50490219883392</v>
      </c>
      <c r="V52" s="583">
        <f t="shared" ref="V52:V60" si="49">+T52*U52</f>
        <v>86.630490447437893</v>
      </c>
      <c r="W52" s="555">
        <f t="shared" ref="W52:W60" si="50">IF($F52="Prod",$I52*$O52*$J$4*$J$6,$I52*$O52*$J$5*$J$7)</f>
        <v>0.37204145314268555</v>
      </c>
      <c r="X52" s="563">
        <f t="shared" ref="X52:X60" si="51">$S$4</f>
        <v>37.9060089869281</v>
      </c>
      <c r="Y52" s="583">
        <f t="shared" ref="Y52:Y60" si="52">+W52*X52</f>
        <v>14.102606666336428</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1942.7269184742045</v>
      </c>
      <c r="I53" s="553">
        <f>ITECountywide!$B$9*E53</f>
        <v>3.6795384653261984</v>
      </c>
      <c r="J53" s="562">
        <f t="shared" si="40"/>
        <v>1.67</v>
      </c>
      <c r="K53" s="416">
        <f t="shared" si="41"/>
        <v>0.85824475890316576</v>
      </c>
      <c r="L53" s="554">
        <f>Passby_Length_Adj!H48</f>
        <v>1</v>
      </c>
      <c r="M53" s="554">
        <f>Passby_Length_Adj!J48</f>
        <v>1</v>
      </c>
      <c r="N53" s="416">
        <v>0.5</v>
      </c>
      <c r="O53" s="546">
        <f t="shared" si="42"/>
        <v>0.5</v>
      </c>
      <c r="P53" s="555">
        <f t="shared" si="43"/>
        <v>12.048615784756567</v>
      </c>
      <c r="Q53" s="556">
        <f t="shared" si="44"/>
        <v>7.2147399908721965</v>
      </c>
      <c r="R53" s="557">
        <f t="shared" si="45"/>
        <v>254.27556818181819</v>
      </c>
      <c r="S53" s="582">
        <f t="shared" si="46"/>
        <v>1834.5321104631134</v>
      </c>
      <c r="T53" s="555">
        <f t="shared" si="47"/>
        <v>0.60223049553580454</v>
      </c>
      <c r="U53" s="563">
        <f t="shared" si="48"/>
        <v>154.50490219883392</v>
      </c>
      <c r="V53" s="583">
        <f t="shared" si="49"/>
        <v>93.047563813914763</v>
      </c>
      <c r="W53" s="555">
        <f t="shared" si="50"/>
        <v>0.39960007930140307</v>
      </c>
      <c r="X53" s="563">
        <f t="shared" si="51"/>
        <v>37.9060089869281</v>
      </c>
      <c r="Y53" s="583">
        <f t="shared" si="52"/>
        <v>15.147244197176166</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2023.3926837467739</v>
      </c>
      <c r="I54" s="553">
        <f>ITECountywide!$B$9*E54</f>
        <v>7.4497059568919601</v>
      </c>
      <c r="J54" s="562">
        <f t="shared" si="40"/>
        <v>1.67</v>
      </c>
      <c r="K54" s="416">
        <f t="shared" si="41"/>
        <v>0.85824475890316576</v>
      </c>
      <c r="L54" s="554">
        <f>Passby_Length_Adj!H49</f>
        <v>0.51442567196884992</v>
      </c>
      <c r="M54" s="554">
        <f>Passby_Length_Adj!J49</f>
        <v>1</v>
      </c>
      <c r="N54" s="416">
        <v>0.5</v>
      </c>
      <c r="O54" s="546">
        <f t="shared" si="42"/>
        <v>0.25721283598442496</v>
      </c>
      <c r="P54" s="555">
        <f t="shared" si="43"/>
        <v>12.548897529715285</v>
      </c>
      <c r="Q54" s="556">
        <f t="shared" si="44"/>
        <v>7.5143098980331056</v>
      </c>
      <c r="R54" s="557">
        <f t="shared" si="45"/>
        <v>254.27556818181819</v>
      </c>
      <c r="S54" s="582">
        <f t="shared" si="46"/>
        <v>1910.7054188166283</v>
      </c>
      <c r="T54" s="555">
        <f t="shared" si="47"/>
        <v>0.62723626620326833</v>
      </c>
      <c r="U54" s="563">
        <f t="shared" si="48"/>
        <v>154.50490219883392</v>
      </c>
      <c r="V54" s="583">
        <f t="shared" si="49"/>
        <v>96.911077965297736</v>
      </c>
      <c r="W54" s="555">
        <f t="shared" si="50"/>
        <v>0.41619224461980164</v>
      </c>
      <c r="X54" s="563">
        <f t="shared" si="51"/>
        <v>37.9060089869281</v>
      </c>
      <c r="Y54" s="583">
        <f t="shared" si="52"/>
        <v>15.776186964847978</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1220.9279454238438</v>
      </c>
      <c r="I55" s="553">
        <f>ITECountywide!$B$9*E55</f>
        <v>4.4951997014822531</v>
      </c>
      <c r="J55" s="562">
        <f t="shared" si="40"/>
        <v>1.67</v>
      </c>
      <c r="K55" s="416">
        <f t="shared" si="41"/>
        <v>0.85824475890316576</v>
      </c>
      <c r="L55" s="554">
        <f>Passby_Length_Adj!H50</f>
        <v>0.51442567196884992</v>
      </c>
      <c r="M55" s="554">
        <f>Passby_Length_Adj!J50</f>
        <v>1</v>
      </c>
      <c r="N55" s="416">
        <v>0.5</v>
      </c>
      <c r="O55" s="546">
        <f t="shared" si="42"/>
        <v>0.25721283598442496</v>
      </c>
      <c r="P55" s="555">
        <f t="shared" si="43"/>
        <v>7.5720841541834316</v>
      </c>
      <c r="Q55" s="556">
        <f t="shared" si="44"/>
        <v>4.5341821282535522</v>
      </c>
      <c r="R55" s="557">
        <f t="shared" si="45"/>
        <v>254.27556818181819</v>
      </c>
      <c r="S55" s="582">
        <f t="shared" si="46"/>
        <v>1152.9317369015175</v>
      </c>
      <c r="T55" s="555">
        <f t="shared" si="47"/>
        <v>0.37847833094503774</v>
      </c>
      <c r="U55" s="563">
        <f t="shared" si="48"/>
        <v>154.50490219883392</v>
      </c>
      <c r="V55" s="583">
        <f t="shared" si="49"/>
        <v>58.476757507040951</v>
      </c>
      <c r="W55" s="555">
        <f t="shared" si="50"/>
        <v>0.2511330332499046</v>
      </c>
      <c r="X55" s="563">
        <f t="shared" si="51"/>
        <v>37.9060089869281</v>
      </c>
      <c r="Y55" s="583">
        <f t="shared" si="52"/>
        <v>9.5194510152853979</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1770.4654183139303</v>
      </c>
      <c r="I56" s="553">
        <f>ITECountywide!$B$9*E56</f>
        <v>3.3532739708637775</v>
      </c>
      <c r="J56" s="562">
        <f t="shared" si="40"/>
        <v>1.67</v>
      </c>
      <c r="K56" s="416">
        <f t="shared" si="41"/>
        <v>0.85824475890316576</v>
      </c>
      <c r="L56" s="554">
        <f>Passby_Length_Adj!H51</f>
        <v>1</v>
      </c>
      <c r="M56" s="554">
        <f>Passby_Length_Adj!J51</f>
        <v>1</v>
      </c>
      <c r="N56" s="416">
        <v>0.5</v>
      </c>
      <c r="O56" s="546">
        <f t="shared" si="42"/>
        <v>0.5</v>
      </c>
      <c r="P56" s="555">
        <f t="shared" si="43"/>
        <v>10.980265616650076</v>
      </c>
      <c r="Q56" s="556">
        <f t="shared" si="44"/>
        <v>6.5750093512874708</v>
      </c>
      <c r="R56" s="557">
        <f t="shared" si="45"/>
        <v>254.27556818181819</v>
      </c>
      <c r="S56" s="582">
        <f t="shared" si="46"/>
        <v>1671.8642385993894</v>
      </c>
      <c r="T56" s="555">
        <f t="shared" si="47"/>
        <v>0.54883074716317171</v>
      </c>
      <c r="U56" s="563">
        <f t="shared" si="48"/>
        <v>154.50490219883392</v>
      </c>
      <c r="V56" s="583">
        <f t="shared" si="49"/>
        <v>84.797040914158785</v>
      </c>
      <c r="W56" s="555">
        <f t="shared" si="50"/>
        <v>0.36416755995448064</v>
      </c>
      <c r="X56" s="563">
        <f t="shared" si="51"/>
        <v>37.9060089869281</v>
      </c>
      <c r="Y56" s="583">
        <f t="shared" si="52"/>
        <v>13.804138800382221</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566.15610372476635</v>
      </c>
      <c r="I57" s="553">
        <f>ITECountywide!$B$9*E57</f>
        <v>2.0844676035099154</v>
      </c>
      <c r="J57" s="562">
        <f t="shared" si="40"/>
        <v>1.67</v>
      </c>
      <c r="K57" s="416">
        <f t="shared" si="41"/>
        <v>0.85824475890316576</v>
      </c>
      <c r="L57" s="554">
        <f>Passby_Length_Adj!H52</f>
        <v>0.51442567196884992</v>
      </c>
      <c r="M57" s="554">
        <f>Passby_Length_Adj!J52</f>
        <v>1</v>
      </c>
      <c r="N57" s="416">
        <v>0.5</v>
      </c>
      <c r="O57" s="546">
        <f t="shared" si="42"/>
        <v>0.25721283598442496</v>
      </c>
      <c r="P57" s="555">
        <f t="shared" si="43"/>
        <v>3.5112487005286068</v>
      </c>
      <c r="Q57" s="556">
        <f t="shared" si="44"/>
        <v>2.1025441320530582</v>
      </c>
      <c r="R57" s="557">
        <f t="shared" si="45"/>
        <v>254.27556818181819</v>
      </c>
      <c r="S57" s="582">
        <f t="shared" si="46"/>
        <v>534.62560380513912</v>
      </c>
      <c r="T57" s="555">
        <f t="shared" si="47"/>
        <v>0.17550406475273927</v>
      </c>
      <c r="U57" s="563">
        <f t="shared" si="48"/>
        <v>154.50490219883392</v>
      </c>
      <c r="V57" s="583">
        <f t="shared" si="49"/>
        <v>27.116238360119798</v>
      </c>
      <c r="W57" s="555">
        <f t="shared" si="50"/>
        <v>0.11645281783765737</v>
      </c>
      <c r="X57" s="563">
        <f t="shared" si="51"/>
        <v>37.9060089869281</v>
      </c>
      <c r="Y57" s="583">
        <f t="shared" si="52"/>
        <v>4.4142615595073416</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768.00306244403077</v>
      </c>
      <c r="I58" s="553">
        <f>ITECountywide!$B$9*E58</f>
        <v>2.8276256186743205</v>
      </c>
      <c r="J58" s="562">
        <f t="shared" si="40"/>
        <v>1.67</v>
      </c>
      <c r="K58" s="416">
        <f t="shared" si="41"/>
        <v>0.85824475890316576</v>
      </c>
      <c r="L58" s="554">
        <f>Passby_Length_Adj!H53</f>
        <v>0.51442567196884992</v>
      </c>
      <c r="M58" s="554">
        <f>Passby_Length_Adj!J53</f>
        <v>1</v>
      </c>
      <c r="N58" s="416">
        <v>0.5</v>
      </c>
      <c r="O58" s="546">
        <f t="shared" si="42"/>
        <v>0.25721283598442496</v>
      </c>
      <c r="P58" s="555">
        <f t="shared" si="43"/>
        <v>4.7630851937605456</v>
      </c>
      <c r="Q58" s="556">
        <f t="shared" si="44"/>
        <v>2.8521468226111053</v>
      </c>
      <c r="R58" s="557">
        <f t="shared" si="45"/>
        <v>254.27556818181819</v>
      </c>
      <c r="S58" s="582">
        <f t="shared" si="46"/>
        <v>725.23125385740616</v>
      </c>
      <c r="T58" s="555">
        <f t="shared" si="47"/>
        <v>0.23807507914284634</v>
      </c>
      <c r="U58" s="563">
        <f t="shared" si="48"/>
        <v>154.50490219883392</v>
      </c>
      <c r="V58" s="583">
        <f t="shared" si="49"/>
        <v>36.783766818945118</v>
      </c>
      <c r="W58" s="555">
        <f t="shared" si="50"/>
        <v>0.15797077897977871</v>
      </c>
      <c r="X58" s="563">
        <f t="shared" si="51"/>
        <v>37.9060089869281</v>
      </c>
      <c r="Y58" s="583">
        <f t="shared" si="52"/>
        <v>5.9880417676795243</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2899.9354397642787</v>
      </c>
      <c r="I59" s="553">
        <f>ITECountywide!$B$9*E59</f>
        <v>12.597434647299055</v>
      </c>
      <c r="J59" s="562">
        <f t="shared" si="40"/>
        <v>1.67</v>
      </c>
      <c r="K59" s="416">
        <f t="shared" si="41"/>
        <v>0.85824475890316576</v>
      </c>
      <c r="L59" s="554">
        <f>Passby_Length_Adj!H54</f>
        <v>0.4360013208727776</v>
      </c>
      <c r="M59" s="554">
        <f>Passby_Length_Adj!J54</f>
        <v>1</v>
      </c>
      <c r="N59" s="416">
        <v>0.5</v>
      </c>
      <c r="O59" s="546">
        <f t="shared" si="42"/>
        <v>0.2180006604363888</v>
      </c>
      <c r="P59" s="555">
        <f t="shared" si="43"/>
        <v>17.98513603845079</v>
      </c>
      <c r="Q59" s="556">
        <f t="shared" si="44"/>
        <v>10.769542537994486</v>
      </c>
      <c r="R59" s="557">
        <f t="shared" si="45"/>
        <v>254.27556818181819</v>
      </c>
      <c r="S59" s="582">
        <f t="shared" si="46"/>
        <v>2738.4315479068082</v>
      </c>
      <c r="T59" s="555">
        <f t="shared" si="47"/>
        <v>0.89895782073309038</v>
      </c>
      <c r="U59" s="559">
        <f t="shared" si="48"/>
        <v>154.50490219883392</v>
      </c>
      <c r="V59" s="582">
        <f t="shared" si="49"/>
        <v>138.89339017324301</v>
      </c>
      <c r="W59" s="555">
        <f t="shared" si="50"/>
        <v>0.59648858554390882</v>
      </c>
      <c r="X59" s="559">
        <f t="shared" si="51"/>
        <v>37.9060089869281</v>
      </c>
      <c r="Y59" s="582">
        <f t="shared" si="52"/>
        <v>22.61050168422744</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45572.736875734787</v>
      </c>
      <c r="I60" s="553">
        <f>ITECountywide!$B$9*E60</f>
        <v>86.315084590558413</v>
      </c>
      <c r="J60" s="562">
        <f t="shared" si="40"/>
        <v>1.67</v>
      </c>
      <c r="K60" s="416">
        <f t="shared" si="41"/>
        <v>0.85824475890316576</v>
      </c>
      <c r="L60" s="554">
        <f>Passby_Length_Adj!H55</f>
        <v>1</v>
      </c>
      <c r="M60" s="554">
        <f>Passby_Length_Adj!J55</f>
        <v>1</v>
      </c>
      <c r="N60" s="416">
        <v>0.5</v>
      </c>
      <c r="O60" s="546">
        <f t="shared" si="42"/>
        <v>0.5</v>
      </c>
      <c r="P60" s="555">
        <f t="shared" si="43"/>
        <v>282.63797225128457</v>
      </c>
      <c r="Q60" s="556">
        <f t="shared" si="44"/>
        <v>169.24429476124826</v>
      </c>
      <c r="R60" s="561">
        <f t="shared" si="45"/>
        <v>254.27556818181819</v>
      </c>
      <c r="S60" s="583">
        <f t="shared" si="46"/>
        <v>43034.689211947516</v>
      </c>
      <c r="T60" s="555">
        <f t="shared" si="47"/>
        <v>14.127200097248776</v>
      </c>
      <c r="U60" s="559">
        <f t="shared" si="48"/>
        <v>154.50490219883392</v>
      </c>
      <c r="V60" s="582">
        <f t="shared" si="49"/>
        <v>2182.7216693687792</v>
      </c>
      <c r="W60" s="555">
        <f t="shared" si="50"/>
        <v>9.3738698405580365</v>
      </c>
      <c r="X60" s="559">
        <f t="shared" si="51"/>
        <v>37.9060089869281</v>
      </c>
      <c r="Y60" s="582">
        <f t="shared" si="52"/>
        <v>355.3259944184872</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10259.129342878556</v>
      </c>
      <c r="I62" s="553">
        <f>ITECountywide!$B$9*E62</f>
        <v>19.430863225761996</v>
      </c>
      <c r="J62" s="562">
        <f>IF(F62="Prod",$M$3,$M$4)</f>
        <v>1.67</v>
      </c>
      <c r="K62" s="416">
        <f>IF(F62="Prod",$F$4,$F$5)</f>
        <v>0.85824475890316576</v>
      </c>
      <c r="L62" s="554">
        <f>Passby_Length_Adj!H57</f>
        <v>1</v>
      </c>
      <c r="M62" s="554">
        <f>Passby_Length_Adj!J57</f>
        <v>1</v>
      </c>
      <c r="N62" s="416">
        <v>0.5</v>
      </c>
      <c r="O62" s="546">
        <f>L62*M62*N62</f>
        <v>0.5</v>
      </c>
      <c r="P62" s="555">
        <f>IF($F62="Prod",$I62*$O62*$F$4*$F$6,$I62*O62*$F$5*$F$7)</f>
        <v>63.626187789453397</v>
      </c>
      <c r="Q62" s="556">
        <f>+P62/J62</f>
        <v>38.099513646379279</v>
      </c>
      <c r="R62" s="557">
        <f>+$Q$4</f>
        <v>254.27556818181819</v>
      </c>
      <c r="S62" s="582">
        <f>+Q62*R62</f>
        <v>9687.7754798840269</v>
      </c>
      <c r="T62" s="555">
        <f>IF($F62="Prod",$I62*$O62*$G$4*$G$6,$I62*$O62*$G$5*$G$7)</f>
        <v>3.1802516808590271</v>
      </c>
      <c r="U62" s="559">
        <f>+$R$4</f>
        <v>154.50490219883392</v>
      </c>
      <c r="V62" s="582">
        <f>+T62*U62</f>
        <v>491.36447491880114</v>
      </c>
      <c r="W62" s="555">
        <f>IF($F62="Prod",$I62*$O62*$J$4*$J$6,$I62*$O62*$J$5*$J$7)</f>
        <v>2.1102033744389361</v>
      </c>
      <c r="X62" s="559">
        <f>$S$4</f>
        <v>37.9060089869281</v>
      </c>
      <c r="Y62" s="582">
        <f>+W62*X62</f>
        <v>79.989388075728314</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2928.4455027246636</v>
      </c>
      <c r="I63" s="553">
        <f>ITECountywide!$B$9*E63</f>
        <v>5.5464964058611672</v>
      </c>
      <c r="J63" s="562">
        <f>IF(F63="Prod",$M$3,$M$4)</f>
        <v>1.67</v>
      </c>
      <c r="K63" s="416">
        <f>IF(F63="Prod",$F$4,$F$5)</f>
        <v>0.85824475890316576</v>
      </c>
      <c r="L63" s="554">
        <f>Passby_Length_Adj!H58</f>
        <v>1</v>
      </c>
      <c r="M63" s="554">
        <f>Passby_Length_Adj!J58</f>
        <v>1</v>
      </c>
      <c r="N63" s="416">
        <v>0.5</v>
      </c>
      <c r="O63" s="546">
        <f>L63*M63*N63</f>
        <v>0.5</v>
      </c>
      <c r="P63" s="555">
        <f>IF($F63="Prod",$I63*$O63*$F$4*$F$6,$I63*O63*$F$5*$F$7)</f>
        <v>18.161952857810395</v>
      </c>
      <c r="Q63" s="556">
        <f>+P63/J63</f>
        <v>10.875420872940357</v>
      </c>
      <c r="R63" s="557">
        <f>+$Q$4</f>
        <v>254.27556818181819</v>
      </c>
      <c r="S63" s="582">
        <f>+Q63*R63</f>
        <v>2765.3538216833144</v>
      </c>
      <c r="T63" s="555">
        <f>IF($F63="Prod",$I63*$O63*$G$4*$G$6,$I63*$O63*$G$5*$G$7)</f>
        <v>0.90779572233475969</v>
      </c>
      <c r="U63" s="563">
        <f>+$R$4</f>
        <v>154.50490219883392</v>
      </c>
      <c r="V63" s="583">
        <f>+T63*U63</f>
        <v>140.25888929585184</v>
      </c>
      <c r="W63" s="555">
        <f>IF($F63="Prod",$I63*$O63*$J$4*$J$6,$I63*$O63*$J$5*$J$7)</f>
        <v>0.6023528288976816</v>
      </c>
      <c r="X63" s="563">
        <f>$S$4</f>
        <v>37.9060089869281</v>
      </c>
      <c r="Y63" s="583">
        <f>+W63*X63</f>
        <v>22.832791745497083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14046.422777211323</v>
      </c>
      <c r="I64" s="553">
        <f>ITECountywide!$B$9*E64</f>
        <v>69.168072826033367</v>
      </c>
      <c r="J64" s="562">
        <f>IF(F64="Prod",$M$3,$M$4)</f>
        <v>1.67</v>
      </c>
      <c r="K64" s="416">
        <f>IF(F64="Prod",$F$4,$F$5)</f>
        <v>0.85824475890316576</v>
      </c>
      <c r="L64" s="554">
        <f>Passby_Length_Adj!H59</f>
        <v>0.3846286671810874</v>
      </c>
      <c r="M64" s="554">
        <f>Passby_Length_Adj!J59</f>
        <v>1</v>
      </c>
      <c r="N64" s="416">
        <v>0.5</v>
      </c>
      <c r="O64" s="546">
        <f>L64*M64*N64</f>
        <v>0.1923143335905437</v>
      </c>
      <c r="P64" s="555">
        <f>IF($F64="Prod",$I64*$O64*$F$4*$F$6,$I64*O64*$F$5*$F$7)</f>
        <v>87.114637463196146</v>
      </c>
      <c r="Q64" s="556">
        <f>+P64/J64</f>
        <v>52.164453570776139</v>
      </c>
      <c r="R64" s="557">
        <f>+$Q$4</f>
        <v>254.27556818181819</v>
      </c>
      <c r="S64" s="582">
        <f>+Q64*R64</f>
        <v>13264.146070603178</v>
      </c>
      <c r="T64" s="555">
        <f>IF($F64="Prod",$I64*$O64*$G$4*$G$6,$I64*$O64*$G$5*$G$7)</f>
        <v>4.3542836974067027</v>
      </c>
      <c r="U64" s="559">
        <f>+$R$4</f>
        <v>154.50490219883392</v>
      </c>
      <c r="V64" s="582">
        <f>+T64*U64</f>
        <v>672.75817681379954</v>
      </c>
      <c r="W64" s="555">
        <f>IF($F64="Prod",$I64*$O64*$J$4*$J$6,$I64*$O64*$J$5*$J$7)</f>
        <v>2.8892128905502723</v>
      </c>
      <c r="X64" s="559">
        <f>$S$4</f>
        <v>37.9060089869281</v>
      </c>
      <c r="Y64" s="582">
        <f>+W64*X64</f>
        <v>109.51852979434713</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7913.9960615839509</v>
      </c>
      <c r="I65" s="553">
        <f>ITECountywide!$B$9*E65</f>
        <v>38.970481283011466</v>
      </c>
      <c r="J65" s="562">
        <f>IF(F65="Prod",$M$3,$M$4)</f>
        <v>1.67</v>
      </c>
      <c r="K65" s="416">
        <f>IF(F65="Prod",$F$4,$F$5)</f>
        <v>0.85824475890316576</v>
      </c>
      <c r="L65" s="554">
        <f>Passby_Length_Adj!H60</f>
        <v>0.3846286671810874</v>
      </c>
      <c r="M65" s="554">
        <f>Passby_Length_Adj!J60</f>
        <v>1</v>
      </c>
      <c r="N65" s="416">
        <v>0.5</v>
      </c>
      <c r="O65" s="546">
        <f>L65*M65*N65</f>
        <v>0.1923143335905437</v>
      </c>
      <c r="P65" s="555">
        <f>IF($F65="Prod",$I65*$O65*$F$4*$F$6,$I65*O65*$F$5*$F$7)</f>
        <v>49.081884314955914</v>
      </c>
      <c r="Q65" s="556">
        <f>+P65/J65</f>
        <v>29.390349889195161</v>
      </c>
      <c r="R65" s="557">
        <f>+$Q$4</f>
        <v>254.27556818181819</v>
      </c>
      <c r="S65" s="582">
        <f>+Q65*R65</f>
        <v>7473.2479171375371</v>
      </c>
      <c r="T65" s="555">
        <f>IF($F65="Prod",$I65*$O65*$G$4*$G$6,$I65*$O65*$G$5*$G$7)</f>
        <v>2.4532782886332316</v>
      </c>
      <c r="U65" s="559">
        <f>+$R$4</f>
        <v>154.50490219883392</v>
      </c>
      <c r="V65" s="582">
        <f>+T65*U65</f>
        <v>379.0435220518001</v>
      </c>
      <c r="W65" s="555">
        <f>IF($F65="Prod",$I65*$O65*$J$4*$J$6,$I65*$O65*$J$5*$J$7)</f>
        <v>1.6278322103467207</v>
      </c>
      <c r="X65" s="559">
        <f>$S$4</f>
        <v>37.9060089869281</v>
      </c>
      <c r="Y65" s="582">
        <f>+W65*X65</f>
        <v>61.704622394613828</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9180.2354314373824</v>
      </c>
      <c r="I66" s="553">
        <f>ITECountywide!$B$9*E66</f>
        <v>45.205758288293303</v>
      </c>
      <c r="J66" s="562">
        <f>IF(F66="Prod",$M$3,$M$4)</f>
        <v>1.67</v>
      </c>
      <c r="K66" s="416">
        <f>IF(F66="Prod",$F$4,$F$5)</f>
        <v>0.85824475890316576</v>
      </c>
      <c r="L66" s="554">
        <f>Passby_Length_Adj!H61</f>
        <v>0.3846286671810874</v>
      </c>
      <c r="M66" s="554">
        <f>Passby_Length_Adj!J61</f>
        <v>1</v>
      </c>
      <c r="N66" s="416">
        <v>0.5</v>
      </c>
      <c r="O66" s="546">
        <f>L66*M66*N66</f>
        <v>0.1923143335905437</v>
      </c>
      <c r="P66" s="555">
        <f>IF($F66="Prod",$I66*$O66*$F$4*$F$6,$I66*O66*$F$5*$F$7)</f>
        <v>56.934985805348866</v>
      </c>
      <c r="Q66" s="556">
        <f>+P66/J66</f>
        <v>34.092805871466389</v>
      </c>
      <c r="R66" s="557">
        <f>+$Q$4</f>
        <v>254.27556818181819</v>
      </c>
      <c r="S66" s="582">
        <f>+Q66*R66</f>
        <v>8668.9675838795429</v>
      </c>
      <c r="T66" s="555">
        <f>IF($F66="Prod",$I66*$O66*$G$4*$G$6,$I66*$O66*$G$5*$G$7)</f>
        <v>2.8458028148145496</v>
      </c>
      <c r="U66" s="559">
        <f>+$R$4</f>
        <v>154.50490219883392</v>
      </c>
      <c r="V66" s="582">
        <f>+T66*U66</f>
        <v>439.69048558008825</v>
      </c>
      <c r="W66" s="555">
        <f>IF($F66="Prod",$I66*$O66*$J$4*$J$6,$I66*$O66*$J$5*$J$7)</f>
        <v>1.8882853640021964</v>
      </c>
      <c r="X66" s="559">
        <f>$S$4</f>
        <v>37.9060089869281</v>
      </c>
      <c r="Y66" s="582">
        <f>+W66*X66</f>
        <v>71.577361977752048</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13982.848042791817</v>
      </c>
      <c r="I68" s="553">
        <f>ITECountywide!$B$9*E68</f>
        <v>20.049119939245994</v>
      </c>
      <c r="J68" s="562">
        <f t="shared" ref="J68:J87" si="53">IF(F68="Prod",$M$3,$M$4)</f>
        <v>1.67</v>
      </c>
      <c r="K68" s="416">
        <f t="shared" ref="K68:K87" si="54">IF(F68="Prod",$F$4,$F$5)</f>
        <v>0.85824475890316576</v>
      </c>
      <c r="L68" s="554">
        <f>Passby_Length_Adj!H63</f>
        <v>1.3209364175632392</v>
      </c>
      <c r="M68" s="554">
        <f>Passby_Length_Adj!J63</f>
        <v>1</v>
      </c>
      <c r="N68" s="416">
        <v>0.5</v>
      </c>
      <c r="O68" s="546">
        <f t="shared" ref="O68:O87" si="55">L68*M68*N68</f>
        <v>0.6604682087816196</v>
      </c>
      <c r="P68" s="555">
        <f t="shared" ref="P68:P87" si="56">IF($F68="Prod",$I68*$O68*$F$4*$F$6,$I68*O68*$F$5*$F$7)</f>
        <v>86.720352738279587</v>
      </c>
      <c r="Q68" s="556">
        <f t="shared" ref="Q68:Q87" si="57">+P68/J68</f>
        <v>51.928354933101552</v>
      </c>
      <c r="R68" s="561">
        <f t="shared" ref="R68:R87" si="58">+$Q$4</f>
        <v>254.27556818181819</v>
      </c>
      <c r="S68" s="583">
        <f t="shared" ref="S68:S87" si="59">+Q68*R68</f>
        <v>13204.111955361519</v>
      </c>
      <c r="T68" s="555">
        <f t="shared" ref="T68:T87" si="60">IF($F68="Prod",$I68*$O68*$G$4*$G$6,$I68*$O68*$G$5*$G$7)</f>
        <v>4.3345760156687634</v>
      </c>
      <c r="U68" s="559">
        <f t="shared" ref="U68:U87" si="61">+$R$4</f>
        <v>154.50490219883392</v>
      </c>
      <c r="V68" s="582">
        <f t="shared" ref="V68:V87" si="62">+T68*U68</f>
        <v>669.71324337431349</v>
      </c>
      <c r="W68" s="555">
        <f t="shared" ref="W68:W87" si="63">IF($F68="Prod",$I68*$O68*$J$4*$J$6,$I68*$O68*$J$5*$J$7)</f>
        <v>2.8761361844656346</v>
      </c>
      <c r="X68" s="559">
        <f t="shared" ref="X68:X87" si="64">$S$4</f>
        <v>37.9060089869281</v>
      </c>
      <c r="Y68" s="582">
        <f t="shared" ref="Y68:Y87" si="65">+W68*X68</f>
        <v>109.02284405598344</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13529.507894093398</v>
      </c>
      <c r="I69" s="553">
        <f>ITECountywide!$B$9*E69</f>
        <v>19.399104220937762</v>
      </c>
      <c r="J69" s="562">
        <f t="shared" si="53"/>
        <v>1.67</v>
      </c>
      <c r="K69" s="416">
        <f t="shared" si="54"/>
        <v>0.85824475890316576</v>
      </c>
      <c r="L69" s="554">
        <f>Passby_Length_Adj!H64</f>
        <v>1.3209364175632392</v>
      </c>
      <c r="M69" s="554">
        <f>Passby_Length_Adj!J64</f>
        <v>1</v>
      </c>
      <c r="N69" s="416">
        <v>0.5</v>
      </c>
      <c r="O69" s="546">
        <f t="shared" si="55"/>
        <v>0.6604682087816196</v>
      </c>
      <c r="P69" s="555">
        <f t="shared" si="56"/>
        <v>83.90877833761111</v>
      </c>
      <c r="Q69" s="556">
        <f t="shared" si="57"/>
        <v>50.244777447671325</v>
      </c>
      <c r="R69" s="561">
        <f t="shared" si="58"/>
        <v>254.27556818181819</v>
      </c>
      <c r="S69" s="583">
        <f t="shared" si="59"/>
        <v>12776.019333675631</v>
      </c>
      <c r="T69" s="555">
        <f t="shared" si="60"/>
        <v>4.1940440346678791</v>
      </c>
      <c r="U69" s="559">
        <f t="shared" si="61"/>
        <v>154.50490219883392</v>
      </c>
      <c r="V69" s="582">
        <f t="shared" si="62"/>
        <v>648.00036339396343</v>
      </c>
      <c r="W69" s="555">
        <f t="shared" si="63"/>
        <v>2.7828885140659914</v>
      </c>
      <c r="X69" s="559">
        <f t="shared" si="64"/>
        <v>37.9060089869281</v>
      </c>
      <c r="Y69" s="582">
        <f t="shared" si="65"/>
        <v>105.48819702380446</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13323.751922925676</v>
      </c>
      <c r="I70" s="553">
        <f>ITECountywide!$B$9*E70</f>
        <v>19.10408376934355</v>
      </c>
      <c r="J70" s="562">
        <f t="shared" si="53"/>
        <v>1.67</v>
      </c>
      <c r="K70" s="416">
        <f t="shared" si="54"/>
        <v>0.85824475890316576</v>
      </c>
      <c r="L70" s="554">
        <f>Passby_Length_Adj!H65</f>
        <v>1.3209364175632392</v>
      </c>
      <c r="M70" s="554">
        <f>Passby_Length_Adj!J65</f>
        <v>1</v>
      </c>
      <c r="N70" s="416">
        <v>0.5</v>
      </c>
      <c r="O70" s="546">
        <f t="shared" si="55"/>
        <v>0.6604682087816196</v>
      </c>
      <c r="P70" s="555">
        <f t="shared" si="56"/>
        <v>82.632698504442189</v>
      </c>
      <c r="Q70" s="556">
        <f t="shared" si="57"/>
        <v>49.480657787091133</v>
      </c>
      <c r="R70" s="561">
        <f t="shared" si="58"/>
        <v>254.27556818181819</v>
      </c>
      <c r="S70" s="583">
        <f t="shared" si="59"/>
        <v>12581.722372822704</v>
      </c>
      <c r="T70" s="555">
        <f t="shared" si="60"/>
        <v>4.1302612562972021</v>
      </c>
      <c r="U70" s="559">
        <f t="shared" si="61"/>
        <v>154.50490219883392</v>
      </c>
      <c r="V70" s="582">
        <f t="shared" si="62"/>
        <v>638.14561145983214</v>
      </c>
      <c r="W70" s="555">
        <f t="shared" si="63"/>
        <v>2.7405665069874394</v>
      </c>
      <c r="X70" s="559">
        <f t="shared" si="64"/>
        <v>37.9060089869281</v>
      </c>
      <c r="Y70" s="582">
        <f t="shared" si="65"/>
        <v>103.88393864314003</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13189.93625969662</v>
      </c>
      <c r="I71" s="553">
        <f>ITECountywide!$B$9*E71</f>
        <v>18.912213967596532</v>
      </c>
      <c r="J71" s="562">
        <f t="shared" si="53"/>
        <v>1.67</v>
      </c>
      <c r="K71" s="416">
        <f t="shared" si="54"/>
        <v>0.85824475890316576</v>
      </c>
      <c r="L71" s="554">
        <f>Passby_Length_Adj!H66</f>
        <v>1.3209364175632392</v>
      </c>
      <c r="M71" s="554">
        <f>Passby_Length_Adj!J66</f>
        <v>1</v>
      </c>
      <c r="N71" s="416">
        <v>0.5</v>
      </c>
      <c r="O71" s="546">
        <f t="shared" si="55"/>
        <v>0.6604682087816196</v>
      </c>
      <c r="P71" s="555">
        <f t="shared" si="56"/>
        <v>81.802785922855293</v>
      </c>
      <c r="Q71" s="556">
        <f t="shared" si="57"/>
        <v>48.98370414542233</v>
      </c>
      <c r="R71" s="561">
        <f t="shared" si="58"/>
        <v>254.27556818181819</v>
      </c>
      <c r="S71" s="583">
        <f t="shared" si="59"/>
        <v>12455.359203227346</v>
      </c>
      <c r="T71" s="555">
        <f t="shared" si="60"/>
        <v>4.0887794235133237</v>
      </c>
      <c r="U71" s="559">
        <f t="shared" si="61"/>
        <v>154.50490219883392</v>
      </c>
      <c r="V71" s="582">
        <f t="shared" si="62"/>
        <v>631.73646494253057</v>
      </c>
      <c r="W71" s="555">
        <f t="shared" si="63"/>
        <v>2.7130419233058078</v>
      </c>
      <c r="X71" s="559">
        <f t="shared" si="64"/>
        <v>37.9060089869281</v>
      </c>
      <c r="Y71" s="582">
        <f t="shared" si="65"/>
        <v>102.84059152674266</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13049.553073326246</v>
      </c>
      <c r="I72" s="553">
        <f>ITECountywide!$B$9*E72</f>
        <v>18.710927410496026</v>
      </c>
      <c r="J72" s="562">
        <f t="shared" si="53"/>
        <v>1.67</v>
      </c>
      <c r="K72" s="416">
        <f t="shared" si="54"/>
        <v>0.85824475890316576</v>
      </c>
      <c r="L72" s="554">
        <f>Passby_Length_Adj!H67</f>
        <v>1.3209364175632392</v>
      </c>
      <c r="M72" s="554">
        <f>Passby_Length_Adj!J67</f>
        <v>1</v>
      </c>
      <c r="N72" s="416">
        <v>0.5</v>
      </c>
      <c r="O72" s="546">
        <f t="shared" si="55"/>
        <v>0.6604682087816196</v>
      </c>
      <c r="P72" s="555">
        <f t="shared" si="56"/>
        <v>80.932142159631525</v>
      </c>
      <c r="Q72" s="556">
        <f t="shared" si="57"/>
        <v>48.462360574629656</v>
      </c>
      <c r="R72" s="561">
        <f t="shared" si="58"/>
        <v>254.27556818181819</v>
      </c>
      <c r="S72" s="583">
        <f t="shared" si="59"/>
        <v>12322.794270546101</v>
      </c>
      <c r="T72" s="555">
        <f t="shared" si="60"/>
        <v>4.0452617087543574</v>
      </c>
      <c r="U72" s="559">
        <f t="shared" si="61"/>
        <v>154.50490219883392</v>
      </c>
      <c r="V72" s="582">
        <f t="shared" si="62"/>
        <v>625.01276467977982</v>
      </c>
      <c r="W72" s="555">
        <f t="shared" si="63"/>
        <v>2.6841664638304006</v>
      </c>
      <c r="X72" s="559">
        <f t="shared" si="64"/>
        <v>37.9060089869281</v>
      </c>
      <c r="Y72" s="582">
        <f t="shared" si="65"/>
        <v>101.74603810036618</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12918.49129662465</v>
      </c>
      <c r="I73" s="553">
        <f>ITECountywide!$B$9*E73</f>
        <v>18.523006232171017</v>
      </c>
      <c r="J73" s="562">
        <f t="shared" si="53"/>
        <v>1.67</v>
      </c>
      <c r="K73" s="416">
        <f t="shared" si="54"/>
        <v>0.85824475890316576</v>
      </c>
      <c r="L73" s="554">
        <f>Passby_Length_Adj!H68</f>
        <v>1.3209364175632392</v>
      </c>
      <c r="M73" s="554">
        <f>Passby_Length_Adj!J68</f>
        <v>1</v>
      </c>
      <c r="N73" s="416">
        <v>0.5</v>
      </c>
      <c r="O73" s="546">
        <f t="shared" si="55"/>
        <v>0.6604682087816196</v>
      </c>
      <c r="P73" s="555">
        <f t="shared" si="56"/>
        <v>80.119308932002539</v>
      </c>
      <c r="Q73" s="556">
        <f t="shared" si="57"/>
        <v>47.975634091019487</v>
      </c>
      <c r="R73" s="561">
        <f t="shared" si="58"/>
        <v>254.27556818181819</v>
      </c>
      <c r="S73" s="583">
        <f t="shared" si="59"/>
        <v>12199.031617376986</v>
      </c>
      <c r="T73" s="555">
        <f t="shared" si="60"/>
        <v>4.0046335597447191</v>
      </c>
      <c r="U73" s="559">
        <f t="shared" si="61"/>
        <v>154.50490219883392</v>
      </c>
      <c r="V73" s="582">
        <f t="shared" si="62"/>
        <v>618.73551649052592</v>
      </c>
      <c r="W73" s="555">
        <f t="shared" si="63"/>
        <v>2.6572083278899812</v>
      </c>
      <c r="X73" s="559">
        <f t="shared" si="64"/>
        <v>37.9060089869281</v>
      </c>
      <c r="Y73" s="582">
        <f t="shared" si="65"/>
        <v>100.72416275713782</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12821.459441201569</v>
      </c>
      <c r="I74" s="553">
        <f>ITECountywide!$B$9*E74</f>
        <v>18.383878402035741</v>
      </c>
      <c r="J74" s="562">
        <f t="shared" si="53"/>
        <v>1.67</v>
      </c>
      <c r="K74" s="416">
        <f t="shared" si="54"/>
        <v>0.85824475890316576</v>
      </c>
      <c r="L74" s="554">
        <f>Passby_Length_Adj!H69</f>
        <v>1.3209364175632392</v>
      </c>
      <c r="M74" s="554">
        <f>Passby_Length_Adj!J69</f>
        <v>1</v>
      </c>
      <c r="N74" s="416">
        <v>0.5</v>
      </c>
      <c r="O74" s="546">
        <f t="shared" si="55"/>
        <v>0.6604682087816196</v>
      </c>
      <c r="P74" s="555">
        <f t="shared" si="56"/>
        <v>79.517526183353056</v>
      </c>
      <c r="Q74" s="556">
        <f t="shared" si="57"/>
        <v>47.615285139732372</v>
      </c>
      <c r="R74" s="561">
        <f t="shared" si="58"/>
        <v>254.27556818181819</v>
      </c>
      <c r="S74" s="583">
        <f t="shared" si="59"/>
        <v>12107.403683044733</v>
      </c>
      <c r="T74" s="555">
        <f t="shared" si="60"/>
        <v>3.9745544262244534</v>
      </c>
      <c r="U74" s="559">
        <f t="shared" si="61"/>
        <v>154.50490219883392</v>
      </c>
      <c r="V74" s="582">
        <f t="shared" si="62"/>
        <v>614.0881429077516</v>
      </c>
      <c r="W74" s="555">
        <f t="shared" si="63"/>
        <v>2.6372498166071505</v>
      </c>
      <c r="X74" s="559">
        <f t="shared" si="64"/>
        <v>37.9060089869281</v>
      </c>
      <c r="Y74" s="582">
        <f t="shared" si="65"/>
        <v>99.967615249085128</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12744.504576921881</v>
      </c>
      <c r="I75" s="553">
        <f>ITECountywide!$B$9*E75</f>
        <v>18.273537697543336</v>
      </c>
      <c r="J75" s="562">
        <f t="shared" si="53"/>
        <v>1.67</v>
      </c>
      <c r="K75" s="416">
        <f t="shared" si="54"/>
        <v>0.85824475890316576</v>
      </c>
      <c r="L75" s="554">
        <f>Passby_Length_Adj!H70</f>
        <v>1.3209364175632392</v>
      </c>
      <c r="M75" s="554">
        <f>Passby_Length_Adj!J70</f>
        <v>1</v>
      </c>
      <c r="N75" s="416">
        <v>0.5</v>
      </c>
      <c r="O75" s="546">
        <f t="shared" si="55"/>
        <v>0.6604682087816196</v>
      </c>
      <c r="P75" s="555">
        <f t="shared" si="56"/>
        <v>79.040259109089078</v>
      </c>
      <c r="Q75" s="556">
        <f t="shared" si="57"/>
        <v>47.329496472508431</v>
      </c>
      <c r="R75" s="561">
        <f t="shared" si="58"/>
        <v>254.27556818181819</v>
      </c>
      <c r="S75" s="583">
        <f t="shared" si="59"/>
        <v>12034.734607306442</v>
      </c>
      <c r="T75" s="555">
        <f t="shared" si="60"/>
        <v>3.9506990065005909</v>
      </c>
      <c r="U75" s="559">
        <f t="shared" si="61"/>
        <v>154.50490219883392</v>
      </c>
      <c r="V75" s="582">
        <f t="shared" si="62"/>
        <v>610.40236361640416</v>
      </c>
      <c r="W75" s="555">
        <f t="shared" si="63"/>
        <v>2.6214209476207957</v>
      </c>
      <c r="X75" s="559">
        <f t="shared" si="64"/>
        <v>37.9060089869281</v>
      </c>
      <c r="Y75" s="582">
        <f t="shared" si="65"/>
        <v>99.367605999035462</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12680.793711278226</v>
      </c>
      <c r="I76" s="553">
        <f>ITECountywide!$B$9*E76</f>
        <v>18.182186723634896</v>
      </c>
      <c r="J76" s="562">
        <f t="shared" si="53"/>
        <v>1.67</v>
      </c>
      <c r="K76" s="416">
        <f t="shared" si="54"/>
        <v>0.85824475890316576</v>
      </c>
      <c r="L76" s="554">
        <f>Passby_Length_Adj!H71</f>
        <v>1.3209364175632392</v>
      </c>
      <c r="M76" s="554">
        <f>Passby_Length_Adj!J71</f>
        <v>1</v>
      </c>
      <c r="N76" s="416">
        <v>0.5</v>
      </c>
      <c r="O76" s="546">
        <f t="shared" si="55"/>
        <v>0.6604682087816196</v>
      </c>
      <c r="P76" s="555">
        <f t="shared" si="56"/>
        <v>78.645130110692577</v>
      </c>
      <c r="Q76" s="556">
        <f t="shared" si="57"/>
        <v>47.092892281851846</v>
      </c>
      <c r="R76" s="561">
        <f t="shared" si="58"/>
        <v>254.27556818181819</v>
      </c>
      <c r="S76" s="583">
        <f t="shared" si="59"/>
        <v>11974.571942293038</v>
      </c>
      <c r="T76" s="555">
        <f t="shared" si="60"/>
        <v>3.930949125123683</v>
      </c>
      <c r="U76" s="559">
        <f t="shared" si="61"/>
        <v>154.50490219883392</v>
      </c>
      <c r="V76" s="582">
        <f t="shared" si="62"/>
        <v>607.35091012582643</v>
      </c>
      <c r="W76" s="555">
        <f t="shared" si="63"/>
        <v>2.6083162406640614</v>
      </c>
      <c r="X76" s="559">
        <f t="shared" si="64"/>
        <v>37.9060089869281</v>
      </c>
      <c r="Y76" s="582">
        <f t="shared" si="65"/>
        <v>98.870858859362428</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12602.048267183065</v>
      </c>
      <c r="I77" s="553">
        <f>ITECountywide!$B$9*E77</f>
        <v>18.069278620185472</v>
      </c>
      <c r="J77" s="562">
        <f t="shared" si="53"/>
        <v>1.67</v>
      </c>
      <c r="K77" s="416">
        <f t="shared" si="54"/>
        <v>0.85824475890316576</v>
      </c>
      <c r="L77" s="554">
        <f>Passby_Length_Adj!H72</f>
        <v>1.3209364175632392</v>
      </c>
      <c r="M77" s="554">
        <f>Passby_Length_Adj!J72</f>
        <v>1</v>
      </c>
      <c r="N77" s="416">
        <v>0.5</v>
      </c>
      <c r="O77" s="546">
        <f t="shared" si="55"/>
        <v>0.6604682087816196</v>
      </c>
      <c r="P77" s="555">
        <f t="shared" si="56"/>
        <v>78.156758023148853</v>
      </c>
      <c r="Q77" s="556">
        <f t="shared" si="57"/>
        <v>46.800453906077159</v>
      </c>
      <c r="R77" s="561">
        <f t="shared" si="58"/>
        <v>254.27556818181819</v>
      </c>
      <c r="S77" s="583">
        <f t="shared" si="59"/>
        <v>11900.212008134762</v>
      </c>
      <c r="T77" s="555">
        <f t="shared" si="60"/>
        <v>3.9065386393432822</v>
      </c>
      <c r="U77" s="559">
        <f t="shared" si="61"/>
        <v>154.50490219883392</v>
      </c>
      <c r="V77" s="582">
        <f t="shared" si="62"/>
        <v>603.57937040769957</v>
      </c>
      <c r="W77" s="555">
        <f t="shared" si="63"/>
        <v>2.5921190667814016</v>
      </c>
      <c r="X77" s="559">
        <f t="shared" si="64"/>
        <v>37.9060089869281</v>
      </c>
      <c r="Y77" s="582">
        <f t="shared" si="65"/>
        <v>98.256888640603492</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20466.542529914514</v>
      </c>
      <c r="I78" s="553">
        <f>ITECountywide!$B$9*E78</f>
        <v>29.345678696370033</v>
      </c>
      <c r="J78" s="562">
        <f t="shared" si="53"/>
        <v>1.67</v>
      </c>
      <c r="K78" s="416">
        <f t="shared" si="54"/>
        <v>0.85824475890316576</v>
      </c>
      <c r="L78" s="554">
        <f>Passby_Length_Adj!H73</f>
        <v>1.3209364175632392</v>
      </c>
      <c r="M78" s="554">
        <f>Passby_Length_Adj!J73</f>
        <v>1</v>
      </c>
      <c r="N78" s="416">
        <v>0.5</v>
      </c>
      <c r="O78" s="546">
        <f t="shared" si="55"/>
        <v>0.6604682087816196</v>
      </c>
      <c r="P78" s="555">
        <f t="shared" si="56"/>
        <v>126.93163668056411</v>
      </c>
      <c r="Q78" s="556">
        <f t="shared" si="57"/>
        <v>76.006968072194084</v>
      </c>
      <c r="R78" s="561">
        <f t="shared" si="58"/>
        <v>254.27556818181819</v>
      </c>
      <c r="S78" s="583">
        <f t="shared" si="59"/>
        <v>19326.714992334466</v>
      </c>
      <c r="T78" s="555">
        <f t="shared" si="60"/>
        <v>6.344471748698167</v>
      </c>
      <c r="U78" s="559">
        <f t="shared" si="61"/>
        <v>154.50490219883392</v>
      </c>
      <c r="V78" s="582">
        <f t="shared" si="62"/>
        <v>980.25198703587512</v>
      </c>
      <c r="W78" s="555">
        <f t="shared" si="63"/>
        <v>4.2097692373576745</v>
      </c>
      <c r="X78" s="559">
        <f t="shared" si="64"/>
        <v>37.9060089869281</v>
      </c>
      <c r="Y78" s="582">
        <f t="shared" si="65"/>
        <v>159.57555054417347</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10049.969926672044</v>
      </c>
      <c r="I79" s="553">
        <f>ITECountywide!$B$9*E79</f>
        <v>14.410015172090286</v>
      </c>
      <c r="J79" s="562">
        <f t="shared" si="53"/>
        <v>1.67</v>
      </c>
      <c r="K79" s="416">
        <f t="shared" si="54"/>
        <v>0.85824475890316576</v>
      </c>
      <c r="L79" s="554">
        <f>Passby_Length_Adj!H74</f>
        <v>1.3209364175632392</v>
      </c>
      <c r="M79" s="554">
        <f>Passby_Length_Adj!J74</f>
        <v>1</v>
      </c>
      <c r="N79" s="416">
        <v>0.5</v>
      </c>
      <c r="O79" s="546">
        <f t="shared" si="55"/>
        <v>0.6604682087816196</v>
      </c>
      <c r="P79" s="555">
        <f t="shared" si="56"/>
        <v>62.32900009947403</v>
      </c>
      <c r="Q79" s="556">
        <f t="shared" si="57"/>
        <v>37.322754550583255</v>
      </c>
      <c r="R79" s="561">
        <f t="shared" si="58"/>
        <v>254.27556818181819</v>
      </c>
      <c r="S79" s="583">
        <f t="shared" si="59"/>
        <v>9490.2646194600984</v>
      </c>
      <c r="T79" s="555">
        <f t="shared" si="60"/>
        <v>3.1154138605404835</v>
      </c>
      <c r="U79" s="559">
        <f t="shared" si="61"/>
        <v>154.50490219883392</v>
      </c>
      <c r="V79" s="582">
        <f t="shared" si="62"/>
        <v>481.34671383169899</v>
      </c>
      <c r="W79" s="555">
        <f t="shared" si="63"/>
        <v>2.0671813117352387</v>
      </c>
      <c r="X79" s="559">
        <f t="shared" si="64"/>
        <v>37.9060089869281</v>
      </c>
      <c r="Y79" s="582">
        <f t="shared" si="65"/>
        <v>78.358593380245779</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14221.655556611378</v>
      </c>
      <c r="I80" s="553">
        <f>ITECountywide!$B$9*E80</f>
        <v>20.391530903901348</v>
      </c>
      <c r="J80" s="562">
        <f t="shared" si="53"/>
        <v>1.67</v>
      </c>
      <c r="K80" s="416">
        <f t="shared" si="54"/>
        <v>0.85824475890316576</v>
      </c>
      <c r="L80" s="554">
        <f>Passby_Length_Adj!H75</f>
        <v>1.3209364175632392</v>
      </c>
      <c r="M80" s="554">
        <f>Passby_Length_Adj!J75</f>
        <v>1</v>
      </c>
      <c r="N80" s="416">
        <v>0.5</v>
      </c>
      <c r="O80" s="546">
        <f t="shared" si="55"/>
        <v>0.6604682087816196</v>
      </c>
      <c r="P80" s="555">
        <f t="shared" si="56"/>
        <v>88.201415235104761</v>
      </c>
      <c r="Q80" s="556">
        <f t="shared" si="57"/>
        <v>52.815218703655546</v>
      </c>
      <c r="R80" s="561">
        <f t="shared" si="58"/>
        <v>254.27556818181819</v>
      </c>
      <c r="S80" s="583">
        <f t="shared" si="59"/>
        <v>13429.619744519005</v>
      </c>
      <c r="T80" s="555">
        <f t="shared" si="60"/>
        <v>4.4086045196327595</v>
      </c>
      <c r="U80" s="559">
        <f t="shared" si="61"/>
        <v>154.50490219883392</v>
      </c>
      <c r="V80" s="582">
        <f t="shared" si="62"/>
        <v>681.15101013919673</v>
      </c>
      <c r="W80" s="555">
        <f t="shared" si="63"/>
        <v>2.9252565732102433</v>
      </c>
      <c r="X80" s="559">
        <f t="shared" si="64"/>
        <v>37.9060089869281</v>
      </c>
      <c r="Y80" s="582">
        <f t="shared" si="65"/>
        <v>110.88480195317798</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12809.630834563786</v>
      </c>
      <c r="I81" s="553">
        <f>ITECountywide!$B$9*E81</f>
        <v>63.077802262734835</v>
      </c>
      <c r="J81" s="562">
        <f t="shared" si="53"/>
        <v>1.67</v>
      </c>
      <c r="K81" s="416">
        <f t="shared" si="54"/>
        <v>0.85824475890316576</v>
      </c>
      <c r="L81" s="554">
        <f>Passby_Length_Adj!H76</f>
        <v>0.3846286671810874</v>
      </c>
      <c r="M81" s="554">
        <f>Passby_Length_Adj!J76</f>
        <v>1</v>
      </c>
      <c r="N81" s="416">
        <v>0.5</v>
      </c>
      <c r="O81" s="546">
        <f t="shared" si="55"/>
        <v>0.1923143335905437</v>
      </c>
      <c r="P81" s="555">
        <f t="shared" si="56"/>
        <v>79.444166240021644</v>
      </c>
      <c r="Q81" s="556">
        <f t="shared" si="57"/>
        <v>47.571357029953084</v>
      </c>
      <c r="R81" s="561">
        <f t="shared" si="58"/>
        <v>254.27556818181819</v>
      </c>
      <c r="S81" s="583">
        <f t="shared" si="59"/>
        <v>12096.233837971451</v>
      </c>
      <c r="T81" s="555">
        <f t="shared" si="60"/>
        <v>3.9708876485784397</v>
      </c>
      <c r="U81" s="559">
        <f t="shared" si="61"/>
        <v>154.50490219883392</v>
      </c>
      <c r="V81" s="582">
        <f t="shared" si="62"/>
        <v>613.5216077861694</v>
      </c>
      <c r="W81" s="555">
        <f t="shared" si="63"/>
        <v>2.6348167869798083</v>
      </c>
      <c r="X81" s="559">
        <f t="shared" si="64"/>
        <v>37.9060089869281</v>
      </c>
      <c r="Y81" s="582">
        <f t="shared" si="65"/>
        <v>99.875388806165631</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28557.084357675649</v>
      </c>
      <c r="I82" s="553">
        <f>ITECountywide!$B$9*E82</f>
        <v>40.946194055033907</v>
      </c>
      <c r="J82" s="562">
        <f t="shared" si="53"/>
        <v>1.67</v>
      </c>
      <c r="K82" s="416">
        <f t="shared" si="54"/>
        <v>0.85824475890316576</v>
      </c>
      <c r="L82" s="554">
        <f>Passby_Length_Adj!H77</f>
        <v>1.3209364175632392</v>
      </c>
      <c r="M82" s="554">
        <f>Passby_Length_Adj!J77</f>
        <v>1</v>
      </c>
      <c r="N82" s="416">
        <v>0.5</v>
      </c>
      <c r="O82" s="546">
        <f t="shared" si="55"/>
        <v>0.6604682087816196</v>
      </c>
      <c r="P82" s="555">
        <f t="shared" si="56"/>
        <v>177.10844179209036</v>
      </c>
      <c r="Q82" s="556">
        <f t="shared" si="57"/>
        <v>106.05295915694035</v>
      </c>
      <c r="R82" s="561">
        <f t="shared" si="58"/>
        <v>254.27556818181819</v>
      </c>
      <c r="S82" s="583">
        <f t="shared" si="59"/>
        <v>26966.676446994163</v>
      </c>
      <c r="T82" s="555">
        <f t="shared" si="60"/>
        <v>8.8524778754225792</v>
      </c>
      <c r="U82" s="559">
        <f t="shared" si="61"/>
        <v>154.50490219883392</v>
      </c>
      <c r="V82" s="582">
        <f t="shared" si="62"/>
        <v>1367.7512283595067</v>
      </c>
      <c r="W82" s="555">
        <f t="shared" si="63"/>
        <v>5.8739151990061673</v>
      </c>
      <c r="X82" s="559">
        <f t="shared" si="64"/>
        <v>37.9060089869281</v>
      </c>
      <c r="Y82" s="582">
        <f t="shared" si="65"/>
        <v>222.65668232198135</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4126.3207372258639</v>
      </c>
      <c r="I83" s="553">
        <f>ITECountywide!$B$9*E83</f>
        <v>20.319027682909702</v>
      </c>
      <c r="J83" s="562">
        <f t="shared" si="53"/>
        <v>1.67</v>
      </c>
      <c r="K83" s="416">
        <f t="shared" si="54"/>
        <v>0.85824475890316576</v>
      </c>
      <c r="L83" s="554">
        <f>Passby_Length_Adj!H78</f>
        <v>0.3846286671810874</v>
      </c>
      <c r="M83" s="554">
        <f>Passby_Length_Adj!J78</f>
        <v>1</v>
      </c>
      <c r="N83" s="416">
        <v>0.5</v>
      </c>
      <c r="O83" s="546">
        <f t="shared" si="55"/>
        <v>0.1923143335905437</v>
      </c>
      <c r="P83" s="555">
        <f t="shared" si="56"/>
        <v>25.591066193983991</v>
      </c>
      <c r="Q83" s="556">
        <f t="shared" si="57"/>
        <v>15.323991732924545</v>
      </c>
      <c r="R83" s="561">
        <f t="shared" si="58"/>
        <v>254.27556818181819</v>
      </c>
      <c r="S83" s="583">
        <f t="shared" si="59"/>
        <v>3896.5167047028735</v>
      </c>
      <c r="T83" s="555">
        <f t="shared" si="60"/>
        <v>1.279127889096676</v>
      </c>
      <c r="U83" s="559">
        <f t="shared" si="61"/>
        <v>154.50490219883392</v>
      </c>
      <c r="V83" s="582">
        <f t="shared" si="62"/>
        <v>197.63152940468279</v>
      </c>
      <c r="W83" s="555">
        <f t="shared" si="63"/>
        <v>0.84874414316217417</v>
      </c>
      <c r="X83" s="559">
        <f t="shared" si="64"/>
        <v>37.9060089869281</v>
      </c>
      <c r="Y83" s="582">
        <f t="shared" si="65"/>
        <v>32.172503118307965</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42955.72051676931</v>
      </c>
      <c r="I84" s="553">
        <f>ITECountywide!$B$9*E84</f>
        <v>61.591486232406027</v>
      </c>
      <c r="J84" s="562">
        <f t="shared" si="53"/>
        <v>1.67</v>
      </c>
      <c r="K84" s="416">
        <f t="shared" si="54"/>
        <v>0.85824475890316576</v>
      </c>
      <c r="L84" s="554">
        <f>Passby_Length_Adj!H79</f>
        <v>1.3209364175632392</v>
      </c>
      <c r="M84" s="554">
        <f>Passby_Length_Adj!J79</f>
        <v>1</v>
      </c>
      <c r="N84" s="416">
        <v>0.5</v>
      </c>
      <c r="O84" s="546">
        <f t="shared" si="55"/>
        <v>0.6604682087816196</v>
      </c>
      <c r="P84" s="555">
        <f t="shared" si="56"/>
        <v>266.40747463900976</v>
      </c>
      <c r="Q84" s="556">
        <f t="shared" si="57"/>
        <v>159.52543391557472</v>
      </c>
      <c r="R84" s="561">
        <f t="shared" si="58"/>
        <v>254.27556818181819</v>
      </c>
      <c r="S84" s="583">
        <f t="shared" si="59"/>
        <v>40563.42034833385</v>
      </c>
      <c r="T84" s="555">
        <f t="shared" si="60"/>
        <v>13.315945029077437</v>
      </c>
      <c r="U84" s="559">
        <f t="shared" si="61"/>
        <v>154.50490219883392</v>
      </c>
      <c r="V84" s="582">
        <f t="shared" si="62"/>
        <v>2057.3787844026579</v>
      </c>
      <c r="W84" s="555">
        <f t="shared" si="63"/>
        <v>8.8355749651274724</v>
      </c>
      <c r="X84" s="559">
        <f t="shared" si="64"/>
        <v>37.9060089869281</v>
      </c>
      <c r="Y84" s="582">
        <f t="shared" si="65"/>
        <v>334.92138403279893</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13994.109067705598</v>
      </c>
      <c r="I85" s="553">
        <f>ITECountywide!$B$9*E85</f>
        <v>20.065266409438927</v>
      </c>
      <c r="J85" s="562">
        <f t="shared" si="53"/>
        <v>1.67</v>
      </c>
      <c r="K85" s="416">
        <f t="shared" si="54"/>
        <v>0.85824475890316576</v>
      </c>
      <c r="L85" s="554">
        <f>Passby_Length_Adj!H80</f>
        <v>1.3209364175632392</v>
      </c>
      <c r="M85" s="554">
        <f>Passby_Length_Adj!J80</f>
        <v>1</v>
      </c>
      <c r="N85" s="416">
        <v>0.5</v>
      </c>
      <c r="O85" s="546">
        <f t="shared" si="55"/>
        <v>0.6604682087816196</v>
      </c>
      <c r="P85" s="555">
        <f t="shared" si="56"/>
        <v>86.790192591343086</v>
      </c>
      <c r="Q85" s="556">
        <f t="shared" si="57"/>
        <v>51.970175204397059</v>
      </c>
      <c r="R85" s="561">
        <f t="shared" si="58"/>
        <v>254.27556818181819</v>
      </c>
      <c r="S85" s="583">
        <f t="shared" si="59"/>
        <v>13214.745828606701</v>
      </c>
      <c r="T85" s="555">
        <f t="shared" si="60"/>
        <v>4.3380668473186352</v>
      </c>
      <c r="U85" s="559">
        <f t="shared" si="61"/>
        <v>154.50490219883392</v>
      </c>
      <c r="V85" s="582">
        <f t="shared" si="62"/>
        <v>670.25259397696948</v>
      </c>
      <c r="W85" s="555">
        <f t="shared" si="63"/>
        <v>2.8784524680388794</v>
      </c>
      <c r="X85" s="559">
        <f t="shared" si="64"/>
        <v>37.9060089869281</v>
      </c>
      <c r="Y85" s="582">
        <f t="shared" si="65"/>
        <v>109.11064512192713</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14234.297028217254</v>
      </c>
      <c r="I86" s="553">
        <f>ITECountywide!$B$9*E86</f>
        <v>20.40965670914926</v>
      </c>
      <c r="J86" s="562">
        <f t="shared" si="53"/>
        <v>1.67</v>
      </c>
      <c r="K86" s="416">
        <f t="shared" si="54"/>
        <v>0.85824475890316576</v>
      </c>
      <c r="L86" s="554">
        <f>Passby_Length_Adj!H81</f>
        <v>1.3209364175632392</v>
      </c>
      <c r="M86" s="554">
        <f>Passby_Length_Adj!J81</f>
        <v>1</v>
      </c>
      <c r="N86" s="416">
        <v>0.5</v>
      </c>
      <c r="O86" s="546">
        <f t="shared" si="55"/>
        <v>0.6604682087816196</v>
      </c>
      <c r="P86" s="555">
        <f t="shared" si="56"/>
        <v>88.279816493091516</v>
      </c>
      <c r="Q86" s="556">
        <f t="shared" si="57"/>
        <v>52.862165564725458</v>
      </c>
      <c r="R86" s="561">
        <f t="shared" si="58"/>
        <v>254.27556818181819</v>
      </c>
      <c r="S86" s="583">
        <f t="shared" si="59"/>
        <v>13441.557184291909</v>
      </c>
      <c r="T86" s="555">
        <f t="shared" si="60"/>
        <v>4.4125232792057663</v>
      </c>
      <c r="U86" s="559">
        <f t="shared" si="61"/>
        <v>154.50490219883392</v>
      </c>
      <c r="V86" s="582">
        <f t="shared" si="62"/>
        <v>681.75647770376486</v>
      </c>
      <c r="W86" s="555">
        <f t="shared" si="63"/>
        <v>2.9278568012753192</v>
      </c>
      <c r="X86" s="559">
        <f t="shared" si="64"/>
        <v>37.9060089869281</v>
      </c>
      <c r="Y86" s="582">
        <f t="shared" si="65"/>
        <v>110.98336622158081</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15725.990677710717</v>
      </c>
      <c r="I87" s="553">
        <f>ITECountywide!$B$9*E87</f>
        <v>22.548501728402911</v>
      </c>
      <c r="J87" s="562">
        <f t="shared" si="53"/>
        <v>1.67</v>
      </c>
      <c r="K87" s="416">
        <f t="shared" si="54"/>
        <v>0.85824475890316576</v>
      </c>
      <c r="L87" s="554">
        <f>Passby_Length_Adj!H82</f>
        <v>1.3209364175632392</v>
      </c>
      <c r="M87" s="554">
        <f>Passby_Length_Adj!J82</f>
        <v>1</v>
      </c>
      <c r="N87" s="416">
        <v>0.5</v>
      </c>
      <c r="O87" s="546">
        <f t="shared" si="55"/>
        <v>0.6604682087816196</v>
      </c>
      <c r="P87" s="555">
        <f t="shared" si="56"/>
        <v>97.531164935529176</v>
      </c>
      <c r="Q87" s="556">
        <f t="shared" si="57"/>
        <v>58.401895170975557</v>
      </c>
      <c r="R87" s="561">
        <f t="shared" si="58"/>
        <v>254.27556818181819</v>
      </c>
      <c r="S87" s="583">
        <f t="shared" si="59"/>
        <v>14850.175077494794</v>
      </c>
      <c r="T87" s="555">
        <f t="shared" si="60"/>
        <v>4.8749369088205796</v>
      </c>
      <c r="U87" s="559">
        <f t="shared" si="61"/>
        <v>154.50490219883392</v>
      </c>
      <c r="V87" s="582">
        <f t="shared" si="62"/>
        <v>753.20165032280943</v>
      </c>
      <c r="W87" s="555">
        <f t="shared" si="63"/>
        <v>3.23468371295426</v>
      </c>
      <c r="X87" s="559">
        <f t="shared" si="64"/>
        <v>37.9060089869281</v>
      </c>
      <c r="Y87" s="582">
        <f t="shared" si="65"/>
        <v>122.61394989311414</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8101.3327953434291</v>
      </c>
      <c r="I89" s="553">
        <f>ITECountywide!$B$9*E89</f>
        <v>32.717078472481724</v>
      </c>
      <c r="J89" s="562">
        <f t="shared" ref="J89:J126" si="67">IF(F89="Prod",$M$3,$M$4)</f>
        <v>1.67</v>
      </c>
      <c r="K89" s="416">
        <f t="shared" ref="K89:K126" si="68">IF(F89="Prod",$F$4,$F$5)</f>
        <v>0.85824475890316576</v>
      </c>
      <c r="L89" s="554">
        <f>Passby_Length_Adj!H84</f>
        <v>0.4689899613519371</v>
      </c>
      <c r="M89" s="554">
        <f>Passby_Length_Adj!J84</f>
        <v>1</v>
      </c>
      <c r="N89" s="416">
        <v>0.5</v>
      </c>
      <c r="O89" s="546">
        <f t="shared" ref="O89:O126" si="69">L89*M89*N89</f>
        <v>0.23449498067596855</v>
      </c>
      <c r="P89" s="555">
        <f t="shared" ref="P89:P126" si="70">IF($F89="Prod",$I89*$O89*$F$4*$F$6,$I89*O89*$F$5*$F$7)</f>
        <v>50.243729711740727</v>
      </c>
      <c r="Q89" s="556">
        <f t="shared" ref="Q89:Q126" si="71">+P89/J89</f>
        <v>30.086065695653129</v>
      </c>
      <c r="R89" s="561">
        <f t="shared" ref="R89:R126" si="72">+$Q$4</f>
        <v>254.27556818181819</v>
      </c>
      <c r="S89" s="583">
        <f t="shared" ref="S89:S126" si="73">+Q89*R89</f>
        <v>7650.1514491177086</v>
      </c>
      <c r="T89" s="555">
        <f t="shared" ref="T89:T126" si="74">IF($F89="Prod",$I89*$O89*$G$4*$G$6,$I89*$O89*$G$5*$G$7)</f>
        <v>2.5113512441943961</v>
      </c>
      <c r="U89" s="559">
        <f t="shared" ref="U89:U126" si="75">+$R$4</f>
        <v>154.50490219883392</v>
      </c>
      <c r="V89" s="582">
        <f t="shared" ref="V89:V126" si="76">+T89*U89</f>
        <v>388.01607837117507</v>
      </c>
      <c r="W89" s="555">
        <f t="shared" ref="W89:W126" si="77">IF($F89="Prod",$I89*$O89*$J$4*$J$6,$I89*$O89*$J$5*$J$7)</f>
        <v>1.6663655589890243</v>
      </c>
      <c r="X89" s="559">
        <f t="shared" ref="X89:X126" si="78">$S$4</f>
        <v>37.9060089869281</v>
      </c>
      <c r="Y89" s="582">
        <f t="shared" ref="Y89:Y126" si="79">+W89*X89</f>
        <v>63.165267854545419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22755.54419523057</v>
      </c>
      <c r="I90" s="553">
        <f>ITECountywide!$B$9*E90</f>
        <v>91.897832606915415</v>
      </c>
      <c r="J90" s="562">
        <f t="shared" si="67"/>
        <v>1.67</v>
      </c>
      <c r="K90" s="416">
        <f t="shared" si="68"/>
        <v>0.85824475890316576</v>
      </c>
      <c r="L90" s="554">
        <f>Passby_Length_Adj!H85</f>
        <v>0.4689899613519371</v>
      </c>
      <c r="M90" s="554">
        <f>Passby_Length_Adj!J85</f>
        <v>1</v>
      </c>
      <c r="N90" s="416">
        <v>0.5</v>
      </c>
      <c r="O90" s="546">
        <f t="shared" si="69"/>
        <v>0.23449498067596855</v>
      </c>
      <c r="P90" s="555">
        <f t="shared" si="70"/>
        <v>141.12781697425231</v>
      </c>
      <c r="Q90" s="556">
        <f t="shared" si="71"/>
        <v>84.507674834881627</v>
      </c>
      <c r="R90" s="561">
        <f t="shared" si="72"/>
        <v>254.27556818181819</v>
      </c>
      <c r="S90" s="583">
        <f t="shared" si="73"/>
        <v>21488.237034363865</v>
      </c>
      <c r="T90" s="555">
        <f t="shared" si="74"/>
        <v>7.0540447690114059</v>
      </c>
      <c r="U90" s="559">
        <f t="shared" si="75"/>
        <v>154.50490219883392</v>
      </c>
      <c r="V90" s="582">
        <f t="shared" si="76"/>
        <v>1089.8844971423032</v>
      </c>
      <c r="W90" s="555">
        <f t="shared" si="77"/>
        <v>4.6805946726173691</v>
      </c>
      <c r="X90" s="559">
        <f t="shared" si="78"/>
        <v>37.9060089869281</v>
      </c>
      <c r="Y90" s="582">
        <f t="shared" si="79"/>
        <v>177.42266372440179</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4102.2815373650383</v>
      </c>
      <c r="I91" s="553">
        <f>ITECountywide!$B$9*E91</f>
        <v>16.566985996591853</v>
      </c>
      <c r="J91" s="562">
        <f t="shared" si="67"/>
        <v>1.67</v>
      </c>
      <c r="K91" s="416">
        <f t="shared" si="68"/>
        <v>0.85824475890316576</v>
      </c>
      <c r="L91" s="554">
        <f>Passby_Length_Adj!H86</f>
        <v>0.4689899613519371</v>
      </c>
      <c r="M91" s="554">
        <f>Passby_Length_Adj!J86</f>
        <v>1</v>
      </c>
      <c r="N91" s="416">
        <v>0.5</v>
      </c>
      <c r="O91" s="546">
        <f t="shared" si="69"/>
        <v>0.23449498067596855</v>
      </c>
      <c r="P91" s="555">
        <f t="shared" si="70"/>
        <v>25.441977261236023</v>
      </c>
      <c r="Q91" s="556">
        <f t="shared" si="71"/>
        <v>15.234716922895823</v>
      </c>
      <c r="R91" s="561">
        <f t="shared" si="72"/>
        <v>254.27556818181819</v>
      </c>
      <c r="S91" s="583">
        <f t="shared" si="73"/>
        <v>3873.8163016584963</v>
      </c>
      <c r="T91" s="555">
        <f t="shared" si="74"/>
        <v>1.2716759208829242</v>
      </c>
      <c r="U91" s="559">
        <f t="shared" si="75"/>
        <v>154.50490219883392</v>
      </c>
      <c r="V91" s="582">
        <f t="shared" si="76"/>
        <v>196.48016378462827</v>
      </c>
      <c r="W91" s="555">
        <f t="shared" si="77"/>
        <v>0.84379951297283551</v>
      </c>
      <c r="X91" s="559">
        <f t="shared" si="78"/>
        <v>37.9060089869281</v>
      </c>
      <c r="Y91" s="582">
        <f t="shared" si="79"/>
        <v>31.985071921913857</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30565.139244481299</v>
      </c>
      <c r="I92" s="553">
        <f>ITECountywide!$B$9*E92</f>
        <v>123.43673373828283</v>
      </c>
      <c r="J92" s="562">
        <f t="shared" si="67"/>
        <v>1.67</v>
      </c>
      <c r="K92" s="416">
        <f t="shared" si="68"/>
        <v>0.85824475890316576</v>
      </c>
      <c r="L92" s="554">
        <f>Passby_Length_Adj!H87</f>
        <v>0.4689899613519371</v>
      </c>
      <c r="M92" s="554">
        <f>Passby_Length_Adj!J87</f>
        <v>1</v>
      </c>
      <c r="N92" s="416">
        <v>0.5</v>
      </c>
      <c r="O92" s="546">
        <f t="shared" si="69"/>
        <v>0.23449498067596855</v>
      </c>
      <c r="P92" s="555">
        <f t="shared" si="70"/>
        <v>189.56221569914365</v>
      </c>
      <c r="Q92" s="556">
        <f t="shared" si="71"/>
        <v>113.51030880188243</v>
      </c>
      <c r="R92" s="561">
        <f t="shared" si="72"/>
        <v>254.27556818181819</v>
      </c>
      <c r="S92" s="583">
        <f t="shared" si="73"/>
        <v>28862.898265092292</v>
      </c>
      <c r="T92" s="555">
        <f t="shared" si="74"/>
        <v>9.4749595418082198</v>
      </c>
      <c r="U92" s="559">
        <f t="shared" si="75"/>
        <v>154.50490219883392</v>
      </c>
      <c r="V92" s="582">
        <f t="shared" si="76"/>
        <v>1463.9276973449871</v>
      </c>
      <c r="W92" s="555">
        <f t="shared" si="77"/>
        <v>6.2869526075984785</v>
      </c>
      <c r="X92" s="559">
        <f t="shared" si="78"/>
        <v>37.9060089869281</v>
      </c>
      <c r="Y92" s="582">
        <f t="shared" si="79"/>
        <v>238.31328204401899</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16943.230638460635</v>
      </c>
      <c r="I93" s="553">
        <f>ITECountywide!$B$9*E93</f>
        <v>68.42491481086897</v>
      </c>
      <c r="J93" s="562">
        <f t="shared" si="67"/>
        <v>1.67</v>
      </c>
      <c r="K93" s="416">
        <f t="shared" si="68"/>
        <v>0.85824475890316576</v>
      </c>
      <c r="L93" s="554">
        <f>Passby_Length_Adj!H88</f>
        <v>0.4689899613519371</v>
      </c>
      <c r="M93" s="554">
        <f>Passby_Length_Adj!J88</f>
        <v>1</v>
      </c>
      <c r="N93" s="416">
        <v>0.5</v>
      </c>
      <c r="O93" s="546">
        <f t="shared" si="69"/>
        <v>0.23449498067596855</v>
      </c>
      <c r="P93" s="555">
        <f t="shared" si="70"/>
        <v>105.08037654394528</v>
      </c>
      <c r="Q93" s="556">
        <f t="shared" si="71"/>
        <v>62.922381164039088</v>
      </c>
      <c r="R93" s="561">
        <f t="shared" si="72"/>
        <v>254.27556818181819</v>
      </c>
      <c r="S93" s="583">
        <f t="shared" si="73"/>
        <v>15999.624221838974</v>
      </c>
      <c r="T93" s="555">
        <f t="shared" si="74"/>
        <v>5.2522719927057313</v>
      </c>
      <c r="U93" s="559">
        <f t="shared" si="75"/>
        <v>154.50490219883392</v>
      </c>
      <c r="V93" s="582">
        <f t="shared" si="76"/>
        <v>811.5017705546735</v>
      </c>
      <c r="W93" s="555">
        <f t="shared" si="77"/>
        <v>3.4850581635366007</v>
      </c>
      <c r="X93" s="559">
        <f t="shared" si="78"/>
        <v>37.9060089869281</v>
      </c>
      <c r="Y93" s="582">
        <f t="shared" si="79"/>
        <v>132.10464606698554</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16446.16431968669</v>
      </c>
      <c r="I94" s="553">
        <f>ITECountywide!$B$9*E94</f>
        <v>284.21511603055654</v>
      </c>
      <c r="J94" s="562">
        <f t="shared" si="67"/>
        <v>1.67</v>
      </c>
      <c r="K94" s="416">
        <f t="shared" si="68"/>
        <v>0.85824475890316576</v>
      </c>
      <c r="L94" s="554">
        <f>Passby_Length_Adj!H89</f>
        <v>0.3846286671810874</v>
      </c>
      <c r="M94" s="554">
        <f>Passby_Length_Adj!J89</f>
        <v>0.28494260634706281</v>
      </c>
      <c r="N94" s="416">
        <v>0.5</v>
      </c>
      <c r="O94" s="546">
        <f t="shared" si="69"/>
        <v>5.4798547451188014E-2</v>
      </c>
      <c r="P94" s="555">
        <f t="shared" si="70"/>
        <v>101.99761641049625</v>
      </c>
      <c r="Q94" s="556">
        <f t="shared" si="71"/>
        <v>61.076417012273204</v>
      </c>
      <c r="R94" s="561">
        <f t="shared" si="72"/>
        <v>254.27556818181819</v>
      </c>
      <c r="S94" s="583">
        <f t="shared" si="73"/>
        <v>15530.240638305435</v>
      </c>
      <c r="T94" s="555">
        <f t="shared" si="74"/>
        <v>5.0981852332014697</v>
      </c>
      <c r="U94" s="559">
        <f t="shared" si="75"/>
        <v>154.50490219883392</v>
      </c>
      <c r="V94" s="582">
        <f t="shared" si="76"/>
        <v>787.69461084733234</v>
      </c>
      <c r="W94" s="555">
        <f t="shared" si="77"/>
        <v>3.3828164441722945</v>
      </c>
      <c r="X94" s="559">
        <f t="shared" si="78"/>
        <v>37.9060089869281</v>
      </c>
      <c r="Y94" s="582">
        <f t="shared" si="79"/>
        <v>128.22907053392316</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8778.2350292200244</v>
      </c>
      <c r="I95" s="553">
        <f>ITECountywide!$B$9*E95</f>
        <v>160.19124330117839</v>
      </c>
      <c r="J95" s="562">
        <f t="shared" si="67"/>
        <v>1.67</v>
      </c>
      <c r="K95" s="416">
        <f t="shared" si="68"/>
        <v>0.85824475890316576</v>
      </c>
      <c r="L95" s="554">
        <f>Passby_Length_Adj!H90</f>
        <v>0.3846286671810874</v>
      </c>
      <c r="M95" s="554">
        <f>Passby_Length_Adj!J90</f>
        <v>0.26984126984126988</v>
      </c>
      <c r="N95" s="416">
        <v>0.5</v>
      </c>
      <c r="O95" s="546">
        <f t="shared" si="69"/>
        <v>5.1894343984749895E-2</v>
      </c>
      <c r="P95" s="555">
        <f t="shared" si="70"/>
        <v>54.441815846372521</v>
      </c>
      <c r="Q95" s="556">
        <f t="shared" si="71"/>
        <v>32.599889728366783</v>
      </c>
      <c r="R95" s="561">
        <f t="shared" si="72"/>
        <v>254.27556818181819</v>
      </c>
      <c r="S95" s="583">
        <f t="shared" si="73"/>
        <v>8289.3554833450817</v>
      </c>
      <c r="T95" s="555">
        <f t="shared" si="74"/>
        <v>2.7211857628085507</v>
      </c>
      <c r="U95" s="559">
        <f t="shared" si="75"/>
        <v>154.50490219883392</v>
      </c>
      <c r="V95" s="582">
        <f t="shared" si="76"/>
        <v>420.43654014759443</v>
      </c>
      <c r="W95" s="555">
        <f t="shared" si="77"/>
        <v>1.8055977813689064</v>
      </c>
      <c r="X95" s="559">
        <f t="shared" si="78"/>
        <v>37.9060089869281</v>
      </c>
      <c r="Y95" s="582">
        <f t="shared" si="79"/>
        <v>68.443005727347199</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6547.3627272812128</v>
      </c>
      <c r="I96" s="553">
        <f>ITECountywide!$B$9*E96</f>
        <v>119.48075804939616</v>
      </c>
      <c r="J96" s="562">
        <f t="shared" si="67"/>
        <v>1.67</v>
      </c>
      <c r="K96" s="416">
        <f t="shared" si="68"/>
        <v>0.85824475890316576</v>
      </c>
      <c r="L96" s="554">
        <f>Passby_Length_Adj!H91</f>
        <v>0.3846286671810874</v>
      </c>
      <c r="M96" s="554">
        <f>Passby_Length_Adj!J91</f>
        <v>0.26984126984126988</v>
      </c>
      <c r="N96" s="416">
        <v>0.5</v>
      </c>
      <c r="O96" s="546">
        <f t="shared" si="69"/>
        <v>5.1894343984749895E-2</v>
      </c>
      <c r="P96" s="555">
        <f t="shared" si="70"/>
        <v>40.606148581296189</v>
      </c>
      <c r="Q96" s="556">
        <f t="shared" si="71"/>
        <v>24.315059030716281</v>
      </c>
      <c r="R96" s="561">
        <f t="shared" si="72"/>
        <v>254.27556818181819</v>
      </c>
      <c r="S96" s="583">
        <f t="shared" si="73"/>
        <v>6182.7254504098319</v>
      </c>
      <c r="T96" s="555">
        <f t="shared" si="74"/>
        <v>2.0296324008317268</v>
      </c>
      <c r="U96" s="559">
        <f t="shared" si="75"/>
        <v>154.50490219883392</v>
      </c>
      <c r="V96" s="582">
        <f t="shared" si="76"/>
        <v>313.58815559009042</v>
      </c>
      <c r="W96" s="555">
        <f t="shared" si="77"/>
        <v>1.3467289922000238</v>
      </c>
      <c r="X96" s="559">
        <f t="shared" si="78"/>
        <v>37.9060089869281</v>
      </c>
      <c r="Y96" s="582">
        <f t="shared" si="79"/>
        <v>51.049121281290724</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23700.108161049589</v>
      </c>
      <c r="I97" s="553">
        <f>ITECountywide!$B$9*E97</f>
        <v>95.712436224945051</v>
      </c>
      <c r="J97" s="562">
        <f t="shared" si="67"/>
        <v>1.67</v>
      </c>
      <c r="K97" s="416">
        <f t="shared" si="68"/>
        <v>0.85824475890316576</v>
      </c>
      <c r="L97" s="554">
        <f>Passby_Length_Adj!H92</f>
        <v>0.4689899613519371</v>
      </c>
      <c r="M97" s="554">
        <f>Passby_Length_Adj!J92</f>
        <v>1</v>
      </c>
      <c r="N97" s="416">
        <v>0.5</v>
      </c>
      <c r="O97" s="546">
        <f t="shared" si="69"/>
        <v>0.23449498067596855</v>
      </c>
      <c r="P97" s="555">
        <f t="shared" si="70"/>
        <v>146.9859168441082</v>
      </c>
      <c r="Q97" s="556">
        <f t="shared" si="71"/>
        <v>88.015519068328274</v>
      </c>
      <c r="R97" s="561">
        <f t="shared" si="72"/>
        <v>254.27556818181819</v>
      </c>
      <c r="S97" s="583">
        <f t="shared" si="73"/>
        <v>22380.196119916825</v>
      </c>
      <c r="T97" s="555">
        <f t="shared" si="74"/>
        <v>7.3468523786610493</v>
      </c>
      <c r="U97" s="559">
        <f t="shared" si="75"/>
        <v>154.50490219883392</v>
      </c>
      <c r="V97" s="582">
        <f t="shared" si="76"/>
        <v>1135.1247082342957</v>
      </c>
      <c r="W97" s="555">
        <f t="shared" si="77"/>
        <v>4.8748823164736503</v>
      </c>
      <c r="X97" s="559">
        <f t="shared" si="78"/>
        <v>37.9060089869281</v>
      </c>
      <c r="Y97" s="582">
        <f t="shared" si="79"/>
        <v>184.78733289846707</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20126.058381017527</v>
      </c>
      <c r="I98" s="553">
        <f>ITECountywide!$B$9*E98</f>
        <v>81.278704137667205</v>
      </c>
      <c r="J98" s="562">
        <f t="shared" si="67"/>
        <v>1.67</v>
      </c>
      <c r="K98" s="416">
        <f t="shared" si="68"/>
        <v>0.85824475890316576</v>
      </c>
      <c r="L98" s="554">
        <f>Passby_Length_Adj!H93</f>
        <v>0.4689899613519371</v>
      </c>
      <c r="M98" s="554">
        <f>Passby_Length_Adj!J93</f>
        <v>1</v>
      </c>
      <c r="N98" s="416">
        <v>0.5</v>
      </c>
      <c r="O98" s="546">
        <f t="shared" si="69"/>
        <v>0.23449498067596855</v>
      </c>
      <c r="P98" s="555">
        <f t="shared" si="70"/>
        <v>124.81998493381137</v>
      </c>
      <c r="Q98" s="556">
        <f t="shared" si="71"/>
        <v>74.742505948390047</v>
      </c>
      <c r="R98" s="561">
        <f t="shared" si="72"/>
        <v>254.27556818181819</v>
      </c>
      <c r="S98" s="583">
        <f t="shared" si="73"/>
        <v>19005.193167359805</v>
      </c>
      <c r="T98" s="555">
        <f t="shared" si="74"/>
        <v>6.2389242650233339</v>
      </c>
      <c r="U98" s="559">
        <f t="shared" si="75"/>
        <v>154.50490219883392</v>
      </c>
      <c r="V98" s="582">
        <f t="shared" si="76"/>
        <v>963.94438339336193</v>
      </c>
      <c r="W98" s="555">
        <f t="shared" si="77"/>
        <v>4.1397349512177763</v>
      </c>
      <c r="X98" s="559">
        <f t="shared" si="78"/>
        <v>37.9060089869281</v>
      </c>
      <c r="Y98" s="582">
        <f t="shared" si="79"/>
        <v>156.9208302643614</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18071.647913854253</v>
      </c>
      <c r="I99" s="553">
        <f>ITECountywide!$B$9*E99</f>
        <v>72.982006524219813</v>
      </c>
      <c r="J99" s="562">
        <f t="shared" si="67"/>
        <v>1.67</v>
      </c>
      <c r="K99" s="416">
        <f t="shared" si="68"/>
        <v>0.85824475890316576</v>
      </c>
      <c r="L99" s="554">
        <f>Passby_Length_Adj!H94</f>
        <v>0.4689899613519371</v>
      </c>
      <c r="M99" s="554">
        <f>Passby_Length_Adj!J94</f>
        <v>1</v>
      </c>
      <c r="N99" s="416">
        <v>0.5</v>
      </c>
      <c r="O99" s="546">
        <f t="shared" si="69"/>
        <v>0.23449498067596855</v>
      </c>
      <c r="P99" s="555">
        <f t="shared" si="70"/>
        <v>112.07871793038038</v>
      </c>
      <c r="Q99" s="556">
        <f t="shared" si="71"/>
        <v>67.113004748730773</v>
      </c>
      <c r="R99" s="561">
        <f t="shared" si="72"/>
        <v>254.27556818181819</v>
      </c>
      <c r="S99" s="583">
        <f t="shared" si="73"/>
        <v>17065.197414872579</v>
      </c>
      <c r="T99" s="555">
        <f t="shared" si="74"/>
        <v>5.6020727230447047</v>
      </c>
      <c r="U99" s="559">
        <f t="shared" si="75"/>
        <v>154.50490219883392</v>
      </c>
      <c r="V99" s="582">
        <f t="shared" si="76"/>
        <v>865.54769818477735</v>
      </c>
      <c r="W99" s="555">
        <f t="shared" si="77"/>
        <v>3.7171626494756267</v>
      </c>
      <c r="X99" s="559">
        <f t="shared" si="78"/>
        <v>37.9060089869281</v>
      </c>
      <c r="Y99" s="582">
        <f t="shared" si="79"/>
        <v>140.90280079689657</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16675.218239034974</v>
      </c>
      <c r="I100" s="553">
        <f>ITECountywide!$B$9*E100</f>
        <v>67.342551831206222</v>
      </c>
      <c r="J100" s="562">
        <f t="shared" si="67"/>
        <v>1.67</v>
      </c>
      <c r="K100" s="416">
        <f t="shared" si="68"/>
        <v>0.85824475890316576</v>
      </c>
      <c r="L100" s="554">
        <f>Passby_Length_Adj!H95</f>
        <v>0.4689899613519371</v>
      </c>
      <c r="M100" s="554">
        <f>Passby_Length_Adj!J95</f>
        <v>1</v>
      </c>
      <c r="N100" s="416">
        <v>0.5</v>
      </c>
      <c r="O100" s="546">
        <f t="shared" si="69"/>
        <v>0.23449498067596855</v>
      </c>
      <c r="P100" s="555">
        <f t="shared" si="70"/>
        <v>103.41818800086035</v>
      </c>
      <c r="Q100" s="556">
        <f t="shared" si="71"/>
        <v>61.927058683149916</v>
      </c>
      <c r="R100" s="561">
        <f t="shared" si="72"/>
        <v>254.27556818181819</v>
      </c>
      <c r="S100" s="583">
        <f t="shared" si="73"/>
        <v>15746.538032486742</v>
      </c>
      <c r="T100" s="555">
        <f t="shared" si="74"/>
        <v>5.1691901974307575</v>
      </c>
      <c r="U100" s="559">
        <f t="shared" si="75"/>
        <v>154.50490219883392</v>
      </c>
      <c r="V100" s="582">
        <f t="shared" si="76"/>
        <v>798.66522590121019</v>
      </c>
      <c r="W100" s="555">
        <f t="shared" si="77"/>
        <v>3.4299306131609848</v>
      </c>
      <c r="X100" s="559">
        <f t="shared" si="78"/>
        <v>37.9060089869281</v>
      </c>
      <c r="Y100" s="582">
        <f t="shared" si="79"/>
        <v>130.01498064702011</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15638.081431406963</v>
      </c>
      <c r="I101" s="553">
        <f>ITECountywide!$B$9*E101</f>
        <v>63.154094551514092</v>
      </c>
      <c r="J101" s="562">
        <f t="shared" si="67"/>
        <v>1.67</v>
      </c>
      <c r="K101" s="416">
        <f t="shared" si="68"/>
        <v>0.85824475890316576</v>
      </c>
      <c r="L101" s="554">
        <f>Passby_Length_Adj!H96</f>
        <v>0.4689899613519371</v>
      </c>
      <c r="M101" s="554">
        <f>Passby_Length_Adj!J96</f>
        <v>1</v>
      </c>
      <c r="N101" s="416">
        <v>0.5</v>
      </c>
      <c r="O101" s="546">
        <f t="shared" si="69"/>
        <v>0.23449498067596855</v>
      </c>
      <c r="P101" s="555">
        <f t="shared" si="70"/>
        <v>96.985959779534667</v>
      </c>
      <c r="Q101" s="556">
        <f t="shared" si="71"/>
        <v>58.075425017685433</v>
      </c>
      <c r="R101" s="561">
        <f t="shared" si="72"/>
        <v>254.27556818181819</v>
      </c>
      <c r="S101" s="583">
        <f t="shared" si="73"/>
        <v>14767.161693772541</v>
      </c>
      <c r="T101" s="555">
        <f t="shared" si="74"/>
        <v>4.8476857143988399</v>
      </c>
      <c r="U101" s="559">
        <f t="shared" si="75"/>
        <v>154.50490219883392</v>
      </c>
      <c r="V101" s="582">
        <f t="shared" si="76"/>
        <v>748.99120719387713</v>
      </c>
      <c r="W101" s="555">
        <f t="shared" si="77"/>
        <v>3.2166016338621066</v>
      </c>
      <c r="X101" s="559">
        <f t="shared" si="78"/>
        <v>37.9060089869281</v>
      </c>
      <c r="Y101" s="582">
        <f t="shared" si="79"/>
        <v>121.92853044054462</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14476.65278219398</v>
      </c>
      <c r="I102" s="553">
        <f>ITECountywide!$B$9*E102</f>
        <v>58.463687032601783</v>
      </c>
      <c r="J102" s="562">
        <f t="shared" si="67"/>
        <v>1.67</v>
      </c>
      <c r="K102" s="416">
        <f t="shared" si="68"/>
        <v>0.85824475890316576</v>
      </c>
      <c r="L102" s="554">
        <f>Passby_Length_Adj!H97</f>
        <v>0.4689899613519371</v>
      </c>
      <c r="M102" s="554">
        <f>Passby_Length_Adj!J97</f>
        <v>1</v>
      </c>
      <c r="N102" s="416">
        <v>0.5</v>
      </c>
      <c r="O102" s="546">
        <f t="shared" si="69"/>
        <v>0.23449498067596855</v>
      </c>
      <c r="P102" s="555">
        <f t="shared" si="70"/>
        <v>89.782884852891613</v>
      </c>
      <c r="Q102" s="556">
        <f t="shared" si="71"/>
        <v>53.762206498737498</v>
      </c>
      <c r="R102" s="561">
        <f t="shared" si="72"/>
        <v>254.27556818181819</v>
      </c>
      <c r="S102" s="583">
        <f t="shared" si="73"/>
        <v>13670.415604174716</v>
      </c>
      <c r="T102" s="555">
        <f t="shared" si="74"/>
        <v>4.4876517104975839</v>
      </c>
      <c r="U102" s="559">
        <f t="shared" si="75"/>
        <v>154.50490219883392</v>
      </c>
      <c r="V102" s="582">
        <f t="shared" si="76"/>
        <v>693.36418863285894</v>
      </c>
      <c r="W102" s="555">
        <f t="shared" si="77"/>
        <v>2.9777070285961562</v>
      </c>
      <c r="X102" s="559">
        <f t="shared" si="78"/>
        <v>37.9060089869281</v>
      </c>
      <c r="Y102" s="582">
        <f t="shared" si="79"/>
        <v>112.87298938640487</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13358.015033523985</v>
      </c>
      <c r="I103" s="553">
        <f>ITECountywide!$B$9*E103</f>
        <v>53.946089751997178</v>
      </c>
      <c r="J103" s="562">
        <f t="shared" si="67"/>
        <v>1.67</v>
      </c>
      <c r="K103" s="416">
        <f t="shared" si="68"/>
        <v>0.85824475890316576</v>
      </c>
      <c r="L103" s="554">
        <f>Passby_Length_Adj!H98</f>
        <v>0.4689899613519371</v>
      </c>
      <c r="M103" s="554">
        <f>Passby_Length_Adj!J98</f>
        <v>1</v>
      </c>
      <c r="N103" s="416">
        <v>0.5</v>
      </c>
      <c r="O103" s="546">
        <f t="shared" si="69"/>
        <v>0.23449498067596855</v>
      </c>
      <c r="P103" s="555">
        <f t="shared" si="70"/>
        <v>82.845195202389775</v>
      </c>
      <c r="Q103" s="556">
        <f t="shared" si="71"/>
        <v>49.607901318796273</v>
      </c>
      <c r="R103" s="561">
        <f t="shared" si="72"/>
        <v>254.27556818181819</v>
      </c>
      <c r="S103" s="583">
        <f t="shared" si="73"/>
        <v>12614.07729414449</v>
      </c>
      <c r="T103" s="555">
        <f t="shared" si="74"/>
        <v>4.1408825586933329</v>
      </c>
      <c r="U103" s="559">
        <f t="shared" si="75"/>
        <v>154.50490219883392</v>
      </c>
      <c r="V103" s="582">
        <f t="shared" si="76"/>
        <v>639.78665474777051</v>
      </c>
      <c r="W103" s="555">
        <f t="shared" si="77"/>
        <v>2.7476140964257691</v>
      </c>
      <c r="X103" s="559">
        <f t="shared" si="78"/>
        <v>37.9060089869281</v>
      </c>
      <c r="Y103" s="582">
        <f t="shared" si="79"/>
        <v>104.15108463172554</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12527.195977993722</v>
      </c>
      <c r="I104" s="553">
        <f>ITECountywide!$B$9*E104</f>
        <v>50.590842791664826</v>
      </c>
      <c r="J104" s="562">
        <f t="shared" si="67"/>
        <v>1.67</v>
      </c>
      <c r="K104" s="416">
        <f t="shared" si="68"/>
        <v>0.85824475890316576</v>
      </c>
      <c r="L104" s="554">
        <f>Passby_Length_Adj!H99</f>
        <v>0.4689899613519371</v>
      </c>
      <c r="M104" s="554">
        <f>Passby_Length_Adj!J99</f>
        <v>1</v>
      </c>
      <c r="N104" s="416">
        <v>0.5</v>
      </c>
      <c r="O104" s="546">
        <f t="shared" si="69"/>
        <v>0.23449498067596855</v>
      </c>
      <c r="P104" s="555">
        <f t="shared" si="70"/>
        <v>77.692530928503871</v>
      </c>
      <c r="Q104" s="556">
        <f t="shared" si="71"/>
        <v>46.52247360988256</v>
      </c>
      <c r="R104" s="561">
        <f t="shared" si="72"/>
        <v>254.27556818181819</v>
      </c>
      <c r="S104" s="583">
        <f t="shared" si="73"/>
        <v>11829.52841037653</v>
      </c>
      <c r="T104" s="555">
        <f t="shared" si="74"/>
        <v>3.8833350018264392</v>
      </c>
      <c r="U104" s="559">
        <f t="shared" si="75"/>
        <v>154.50490219883392</v>
      </c>
      <c r="V104" s="582">
        <f t="shared" si="76"/>
        <v>599.99429466250251</v>
      </c>
      <c r="W104" s="555">
        <f t="shared" si="77"/>
        <v>2.5767226770924965</v>
      </c>
      <c r="X104" s="559">
        <f t="shared" si="78"/>
        <v>37.9060089869281</v>
      </c>
      <c r="Y104" s="582">
        <f t="shared" si="79"/>
        <v>97.673272954689608</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11875.110463833047</v>
      </c>
      <c r="I105" s="553">
        <f>ITECountywide!$B$9*E105</f>
        <v>47.957407840094127</v>
      </c>
      <c r="J105" s="562">
        <f t="shared" si="67"/>
        <v>1.67</v>
      </c>
      <c r="K105" s="416">
        <f t="shared" si="68"/>
        <v>0.85824475890316576</v>
      </c>
      <c r="L105" s="554">
        <f>Passby_Length_Adj!H100</f>
        <v>0.4689899613519371</v>
      </c>
      <c r="M105" s="554">
        <f>Passby_Length_Adj!J100</f>
        <v>1</v>
      </c>
      <c r="N105" s="416">
        <v>0.5</v>
      </c>
      <c r="O105" s="546">
        <f t="shared" si="69"/>
        <v>0.23449498067596855</v>
      </c>
      <c r="P105" s="555">
        <f t="shared" si="70"/>
        <v>73.64835583409689</v>
      </c>
      <c r="Q105" s="556">
        <f t="shared" si="71"/>
        <v>44.100811876704725</v>
      </c>
      <c r="R105" s="561">
        <f t="shared" si="72"/>
        <v>254.27556818181819</v>
      </c>
      <c r="S105" s="583">
        <f t="shared" si="73"/>
        <v>11213.75899722857</v>
      </c>
      <c r="T105" s="555">
        <f t="shared" si="74"/>
        <v>3.6811934766381595</v>
      </c>
      <c r="U105" s="559">
        <f t="shared" si="75"/>
        <v>154.50490219883392</v>
      </c>
      <c r="V105" s="582">
        <f t="shared" si="76"/>
        <v>568.7624380829642</v>
      </c>
      <c r="W105" s="555">
        <f t="shared" si="77"/>
        <v>2.4425950131928515</v>
      </c>
      <c r="X105" s="559">
        <f t="shared" si="78"/>
        <v>37.9060089869281</v>
      </c>
      <c r="Y105" s="582">
        <f t="shared" si="79"/>
        <v>92.589028521513995</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11934.317951699823</v>
      </c>
      <c r="I106" s="553">
        <f>ITECountywide!$B$9*E106</f>
        <v>48.196516154198832</v>
      </c>
      <c r="J106" s="562">
        <f t="shared" si="67"/>
        <v>1.67</v>
      </c>
      <c r="K106" s="416">
        <f t="shared" si="68"/>
        <v>0.85824475890316576</v>
      </c>
      <c r="L106" s="554">
        <f>Passby_Length_Adj!H101</f>
        <v>0.4689899613519371</v>
      </c>
      <c r="M106" s="554">
        <f>Passby_Length_Adj!J101</f>
        <v>1</v>
      </c>
      <c r="N106" s="416">
        <v>0.5</v>
      </c>
      <c r="O106" s="546">
        <f t="shared" si="69"/>
        <v>0.23449498067596855</v>
      </c>
      <c r="P106" s="555">
        <f t="shared" si="70"/>
        <v>74.015555292808088</v>
      </c>
      <c r="Q106" s="556">
        <f t="shared" si="71"/>
        <v>44.320691792100654</v>
      </c>
      <c r="R106" s="561">
        <f t="shared" si="72"/>
        <v>254.27556818181819</v>
      </c>
      <c r="S106" s="583">
        <f t="shared" si="73"/>
        <v>11269.669087647639</v>
      </c>
      <c r="T106" s="555">
        <f t="shared" si="74"/>
        <v>3.6995473453257057</v>
      </c>
      <c r="U106" s="559">
        <f t="shared" si="75"/>
        <v>154.50490219883392</v>
      </c>
      <c r="V106" s="582">
        <f t="shared" si="76"/>
        <v>571.59820076950382</v>
      </c>
      <c r="W106" s="555">
        <f t="shared" si="77"/>
        <v>2.4547734190314761</v>
      </c>
      <c r="X106" s="559">
        <f t="shared" si="78"/>
        <v>37.9060089869281</v>
      </c>
      <c r="Y106" s="582">
        <f t="shared" si="79"/>
        <v>93.050663282679352</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12495.352078801168</v>
      </c>
      <c r="I107" s="553">
        <f>ITECountywide!$B$9*E107</f>
        <v>50.462241810187869</v>
      </c>
      <c r="J107" s="562">
        <f t="shared" si="67"/>
        <v>1.67</v>
      </c>
      <c r="K107" s="416">
        <f t="shared" si="68"/>
        <v>0.85824475890316576</v>
      </c>
      <c r="L107" s="554">
        <f>Passby_Length_Adj!H102</f>
        <v>0.4689899613519371</v>
      </c>
      <c r="M107" s="554">
        <f>Passby_Length_Adj!J102</f>
        <v>1</v>
      </c>
      <c r="N107" s="416">
        <v>0.5</v>
      </c>
      <c r="O107" s="546">
        <f t="shared" si="69"/>
        <v>0.23449498067596855</v>
      </c>
      <c r="P107" s="555">
        <f t="shared" si="70"/>
        <v>77.495037959826135</v>
      </c>
      <c r="Q107" s="556">
        <f t="shared" si="71"/>
        <v>46.404214347201282</v>
      </c>
      <c r="R107" s="561">
        <f t="shared" si="72"/>
        <v>254.27556818181819</v>
      </c>
      <c r="S107" s="583">
        <f t="shared" si="73"/>
        <v>11799.457969165485</v>
      </c>
      <c r="T107" s="555">
        <f t="shared" si="74"/>
        <v>3.8734636364749022</v>
      </c>
      <c r="U107" s="559">
        <f t="shared" si="75"/>
        <v>154.50490219883392</v>
      </c>
      <c r="V107" s="582">
        <f t="shared" si="76"/>
        <v>598.46912032429429</v>
      </c>
      <c r="W107" s="555">
        <f t="shared" si="77"/>
        <v>2.5701726959697742</v>
      </c>
      <c r="X107" s="559">
        <f t="shared" si="78"/>
        <v>37.9060089869281</v>
      </c>
      <c r="Y107" s="582">
        <f t="shared" si="79"/>
        <v>97.424989311387478</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24838.102875030771</v>
      </c>
      <c r="I108" s="553">
        <f>ITECountywide!$B$9*E108</f>
        <v>100.30820624194673</v>
      </c>
      <c r="J108" s="562">
        <f t="shared" si="67"/>
        <v>1.67</v>
      </c>
      <c r="K108" s="416">
        <f t="shared" si="68"/>
        <v>0.85824475890316576</v>
      </c>
      <c r="L108" s="554">
        <f>Passby_Length_Adj!H103</f>
        <v>0.4689899613519371</v>
      </c>
      <c r="M108" s="554">
        <f>Passby_Length_Adj!J103</f>
        <v>1</v>
      </c>
      <c r="N108" s="416">
        <v>0.5</v>
      </c>
      <c r="O108" s="546">
        <f t="shared" si="69"/>
        <v>0.23449498067596855</v>
      </c>
      <c r="P108" s="555">
        <f t="shared" si="70"/>
        <v>154.04365663422337</v>
      </c>
      <c r="Q108" s="556">
        <f t="shared" si="71"/>
        <v>92.241710559415196</v>
      </c>
      <c r="R108" s="561">
        <f t="shared" si="72"/>
        <v>254.27556818181819</v>
      </c>
      <c r="S108" s="583">
        <f t="shared" si="73"/>
        <v>23454.813362558118</v>
      </c>
      <c r="T108" s="555">
        <f t="shared" si="74"/>
        <v>7.6996220417572232</v>
      </c>
      <c r="U108" s="559">
        <f t="shared" si="75"/>
        <v>154.50490219883392</v>
      </c>
      <c r="V108" s="582">
        <f t="shared" si="76"/>
        <v>1189.6293505296858</v>
      </c>
      <c r="W108" s="555">
        <f t="shared" si="77"/>
        <v>5.1089567886123319</v>
      </c>
      <c r="X108" s="559">
        <f t="shared" si="78"/>
        <v>37.9060089869281</v>
      </c>
      <c r="Y108" s="582">
        <f t="shared" si="79"/>
        <v>193.66016194296637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12800.554643944297</v>
      </c>
      <c r="I109" s="553">
        <f>ITECountywide!$B$9*E109</f>
        <v>51.694796567045906</v>
      </c>
      <c r="J109" s="562">
        <f t="shared" si="67"/>
        <v>1.67</v>
      </c>
      <c r="K109" s="416">
        <f t="shared" si="68"/>
        <v>0.85824475890316576</v>
      </c>
      <c r="L109" s="554">
        <f>Passby_Length_Adj!H104</f>
        <v>0.4689899613519371</v>
      </c>
      <c r="M109" s="554">
        <f>Passby_Length_Adj!J104</f>
        <v>1</v>
      </c>
      <c r="N109" s="416">
        <v>0.5</v>
      </c>
      <c r="O109" s="546">
        <f t="shared" si="69"/>
        <v>0.23449498067596855</v>
      </c>
      <c r="P109" s="555">
        <f t="shared" si="70"/>
        <v>79.38787653068394</v>
      </c>
      <c r="Q109" s="556">
        <f t="shared" si="71"/>
        <v>47.537650617176013</v>
      </c>
      <c r="R109" s="561">
        <f t="shared" si="72"/>
        <v>254.27556818181819</v>
      </c>
      <c r="S109" s="583">
        <f t="shared" si="73"/>
        <v>12087.663120711191</v>
      </c>
      <c r="T109" s="555">
        <f t="shared" si="74"/>
        <v>3.9680740988600651</v>
      </c>
      <c r="U109" s="559">
        <f t="shared" si="75"/>
        <v>154.50490219883392</v>
      </c>
      <c r="V109" s="582">
        <f t="shared" si="76"/>
        <v>613.08690056210037</v>
      </c>
      <c r="W109" s="555">
        <f t="shared" si="77"/>
        <v>2.6329499026242082</v>
      </c>
      <c r="X109" s="559">
        <f t="shared" si="78"/>
        <v>37.9060089869281</v>
      </c>
      <c r="Y109" s="582">
        <f t="shared" si="79"/>
        <v>99.804622671004708</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10606.098553525939</v>
      </c>
      <c r="I110" s="553">
        <f>ITECountywide!$B$9*E110</f>
        <v>193.54734843720766</v>
      </c>
      <c r="J110" s="562">
        <f t="shared" si="67"/>
        <v>1.67</v>
      </c>
      <c r="K110" s="416">
        <f t="shared" si="68"/>
        <v>0.85824475890316576</v>
      </c>
      <c r="L110" s="554">
        <f>Passby_Length_Adj!H105</f>
        <v>0.3846286671810874</v>
      </c>
      <c r="M110" s="554">
        <f>Passby_Length_Adj!J105</f>
        <v>0.26984126984126988</v>
      </c>
      <c r="N110" s="416">
        <v>0.5</v>
      </c>
      <c r="O110" s="546">
        <f t="shared" si="69"/>
        <v>5.1894343984749895E-2</v>
      </c>
      <c r="P110" s="555">
        <f t="shared" si="70"/>
        <v>65.778059299790982</v>
      </c>
      <c r="Q110" s="556">
        <f t="shared" si="71"/>
        <v>39.388059460952682</v>
      </c>
      <c r="R110" s="561">
        <f t="shared" si="72"/>
        <v>254.27556818181819</v>
      </c>
      <c r="S110" s="583">
        <f t="shared" si="73"/>
        <v>10015.421199012982</v>
      </c>
      <c r="T110" s="555">
        <f t="shared" si="74"/>
        <v>3.2878094841080552</v>
      </c>
      <c r="U110" s="559">
        <f t="shared" si="75"/>
        <v>154.50490219883392</v>
      </c>
      <c r="V110" s="582">
        <f t="shared" si="76"/>
        <v>507.98268279051365</v>
      </c>
      <c r="W110" s="555">
        <f t="shared" si="77"/>
        <v>2.1815715748645177</v>
      </c>
      <c r="X110" s="559">
        <f t="shared" si="78"/>
        <v>37.9060089869281</v>
      </c>
      <c r="Y110" s="582">
        <f t="shared" si="79"/>
        <v>82.694671722441299</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79951.991813256871</v>
      </c>
      <c r="I111" s="553">
        <f>ITECountywide!$B$9*E111</f>
        <v>1381.6938824378594</v>
      </c>
      <c r="J111" s="562">
        <f t="shared" si="67"/>
        <v>1.67</v>
      </c>
      <c r="K111" s="416">
        <f t="shared" si="68"/>
        <v>0.85824475890316576</v>
      </c>
      <c r="L111" s="554">
        <f>Passby_Length_Adj!H106</f>
        <v>0.3846286671810874</v>
      </c>
      <c r="M111" s="554">
        <f>Passby_Length_Adj!J106</f>
        <v>0.28494260634706281</v>
      </c>
      <c r="N111" s="416">
        <v>0.5</v>
      </c>
      <c r="O111" s="546">
        <f t="shared" si="69"/>
        <v>5.4798547451188014E-2</v>
      </c>
      <c r="P111" s="555">
        <f t="shared" si="70"/>
        <v>495.85498683495251</v>
      </c>
      <c r="Q111" s="556">
        <f t="shared" si="71"/>
        <v>296.91915379338474</v>
      </c>
      <c r="R111" s="561">
        <f t="shared" si="72"/>
        <v>254.27556818181819</v>
      </c>
      <c r="S111" s="583">
        <f t="shared" si="73"/>
        <v>75499.286534877567</v>
      </c>
      <c r="T111" s="555">
        <f t="shared" si="74"/>
        <v>24.784506350788796</v>
      </c>
      <c r="U111" s="559">
        <f t="shared" si="75"/>
        <v>154.50490219883392</v>
      </c>
      <c r="V111" s="582">
        <f t="shared" si="76"/>
        <v>3829.327729775001</v>
      </c>
      <c r="W111" s="555">
        <f t="shared" si="77"/>
        <v>16.445349042661544</v>
      </c>
      <c r="X111" s="559">
        <f t="shared" si="78"/>
        <v>37.9060089869281</v>
      </c>
      <c r="Y111" s="582">
        <f t="shared" si="79"/>
        <v>623.37754860429789</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65469.425001095311</v>
      </c>
      <c r="I112" s="553">
        <f>ITECountywide!$B$9*E112</f>
        <v>1131.4127635746866</v>
      </c>
      <c r="J112" s="562">
        <f t="shared" si="67"/>
        <v>1.67</v>
      </c>
      <c r="K112" s="416">
        <f t="shared" si="68"/>
        <v>0.85824475890316576</v>
      </c>
      <c r="L112" s="554">
        <f>Passby_Length_Adj!H107</f>
        <v>0.3846286671810874</v>
      </c>
      <c r="M112" s="554">
        <f>Passby_Length_Adj!J107</f>
        <v>0.28494260634706281</v>
      </c>
      <c r="N112" s="416">
        <v>0.5</v>
      </c>
      <c r="O112" s="546">
        <f t="shared" si="69"/>
        <v>5.4798547451188014E-2</v>
      </c>
      <c r="P112" s="555">
        <f t="shared" si="70"/>
        <v>406.03542370569522</v>
      </c>
      <c r="Q112" s="556">
        <f t="shared" si="71"/>
        <v>243.13498425490732</v>
      </c>
      <c r="R112" s="561">
        <f t="shared" si="72"/>
        <v>254.27556818181819</v>
      </c>
      <c r="S112" s="583">
        <f t="shared" si="73"/>
        <v>61823.286266293981</v>
      </c>
      <c r="T112" s="555">
        <f t="shared" si="74"/>
        <v>20.295021336205028</v>
      </c>
      <c r="U112" s="559">
        <f t="shared" si="75"/>
        <v>154.50490219883392</v>
      </c>
      <c r="V112" s="582">
        <f t="shared" si="76"/>
        <v>3135.6802866736057</v>
      </c>
      <c r="W112" s="555">
        <f t="shared" si="77"/>
        <v>13.466425555477432</v>
      </c>
      <c r="X112" s="559">
        <f t="shared" si="78"/>
        <v>37.9060089869281</v>
      </c>
      <c r="Y112" s="582">
        <f t="shared" si="79"/>
        <v>510.45844812772577</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18760.981210268998</v>
      </c>
      <c r="I113" s="553">
        <f>ITECountywide!$B$9*E113</f>
        <v>75.765865936273457</v>
      </c>
      <c r="J113" s="562">
        <f t="shared" si="67"/>
        <v>1.67</v>
      </c>
      <c r="K113" s="416">
        <f t="shared" si="68"/>
        <v>0.85824475890316576</v>
      </c>
      <c r="L113" s="554">
        <f>Passby_Length_Adj!H108</f>
        <v>0.4689899613519371</v>
      </c>
      <c r="M113" s="554">
        <f>Passby_Length_Adj!J108</f>
        <v>1</v>
      </c>
      <c r="N113" s="416">
        <v>0.5</v>
      </c>
      <c r="O113" s="546">
        <f t="shared" si="69"/>
        <v>0.23449498067596855</v>
      </c>
      <c r="P113" s="555">
        <f t="shared" si="70"/>
        <v>116.35390038508379</v>
      </c>
      <c r="Q113" s="556">
        <f t="shared" si="71"/>
        <v>69.672994242565153</v>
      </c>
      <c r="R113" s="561">
        <f t="shared" si="72"/>
        <v>254.27556818181819</v>
      </c>
      <c r="S113" s="583">
        <f t="shared" si="73"/>
        <v>17716.1401979568</v>
      </c>
      <c r="T113" s="555">
        <f t="shared" si="74"/>
        <v>5.8157607760291281</v>
      </c>
      <c r="U113" s="559">
        <f t="shared" si="75"/>
        <v>154.50490219883392</v>
      </c>
      <c r="V113" s="582">
        <f t="shared" si="76"/>
        <v>898.56354991219484</v>
      </c>
      <c r="W113" s="555">
        <f t="shared" si="77"/>
        <v>3.8589518208166869</v>
      </c>
      <c r="X113" s="559">
        <f t="shared" si="78"/>
        <v>37.9060089869281</v>
      </c>
      <c r="Y113" s="582">
        <f t="shared" si="79"/>
        <v>146.27746239999988</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12903.784923330946</v>
      </c>
      <c r="I114" s="553">
        <f>ITECountywide!$B$9*E114</f>
        <v>52.111690087747888</v>
      </c>
      <c r="J114" s="562">
        <f t="shared" si="67"/>
        <v>1.67</v>
      </c>
      <c r="K114" s="416">
        <f t="shared" si="68"/>
        <v>0.85824475890316576</v>
      </c>
      <c r="L114" s="554">
        <f>Passby_Length_Adj!H109</f>
        <v>0.4689899613519371</v>
      </c>
      <c r="M114" s="554">
        <f>Passby_Length_Adj!J109</f>
        <v>1</v>
      </c>
      <c r="N114" s="416">
        <v>0.5</v>
      </c>
      <c r="O114" s="546">
        <f t="shared" si="69"/>
        <v>0.23449498067596855</v>
      </c>
      <c r="P114" s="555">
        <f t="shared" si="70"/>
        <v>80.02810134141528</v>
      </c>
      <c r="Q114" s="556">
        <f t="shared" si="71"/>
        <v>47.921018767314543</v>
      </c>
      <c r="R114" s="561">
        <f t="shared" si="72"/>
        <v>254.27556818181819</v>
      </c>
      <c r="S114" s="583">
        <f t="shared" si="73"/>
        <v>12185.144274910477</v>
      </c>
      <c r="T114" s="555">
        <f t="shared" si="74"/>
        <v>4.0000746964315175</v>
      </c>
      <c r="U114" s="559">
        <f t="shared" si="75"/>
        <v>154.50490219883392</v>
      </c>
      <c r="V114" s="582">
        <f t="shared" si="76"/>
        <v>618.03114976018185</v>
      </c>
      <c r="W114" s="555">
        <f t="shared" si="77"/>
        <v>2.654183369580855</v>
      </c>
      <c r="X114" s="559">
        <f t="shared" si="78"/>
        <v>37.9060089869281</v>
      </c>
      <c r="Y114" s="582">
        <f t="shared" si="79"/>
        <v>100.609498660287</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13796.951253676285</v>
      </c>
      <c r="I115" s="553">
        <f>ITECountywide!$B$9*E115</f>
        <v>55.718725332082435</v>
      </c>
      <c r="J115" s="562">
        <f t="shared" si="67"/>
        <v>1.67</v>
      </c>
      <c r="K115" s="416">
        <f t="shared" si="68"/>
        <v>0.85824475890316576</v>
      </c>
      <c r="L115" s="554">
        <f>Passby_Length_Adj!H110</f>
        <v>0.4689899613519371</v>
      </c>
      <c r="M115" s="554">
        <f>Passby_Length_Adj!J110</f>
        <v>1</v>
      </c>
      <c r="N115" s="416">
        <v>0.5</v>
      </c>
      <c r="O115" s="546">
        <f t="shared" si="69"/>
        <v>0.23449498067596855</v>
      </c>
      <c r="P115" s="555">
        <f t="shared" si="70"/>
        <v>85.567437747308006</v>
      </c>
      <c r="Q115" s="556">
        <f t="shared" si="71"/>
        <v>51.237986675034733</v>
      </c>
      <c r="R115" s="561">
        <f t="shared" si="72"/>
        <v>254.27556818181819</v>
      </c>
      <c r="S115" s="583">
        <f t="shared" si="73"/>
        <v>13028.568174286886</v>
      </c>
      <c r="T115" s="555">
        <f t="shared" si="74"/>
        <v>4.2769494319410377</v>
      </c>
      <c r="U115" s="559">
        <f t="shared" si="75"/>
        <v>154.50490219883392</v>
      </c>
      <c r="V115" s="582">
        <f t="shared" si="76"/>
        <v>660.80965369140836</v>
      </c>
      <c r="W115" s="555">
        <f t="shared" si="77"/>
        <v>2.8378990184666253</v>
      </c>
      <c r="X115" s="559">
        <f t="shared" si="78"/>
        <v>37.9060089869281</v>
      </c>
      <c r="Y115" s="582">
        <f t="shared" si="79"/>
        <v>107.57342569799033</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18424.360734008183</v>
      </c>
      <c r="I116" s="553">
        <f>ITECountywide!$B$9*E116</f>
        <v>74.406430542680027</v>
      </c>
      <c r="J116" s="562">
        <f t="shared" si="67"/>
        <v>1.67</v>
      </c>
      <c r="K116" s="416">
        <f t="shared" si="68"/>
        <v>0.85824475890316576</v>
      </c>
      <c r="L116" s="554">
        <f>Passby_Length_Adj!H111</f>
        <v>0.4689899613519371</v>
      </c>
      <c r="M116" s="554">
        <f>Passby_Length_Adj!J111</f>
        <v>1</v>
      </c>
      <c r="N116" s="416">
        <v>0.5</v>
      </c>
      <c r="O116" s="546">
        <f t="shared" si="69"/>
        <v>0.23449498067596855</v>
      </c>
      <c r="P116" s="555">
        <f t="shared" si="70"/>
        <v>114.26621078487294</v>
      </c>
      <c r="Q116" s="556">
        <f t="shared" si="71"/>
        <v>68.422880709504753</v>
      </c>
      <c r="R116" s="561">
        <f t="shared" si="72"/>
        <v>254.27556818181819</v>
      </c>
      <c r="S116" s="583">
        <f t="shared" si="73"/>
        <v>17398.266869046089</v>
      </c>
      <c r="T116" s="555">
        <f t="shared" si="74"/>
        <v>5.7114110013396093</v>
      </c>
      <c r="U116" s="559">
        <f t="shared" si="75"/>
        <v>154.50490219883392</v>
      </c>
      <c r="V116" s="582">
        <f t="shared" si="76"/>
        <v>882.44099817932045</v>
      </c>
      <c r="W116" s="555">
        <f t="shared" si="77"/>
        <v>3.7897122546537081</v>
      </c>
      <c r="X116" s="559">
        <f t="shared" si="78"/>
        <v>37.9060089869281</v>
      </c>
      <c r="Y116" s="582">
        <f t="shared" si="79"/>
        <v>143.65286678277502</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64451.600521402564</v>
      </c>
      <c r="I117" s="553">
        <f>ITECountywide!$B$9*E117</f>
        <v>260.28656336002075</v>
      </c>
      <c r="J117" s="562">
        <f t="shared" si="67"/>
        <v>1.67</v>
      </c>
      <c r="K117" s="416">
        <f t="shared" si="68"/>
        <v>0.85824475890316576</v>
      </c>
      <c r="L117" s="554">
        <f>Passby_Length_Adj!H112</f>
        <v>0.4689899613519371</v>
      </c>
      <c r="M117" s="554">
        <f>Passby_Length_Adj!J112</f>
        <v>1</v>
      </c>
      <c r="N117" s="416">
        <v>0.5</v>
      </c>
      <c r="O117" s="546">
        <f t="shared" si="69"/>
        <v>0.23449498067596855</v>
      </c>
      <c r="P117" s="555">
        <f t="shared" si="70"/>
        <v>399.72296878703418</v>
      </c>
      <c r="Q117" s="556">
        <f t="shared" si="71"/>
        <v>239.35507112996061</v>
      </c>
      <c r="R117" s="561">
        <f t="shared" si="72"/>
        <v>254.27556818181819</v>
      </c>
      <c r="S117" s="583">
        <f t="shared" si="73"/>
        <v>60862.14670877024</v>
      </c>
      <c r="T117" s="555">
        <f t="shared" si="74"/>
        <v>19.979503527219681</v>
      </c>
      <c r="U117" s="559">
        <f t="shared" si="75"/>
        <v>154.50490219883392</v>
      </c>
      <c r="V117" s="582">
        <f t="shared" si="76"/>
        <v>3086.9312384543341</v>
      </c>
      <c r="W117" s="555">
        <f t="shared" si="77"/>
        <v>13.257068934671677</v>
      </c>
      <c r="X117" s="559">
        <f t="shared" si="78"/>
        <v>37.9060089869281</v>
      </c>
      <c r="Y117" s="582">
        <f t="shared" si="79"/>
        <v>502.52257417798995</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8976.5460336215256</v>
      </c>
      <c r="I118" s="553">
        <f>ITECountywide!$B$9*E118</f>
        <v>36.251610495824622</v>
      </c>
      <c r="J118" s="562">
        <f t="shared" si="67"/>
        <v>1.67</v>
      </c>
      <c r="K118" s="416">
        <f t="shared" si="68"/>
        <v>0.85824475890316576</v>
      </c>
      <c r="L118" s="554">
        <f>Passby_Length_Adj!H113</f>
        <v>0.4689899613519371</v>
      </c>
      <c r="M118" s="554">
        <f>Passby_Length_Adj!J113</f>
        <v>1</v>
      </c>
      <c r="N118" s="416">
        <v>0.5</v>
      </c>
      <c r="O118" s="546">
        <f t="shared" si="69"/>
        <v>0.23449498067596855</v>
      </c>
      <c r="P118" s="555">
        <f t="shared" si="70"/>
        <v>55.671722672288887</v>
      </c>
      <c r="Q118" s="556">
        <f t="shared" si="71"/>
        <v>33.336360881610112</v>
      </c>
      <c r="R118" s="561">
        <f t="shared" si="72"/>
        <v>254.27556818181819</v>
      </c>
      <c r="S118" s="583">
        <f t="shared" si="73"/>
        <v>8476.6221042855486</v>
      </c>
      <c r="T118" s="555">
        <f t="shared" si="74"/>
        <v>2.7826606583871425</v>
      </c>
      <c r="U118" s="559">
        <f t="shared" si="75"/>
        <v>154.50490219883392</v>
      </c>
      <c r="V118" s="582">
        <f t="shared" si="76"/>
        <v>429.93471287664823</v>
      </c>
      <c r="W118" s="555">
        <f t="shared" si="77"/>
        <v>1.8463884310127687</v>
      </c>
      <c r="X118" s="559">
        <f t="shared" si="78"/>
        <v>37.9060089869281</v>
      </c>
      <c r="Y118" s="582">
        <f t="shared" si="79"/>
        <v>69.989216459330081</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10269.168662463026</v>
      </c>
      <c r="I119" s="553">
        <f>ITECountywide!$B$9*E119</f>
        <v>41.471842407223363</v>
      </c>
      <c r="J119" s="562">
        <f t="shared" si="67"/>
        <v>1.67</v>
      </c>
      <c r="K119" s="416">
        <f t="shared" si="68"/>
        <v>0.85824475890316576</v>
      </c>
      <c r="L119" s="554">
        <f>Passby_Length_Adj!H114</f>
        <v>0.4689899613519371</v>
      </c>
      <c r="M119" s="554">
        <f>Passby_Length_Adj!J114</f>
        <v>1</v>
      </c>
      <c r="N119" s="416">
        <v>0.5</v>
      </c>
      <c r="O119" s="546">
        <f t="shared" si="69"/>
        <v>0.23449498067596855</v>
      </c>
      <c r="P119" s="555">
        <f t="shared" si="70"/>
        <v>63.688450737098478</v>
      </c>
      <c r="Q119" s="556">
        <f t="shared" si="71"/>
        <v>38.136796848561964</v>
      </c>
      <c r="R119" s="561">
        <f t="shared" si="72"/>
        <v>254.27556818181819</v>
      </c>
      <c r="S119" s="583">
        <f t="shared" si="73"/>
        <v>9697.255687302666</v>
      </c>
      <c r="T119" s="555">
        <f t="shared" si="74"/>
        <v>3.1833637931948906</v>
      </c>
      <c r="U119" s="559">
        <f t="shared" si="75"/>
        <v>154.50490219883392</v>
      </c>
      <c r="V119" s="582">
        <f t="shared" si="76"/>
        <v>491.84531153088551</v>
      </c>
      <c r="W119" s="555">
        <f t="shared" si="77"/>
        <v>2.1122683650786072</v>
      </c>
      <c r="X119" s="559">
        <f t="shared" si="78"/>
        <v>37.9060089869281</v>
      </c>
      <c r="Y119" s="582">
        <f t="shared" si="79"/>
        <v>80.067663629473614</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29802.132831623472</v>
      </c>
      <c r="I120" s="553">
        <f>ITECountywide!$B$9*E120</f>
        <v>120.35534684613775</v>
      </c>
      <c r="J120" s="562">
        <f t="shared" si="67"/>
        <v>1.67</v>
      </c>
      <c r="K120" s="416">
        <f t="shared" si="68"/>
        <v>0.85824475890316576</v>
      </c>
      <c r="L120" s="554">
        <f>Passby_Length_Adj!H115</f>
        <v>0.4689899613519371</v>
      </c>
      <c r="M120" s="554">
        <f>Passby_Length_Adj!J115</f>
        <v>1</v>
      </c>
      <c r="N120" s="416">
        <v>0.5</v>
      </c>
      <c r="O120" s="546">
        <f t="shared" si="69"/>
        <v>0.23449498067596855</v>
      </c>
      <c r="P120" s="555">
        <f t="shared" si="70"/>
        <v>184.83011927199911</v>
      </c>
      <c r="Q120" s="556">
        <f t="shared" si="71"/>
        <v>110.67671812694557</v>
      </c>
      <c r="R120" s="561">
        <f t="shared" si="72"/>
        <v>254.27556818181819</v>
      </c>
      <c r="S120" s="583">
        <f t="shared" si="73"/>
        <v>28142.385386228023</v>
      </c>
      <c r="T120" s="555">
        <f t="shared" si="74"/>
        <v>9.2384333858453136</v>
      </c>
      <c r="U120" s="559">
        <f t="shared" si="75"/>
        <v>154.50490219883392</v>
      </c>
      <c r="V120" s="582">
        <f t="shared" si="76"/>
        <v>1427.3832467504724</v>
      </c>
      <c r="W120" s="555">
        <f t="shared" si="77"/>
        <v>6.1300095909623922</v>
      </c>
      <c r="X120" s="559">
        <f t="shared" si="78"/>
        <v>37.9060089869281</v>
      </c>
      <c r="Y120" s="582">
        <f t="shared" si="79"/>
        <v>232.36419864497589</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25381.183910064861</v>
      </c>
      <c r="I121" s="553">
        <f>ITECountywide!$B$9*E121</f>
        <v>102.5014286769441</v>
      </c>
      <c r="J121" s="562">
        <f t="shared" si="67"/>
        <v>1.67</v>
      </c>
      <c r="K121" s="416">
        <f t="shared" si="68"/>
        <v>0.85824475890316576</v>
      </c>
      <c r="L121" s="554">
        <f>Passby_Length_Adj!H116</f>
        <v>0.4689899613519371</v>
      </c>
      <c r="M121" s="554">
        <f>Passby_Length_Adj!J116</f>
        <v>1</v>
      </c>
      <c r="N121" s="416">
        <v>0.5</v>
      </c>
      <c r="O121" s="546">
        <f t="shared" si="69"/>
        <v>0.23449498067596855</v>
      </c>
      <c r="P121" s="555">
        <f t="shared" si="70"/>
        <v>157.4117958558968</v>
      </c>
      <c r="Q121" s="556">
        <f t="shared" si="71"/>
        <v>94.258560392752571</v>
      </c>
      <c r="R121" s="561">
        <f t="shared" si="72"/>
        <v>254.27556818181819</v>
      </c>
      <c r="S121" s="583">
        <f t="shared" si="73"/>
        <v>23967.648999867382</v>
      </c>
      <c r="T121" s="555">
        <f t="shared" si="74"/>
        <v>7.867973011589644</v>
      </c>
      <c r="U121" s="559">
        <f t="shared" si="75"/>
        <v>154.50490219883392</v>
      </c>
      <c r="V121" s="582">
        <f t="shared" si="76"/>
        <v>1215.6404006587227</v>
      </c>
      <c r="W121" s="555">
        <f t="shared" si="77"/>
        <v>5.2206632886886029</v>
      </c>
      <c r="X121" s="559">
        <f t="shared" si="78"/>
        <v>37.9060089869281</v>
      </c>
      <c r="Y121" s="582">
        <f t="shared" si="79"/>
        <v>197.89450953875578</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9448.0708172038867</v>
      </c>
      <c r="I122" s="553">
        <f>ITECountywide!$B$9*E122</f>
        <v>163.27725367319408</v>
      </c>
      <c r="J122" s="562">
        <f t="shared" si="67"/>
        <v>1.67</v>
      </c>
      <c r="K122" s="416">
        <f t="shared" si="68"/>
        <v>0.85824475890316576</v>
      </c>
      <c r="L122" s="554">
        <f>Passby_Length_Adj!H117</f>
        <v>0.3846286671810874</v>
      </c>
      <c r="M122" s="554">
        <f>Passby_Length_Adj!J117</f>
        <v>0.28494260634706281</v>
      </c>
      <c r="N122" s="416">
        <v>0.5</v>
      </c>
      <c r="O122" s="546">
        <f t="shared" si="69"/>
        <v>5.4798547451188014E-2</v>
      </c>
      <c r="P122" s="555">
        <f t="shared" si="70"/>
        <v>58.596076525807462</v>
      </c>
      <c r="Q122" s="556">
        <f t="shared" si="71"/>
        <v>35.087470973537407</v>
      </c>
      <c r="R122" s="561">
        <f t="shared" si="72"/>
        <v>254.27556818181819</v>
      </c>
      <c r="S122" s="583">
        <f t="shared" si="73"/>
        <v>8921.886617859278</v>
      </c>
      <c r="T122" s="555">
        <f t="shared" si="74"/>
        <v>2.9288297372081842</v>
      </c>
      <c r="U122" s="559">
        <f t="shared" si="75"/>
        <v>154.50490219883392</v>
      </c>
      <c r="V122" s="582">
        <f t="shared" si="76"/>
        <v>452.51855210438697</v>
      </c>
      <c r="W122" s="555">
        <f t="shared" si="77"/>
        <v>1.9433765043854643</v>
      </c>
      <c r="X122" s="559">
        <f t="shared" si="78"/>
        <v>37.9060089869281</v>
      </c>
      <c r="Y122" s="582">
        <f t="shared" si="79"/>
        <v>73.665647240220324</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11449.282975199556</v>
      </c>
      <c r="I123" s="553">
        <f>ITECountywide!$B$9*E123</f>
        <v>197.86129008621077</v>
      </c>
      <c r="J123" s="562">
        <f t="shared" si="67"/>
        <v>1.67</v>
      </c>
      <c r="K123" s="416">
        <f t="shared" si="68"/>
        <v>0.85824475890316576</v>
      </c>
      <c r="L123" s="554">
        <f>Passby_Length_Adj!H118</f>
        <v>0.3846286671810874</v>
      </c>
      <c r="M123" s="554">
        <f>Passby_Length_Adj!J118</f>
        <v>0.28494260634706281</v>
      </c>
      <c r="N123" s="416">
        <v>0.5</v>
      </c>
      <c r="O123" s="546">
        <f t="shared" si="69"/>
        <v>5.4798547451188014E-2</v>
      </c>
      <c r="P123" s="555">
        <f t="shared" si="70"/>
        <v>71.007412450678771</v>
      </c>
      <c r="Q123" s="556">
        <f t="shared" si="71"/>
        <v>42.51940865310106</v>
      </c>
      <c r="R123" s="561">
        <f t="shared" si="72"/>
        <v>254.27556818181819</v>
      </c>
      <c r="S123" s="583">
        <f t="shared" si="73"/>
        <v>10811.646794022188</v>
      </c>
      <c r="T123" s="555">
        <f t="shared" si="74"/>
        <v>3.5491902099649799</v>
      </c>
      <c r="U123" s="559">
        <f t="shared" si="75"/>
        <v>154.50490219883392</v>
      </c>
      <c r="V123" s="582">
        <f t="shared" si="76"/>
        <v>548.36728627569801</v>
      </c>
      <c r="W123" s="555">
        <f t="shared" si="77"/>
        <v>2.355006430047927</v>
      </c>
      <c r="X123" s="559">
        <f t="shared" si="78"/>
        <v>37.9060089869281</v>
      </c>
      <c r="Y123" s="582">
        <f t="shared" si="79"/>
        <v>89.26889490167018</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113418.659134808</v>
      </c>
      <c r="I124" s="553">
        <f>ITECountywide!$B$9*E124</f>
        <v>458.03909861474403</v>
      </c>
      <c r="J124" s="562">
        <f t="shared" si="67"/>
        <v>1.67</v>
      </c>
      <c r="K124" s="416">
        <f t="shared" si="68"/>
        <v>0.85824475890316576</v>
      </c>
      <c r="L124" s="554">
        <f>Passby_Length_Adj!H119</f>
        <v>0.4689899613519371</v>
      </c>
      <c r="M124" s="554">
        <f>Passby_Length_Adj!J119</f>
        <v>1</v>
      </c>
      <c r="N124" s="416">
        <v>0.5</v>
      </c>
      <c r="O124" s="546">
        <f t="shared" si="69"/>
        <v>0.23449498067596855</v>
      </c>
      <c r="P124" s="555">
        <f t="shared" si="70"/>
        <v>703.41221596437003</v>
      </c>
      <c r="Q124" s="556">
        <f t="shared" si="71"/>
        <v>421.20491973914375</v>
      </c>
      <c r="R124" s="561">
        <f t="shared" si="72"/>
        <v>254.27556818181819</v>
      </c>
      <c r="S124" s="583">
        <f t="shared" si="73"/>
        <v>107102.12028764791</v>
      </c>
      <c r="T124" s="555">
        <f t="shared" si="74"/>
        <v>35.158917418721543</v>
      </c>
      <c r="U124" s="559">
        <f t="shared" si="75"/>
        <v>154.50490219883392</v>
      </c>
      <c r="V124" s="582">
        <f t="shared" si="76"/>
        <v>5432.2250971964504</v>
      </c>
      <c r="W124" s="555">
        <f t="shared" si="77"/>
        <v>23.329117825846332</v>
      </c>
      <c r="X124" s="559">
        <f t="shared" si="78"/>
        <v>37.9060089869281</v>
      </c>
      <c r="Y124" s="582">
        <f t="shared" si="79"/>
        <v>884.31374996363559</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2827.6120005907819</v>
      </c>
      <c r="I125" s="553">
        <f>ITECountywide!$B$9*E125</f>
        <v>11.419257306184756</v>
      </c>
      <c r="J125" s="562">
        <f t="shared" si="67"/>
        <v>1.67</v>
      </c>
      <c r="K125" s="416">
        <f t="shared" si="68"/>
        <v>0.85824475890316576</v>
      </c>
      <c r="L125" s="554">
        <f>Passby_Length_Adj!H120</f>
        <v>0.4689899613519371</v>
      </c>
      <c r="M125" s="554">
        <f>Passby_Length_Adj!J120</f>
        <v>1</v>
      </c>
      <c r="N125" s="416">
        <v>0.5</v>
      </c>
      <c r="O125" s="546">
        <f t="shared" si="69"/>
        <v>0.23449498067596855</v>
      </c>
      <c r="P125" s="555">
        <f t="shared" si="70"/>
        <v>17.536592641771001</v>
      </c>
      <c r="Q125" s="556">
        <f t="shared" si="71"/>
        <v>10.500953677707187</v>
      </c>
      <c r="R125" s="561">
        <f t="shared" si="72"/>
        <v>254.27556818181819</v>
      </c>
      <c r="S125" s="583">
        <f t="shared" si="73"/>
        <v>2670.1359628499486</v>
      </c>
      <c r="T125" s="555">
        <f t="shared" si="74"/>
        <v>0.87653810739194993</v>
      </c>
      <c r="U125" s="559">
        <f t="shared" si="75"/>
        <v>154.50490219883392</v>
      </c>
      <c r="V125" s="582">
        <f t="shared" si="76"/>
        <v>135.4294345561442</v>
      </c>
      <c r="W125" s="555">
        <f t="shared" si="77"/>
        <v>0.58161235576902226</v>
      </c>
      <c r="X125" s="559">
        <f t="shared" si="78"/>
        <v>37.9060089869281</v>
      </c>
      <c r="Y125" s="582">
        <f t="shared" si="79"/>
        <v>22.04660318468898</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37357.742339076984</v>
      </c>
      <c r="I126" s="553">
        <f>ITECountywide!$B$9*E126</f>
        <v>183.95879746106203</v>
      </c>
      <c r="J126" s="562">
        <f t="shared" si="67"/>
        <v>1.67</v>
      </c>
      <c r="K126" s="416">
        <f t="shared" si="68"/>
        <v>0.85824475890316576</v>
      </c>
      <c r="L126" s="554">
        <f>Passby_Length_Adj!H121</f>
        <v>0.3846286671810874</v>
      </c>
      <c r="M126" s="554">
        <f>Passby_Length_Adj!J121</f>
        <v>1</v>
      </c>
      <c r="N126" s="416">
        <v>0.5</v>
      </c>
      <c r="O126" s="546">
        <f t="shared" si="69"/>
        <v>0.1923143335905437</v>
      </c>
      <c r="P126" s="555">
        <f t="shared" si="70"/>
        <v>231.6893227499942</v>
      </c>
      <c r="Q126" s="556">
        <f t="shared" si="71"/>
        <v>138.73612140718217</v>
      </c>
      <c r="R126" s="561">
        <f t="shared" si="72"/>
        <v>254.27556818181819</v>
      </c>
      <c r="S126" s="583">
        <f t="shared" si="73"/>
        <v>35277.206098152958</v>
      </c>
      <c r="T126" s="555">
        <f t="shared" si="74"/>
        <v>11.580614582017986</v>
      </c>
      <c r="U126" s="559">
        <f t="shared" si="75"/>
        <v>154.50490219883392</v>
      </c>
      <c r="V126" s="582">
        <f t="shared" si="76"/>
        <v>1789.2617233970789</v>
      </c>
      <c r="W126" s="555">
        <f t="shared" si="77"/>
        <v>7.6841251640971482</v>
      </c>
      <c r="X126" s="559">
        <f t="shared" si="78"/>
        <v>37.9060089869281</v>
      </c>
      <c r="Y126" s="582">
        <f t="shared" si="79"/>
        <v>291.27451752694685</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1272.2590920590933</v>
      </c>
      <c r="I128" s="553">
        <f>ITECountywide!$B$9*E128</f>
        <v>21.986601765717634</v>
      </c>
      <c r="J128" s="562">
        <f t="shared" ref="J128:J137" si="80">IF(F128="Prod",$M$3,$M$4)</f>
        <v>1.67</v>
      </c>
      <c r="K128" s="416">
        <f t="shared" ref="K128:K137" si="81">IF(F128="Prod",$F$4,$F$5)</f>
        <v>0.85824475890316576</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7.8904352604134615</v>
      </c>
      <c r="Q128" s="556">
        <f t="shared" ref="Q128:Q137" si="84">+P128/J128</f>
        <v>4.7248115331817138</v>
      </c>
      <c r="R128" s="561">
        <f t="shared" ref="R128:R137" si="85">+$Q$4</f>
        <v>254.27556818181819</v>
      </c>
      <c r="S128" s="583">
        <f t="shared" ref="S128:S137" si="86">+Q128*R128</f>
        <v>1201.4041371517878</v>
      </c>
      <c r="T128" s="555">
        <f t="shared" ref="T128:T137" si="87">IF($F128="Prod",$I128*$O128*$G$4*$G$6,$I128*$O128*$G$5*$G$7)</f>
        <v>0.39439059405345561</v>
      </c>
      <c r="U128" s="559">
        <f t="shared" ref="U128:U137" si="88">+$R$4</f>
        <v>154.50490219883392</v>
      </c>
      <c r="V128" s="582">
        <f t="shared" ref="V128:V137" si="89">+T128*U128</f>
        <v>60.935280162369168</v>
      </c>
      <c r="W128" s="555">
        <f t="shared" ref="W128:W137" si="90">IF($F128="Prod",$I128*$O128*$J$4*$J$6,$I128*$O128*$J$5*$J$7)</f>
        <v>0.26169135211140859</v>
      </c>
      <c r="X128" s="559">
        <f t="shared" ref="X128:X137" si="91">$S$4</f>
        <v>37.9060089869281</v>
      </c>
      <c r="Y128" s="582">
        <f t="shared" ref="Y128:Y137" si="92">+W128*X128</f>
        <v>9.9196747449364207</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10491.67988282532</v>
      </c>
      <c r="I129" s="553">
        <f>ITECountywide!$B$9*E129</f>
        <v>181.31242989486685</v>
      </c>
      <c r="J129" s="562">
        <f t="shared" si="80"/>
        <v>1.67</v>
      </c>
      <c r="K129" s="416">
        <f t="shared" si="81"/>
        <v>0.85824475890316576</v>
      </c>
      <c r="L129" s="554">
        <f>Passby_Length_Adj!H124</f>
        <v>0.3846286671810874</v>
      </c>
      <c r="M129" s="554">
        <f>Passby_Length_Adj!J124</f>
        <v>0.28494260634706281</v>
      </c>
      <c r="N129" s="416">
        <v>0.5</v>
      </c>
      <c r="O129" s="546">
        <f t="shared" si="82"/>
        <v>5.4798547451188014E-2</v>
      </c>
      <c r="P129" s="555">
        <f t="shared" si="83"/>
        <v>65.068445102980931</v>
      </c>
      <c r="Q129" s="556">
        <f t="shared" si="84"/>
        <v>38.963140780228102</v>
      </c>
      <c r="R129" s="557">
        <f t="shared" si="85"/>
        <v>254.27556818181819</v>
      </c>
      <c r="S129" s="582">
        <f t="shared" si="86"/>
        <v>9907.3747600406714</v>
      </c>
      <c r="T129" s="555">
        <f t="shared" si="87"/>
        <v>3.2523405707474988</v>
      </c>
      <c r="U129" s="559">
        <f t="shared" si="88"/>
        <v>154.50490219883392</v>
      </c>
      <c r="V129" s="582">
        <f t="shared" si="89"/>
        <v>502.50256180064201</v>
      </c>
      <c r="W129" s="555">
        <f t="shared" si="90"/>
        <v>2.1580367643614347</v>
      </c>
      <c r="X129" s="559">
        <f t="shared" si="91"/>
        <v>37.9060089869281</v>
      </c>
      <c r="Y129" s="582">
        <f t="shared" si="92"/>
        <v>81.80256098400578</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30860.903711776664</v>
      </c>
      <c r="I130" s="553">
        <f>ITECountywide!$B$9*E130</f>
        <v>151.96675119849681</v>
      </c>
      <c r="J130" s="562">
        <f t="shared" si="80"/>
        <v>1.67</v>
      </c>
      <c r="K130" s="416">
        <f t="shared" si="81"/>
        <v>0.85824475890316576</v>
      </c>
      <c r="L130" s="554">
        <f>Passby_Length_Adj!H125</f>
        <v>0.3846286671810874</v>
      </c>
      <c r="M130" s="554">
        <f>Passby_Length_Adj!J125</f>
        <v>1</v>
      </c>
      <c r="N130" s="416">
        <v>0.5</v>
      </c>
      <c r="O130" s="546">
        <f t="shared" si="82"/>
        <v>0.1923143335905437</v>
      </c>
      <c r="P130" s="555">
        <f t="shared" si="83"/>
        <v>191.39652004492572</v>
      </c>
      <c r="Q130" s="556">
        <f t="shared" si="84"/>
        <v>114.60869463768007</v>
      </c>
      <c r="R130" s="557">
        <f t="shared" si="85"/>
        <v>254.27556818181819</v>
      </c>
      <c r="S130" s="582">
        <f t="shared" si="86"/>
        <v>29142.190947572599</v>
      </c>
      <c r="T130" s="555">
        <f t="shared" si="87"/>
        <v>9.5666442660004716</v>
      </c>
      <c r="U130" s="559">
        <f t="shared" si="88"/>
        <v>154.50490219883392</v>
      </c>
      <c r="V130" s="582">
        <f t="shared" si="89"/>
        <v>1478.0934366894382</v>
      </c>
      <c r="W130" s="555">
        <f t="shared" si="90"/>
        <v>6.3477884890915846</v>
      </c>
      <c r="X130" s="559">
        <f t="shared" si="91"/>
        <v>37.9060089869281</v>
      </c>
      <c r="Y130" s="582">
        <f t="shared" si="92"/>
        <v>240.61932751462436</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957.04138419154731</v>
      </c>
      <c r="I131" s="553">
        <f>ITECountywide!$B$9*E131</f>
        <v>4.7127093644572007</v>
      </c>
      <c r="J131" s="562">
        <f t="shared" si="80"/>
        <v>1.67</v>
      </c>
      <c r="K131" s="416">
        <f t="shared" si="81"/>
        <v>0.85824475890316576</v>
      </c>
      <c r="L131" s="554">
        <f>Passby_Length_Adj!H126</f>
        <v>0.3846286671810874</v>
      </c>
      <c r="M131" s="554">
        <f>Passby_Length_Adj!J126</f>
        <v>1</v>
      </c>
      <c r="N131" s="416">
        <v>0.5</v>
      </c>
      <c r="O131" s="546">
        <f t="shared" si="82"/>
        <v>0.1923143335905437</v>
      </c>
      <c r="P131" s="555">
        <f t="shared" si="83"/>
        <v>5.9354836845993191</v>
      </c>
      <c r="Q131" s="556">
        <f t="shared" si="84"/>
        <v>3.5541818470654607</v>
      </c>
      <c r="R131" s="557">
        <f t="shared" si="85"/>
        <v>254.27556818181819</v>
      </c>
      <c r="S131" s="582">
        <f t="shared" si="86"/>
        <v>903.74160858407402</v>
      </c>
      <c r="T131" s="555">
        <f t="shared" si="87"/>
        <v>0.29667551397425129</v>
      </c>
      <c r="U131" s="559">
        <f t="shared" si="88"/>
        <v>154.50490219883392</v>
      </c>
      <c r="V131" s="582">
        <f t="shared" si="89"/>
        <v>45.837821271380484</v>
      </c>
      <c r="W131" s="555">
        <f t="shared" si="90"/>
        <v>0.19685412776285927</v>
      </c>
      <c r="X131" s="559">
        <f t="shared" si="91"/>
        <v>37.9060089869281</v>
      </c>
      <c r="Y131" s="582">
        <f t="shared" si="92"/>
        <v>7.4619543360928358</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11766.036681548976</v>
      </c>
      <c r="I132" s="553">
        <f>ITECountywide!$B$9*E132</f>
        <v>203.3352832710803</v>
      </c>
      <c r="J132" s="562">
        <f t="shared" si="80"/>
        <v>1.67</v>
      </c>
      <c r="K132" s="416">
        <f t="shared" si="81"/>
        <v>0.85824475890316576</v>
      </c>
      <c r="L132" s="554">
        <f>Passby_Length_Adj!H127</f>
        <v>0.3846286671810874</v>
      </c>
      <c r="M132" s="554">
        <f>Passby_Length_Adj!J127</f>
        <v>0.28494260634706281</v>
      </c>
      <c r="N132" s="416">
        <v>0.5</v>
      </c>
      <c r="O132" s="546">
        <f t="shared" si="82"/>
        <v>5.4798547451188014E-2</v>
      </c>
      <c r="P132" s="555">
        <f t="shared" si="83"/>
        <v>72.971890149479151</v>
      </c>
      <c r="Q132" s="556">
        <f t="shared" si="84"/>
        <v>43.695742604478532</v>
      </c>
      <c r="R132" s="557">
        <f t="shared" si="85"/>
        <v>254.27556818181819</v>
      </c>
      <c r="S132" s="582">
        <f t="shared" si="86"/>
        <v>11110.759777880259</v>
      </c>
      <c r="T132" s="555">
        <f t="shared" si="87"/>
        <v>3.6473814378331939</v>
      </c>
      <c r="U132" s="559">
        <f t="shared" si="88"/>
        <v>154.50490219883392</v>
      </c>
      <c r="V132" s="582">
        <f t="shared" si="89"/>
        <v>563.5383123342599</v>
      </c>
      <c r="W132" s="555">
        <f t="shared" si="90"/>
        <v>2.4201595943823424</v>
      </c>
      <c r="X132" s="559">
        <f t="shared" si="91"/>
        <v>37.9060089869281</v>
      </c>
      <c r="Y132" s="582">
        <f t="shared" si="92"/>
        <v>91.73859133445734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458.34890620760416</v>
      </c>
      <c r="I133" s="553">
        <f>ITECountywide!$B$9*E133</f>
        <v>7.9209768933376798</v>
      </c>
      <c r="J133" s="562">
        <f t="shared" si="80"/>
        <v>1.67</v>
      </c>
      <c r="K133" s="416">
        <f t="shared" si="81"/>
        <v>0.85824475890316576</v>
      </c>
      <c r="L133" s="554">
        <f>Passby_Length_Adj!H128</f>
        <v>0.3846286671810874</v>
      </c>
      <c r="M133" s="554">
        <f>Passby_Length_Adj!J128</f>
        <v>0.28494260634706281</v>
      </c>
      <c r="N133" s="416">
        <v>0.5</v>
      </c>
      <c r="O133" s="546">
        <f t="shared" si="82"/>
        <v>5.4798547451188014E-2</v>
      </c>
      <c r="P133" s="555">
        <f t="shared" si="83"/>
        <v>2.8426382595224098</v>
      </c>
      <c r="Q133" s="556">
        <f t="shared" si="84"/>
        <v>1.7021785985164131</v>
      </c>
      <c r="R133" s="557">
        <f t="shared" si="85"/>
        <v>254.27556818181819</v>
      </c>
      <c r="S133" s="582">
        <f t="shared" si="86"/>
        <v>432.8224302846919</v>
      </c>
      <c r="T133" s="555">
        <f t="shared" si="87"/>
        <v>0.14208465754440239</v>
      </c>
      <c r="U133" s="559">
        <f t="shared" si="88"/>
        <v>154.50490219883392</v>
      </c>
      <c r="V133" s="582">
        <f t="shared" si="89"/>
        <v>21.9527761178527</v>
      </c>
      <c r="W133" s="555">
        <f t="shared" si="90"/>
        <v>9.4277923225626989E-2</v>
      </c>
      <c r="X133" s="559">
        <f t="shared" si="91"/>
        <v>37.9060089869281</v>
      </c>
      <c r="Y133" s="582">
        <f t="shared" si="92"/>
        <v>3.5736998050595341</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34389.862354254401</v>
      </c>
      <c r="I134" s="553">
        <f>ITECountywide!$B$9*E134</f>
        <v>627.56975509846791</v>
      </c>
      <c r="J134" s="562">
        <f t="shared" si="80"/>
        <v>1.67</v>
      </c>
      <c r="K134" s="416">
        <f t="shared" si="81"/>
        <v>0.85824475890316576</v>
      </c>
      <c r="L134" s="554">
        <f>Passby_Length_Adj!H129</f>
        <v>0.3846286671810874</v>
      </c>
      <c r="M134" s="554">
        <f>Passby_Length_Adj!J129</f>
        <v>0.26984126984126988</v>
      </c>
      <c r="N134" s="416">
        <v>0.5</v>
      </c>
      <c r="O134" s="546">
        <f t="shared" si="82"/>
        <v>5.1894343984749895E-2</v>
      </c>
      <c r="P134" s="555">
        <f t="shared" si="83"/>
        <v>213.28280081819281</v>
      </c>
      <c r="Q134" s="556">
        <f t="shared" si="84"/>
        <v>127.7142519869418</v>
      </c>
      <c r="R134" s="557">
        <f t="shared" si="85"/>
        <v>254.27556818181819</v>
      </c>
      <c r="S134" s="582">
        <f t="shared" si="86"/>
        <v>32474.613988895529</v>
      </c>
      <c r="T134" s="555">
        <f t="shared" si="87"/>
        <v>10.660594471649485</v>
      </c>
      <c r="U134" s="559">
        <f t="shared" si="88"/>
        <v>154.50490219883392</v>
      </c>
      <c r="V134" s="582">
        <f t="shared" si="89"/>
        <v>1647.1141062236334</v>
      </c>
      <c r="W134" s="555">
        <f t="shared" si="90"/>
        <v>7.0736610448149637</v>
      </c>
      <c r="X134" s="559">
        <f t="shared" si="91"/>
        <v>37.9060089869281</v>
      </c>
      <c r="Y134" s="582">
        <f t="shared" si="92"/>
        <v>268.13425913523923</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46777.880818346508</v>
      </c>
      <c r="I135" s="553">
        <f>ITECountywide!$B$9*E135</f>
        <v>853.63479815043024</v>
      </c>
      <c r="J135" s="562">
        <f t="shared" si="80"/>
        <v>1.67</v>
      </c>
      <c r="K135" s="416">
        <f t="shared" si="81"/>
        <v>0.85824475890316576</v>
      </c>
      <c r="L135" s="554">
        <f>Passby_Length_Adj!H130</f>
        <v>0.3846286671810874</v>
      </c>
      <c r="M135" s="554">
        <f>Passby_Length_Adj!J130</f>
        <v>0.26984126984126988</v>
      </c>
      <c r="N135" s="416">
        <v>0.5</v>
      </c>
      <c r="O135" s="546">
        <f t="shared" si="82"/>
        <v>5.1894343984749895E-2</v>
      </c>
      <c r="P135" s="555">
        <f t="shared" si="83"/>
        <v>290.11216545454732</v>
      </c>
      <c r="Q135" s="556">
        <f t="shared" si="84"/>
        <v>173.71985955362115</v>
      </c>
      <c r="R135" s="557">
        <f t="shared" si="85"/>
        <v>254.27556818181819</v>
      </c>
      <c r="S135" s="582">
        <f t="shared" si="86"/>
        <v>44172.715992462676</v>
      </c>
      <c r="T135" s="555">
        <f t="shared" si="87"/>
        <v>14.500785507966741</v>
      </c>
      <c r="U135" s="559">
        <f t="shared" si="88"/>
        <v>154.50490219883392</v>
      </c>
      <c r="V135" s="582">
        <f t="shared" si="89"/>
        <v>2240.4424467146696</v>
      </c>
      <c r="W135" s="555">
        <f t="shared" si="90"/>
        <v>9.6217562575617563</v>
      </c>
      <c r="X135" s="559">
        <f t="shared" si="91"/>
        <v>37.9060089869281</v>
      </c>
      <c r="Y135" s="582">
        <f t="shared" si="92"/>
        <v>364.7223791691676</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81485.588418632775</v>
      </c>
      <c r="I136" s="553">
        <f>ITECountywide!$B$9*E136</f>
        <v>1487.00481092823</v>
      </c>
      <c r="J136" s="562">
        <f t="shared" si="80"/>
        <v>1.67</v>
      </c>
      <c r="K136" s="416">
        <f t="shared" si="81"/>
        <v>0.85824475890316576</v>
      </c>
      <c r="L136" s="554">
        <f>Passby_Length_Adj!H131</f>
        <v>0.3846286671810874</v>
      </c>
      <c r="M136" s="554">
        <f>Passby_Length_Adj!J131</f>
        <v>0.26984126984126988</v>
      </c>
      <c r="N136" s="416">
        <v>0.5</v>
      </c>
      <c r="O136" s="546">
        <f t="shared" si="82"/>
        <v>5.1894343984749895E-2</v>
      </c>
      <c r="P136" s="555">
        <f t="shared" si="83"/>
        <v>505.36621360144704</v>
      </c>
      <c r="Q136" s="556">
        <f t="shared" si="84"/>
        <v>302.61449916254315</v>
      </c>
      <c r="R136" s="557">
        <f t="shared" si="85"/>
        <v>254.27556818181819</v>
      </c>
      <c r="S136" s="582">
        <f t="shared" si="86"/>
        <v>76947.473714612002</v>
      </c>
      <c r="T136" s="555">
        <f t="shared" si="87"/>
        <v>25.259909576442841</v>
      </c>
      <c r="U136" s="559">
        <f t="shared" si="88"/>
        <v>154.50490219883392</v>
      </c>
      <c r="V136" s="582">
        <f t="shared" si="89"/>
        <v>3902.7798586596896</v>
      </c>
      <c r="W136" s="555">
        <f t="shared" si="90"/>
        <v>16.760794985833986</v>
      </c>
      <c r="X136" s="559">
        <f t="shared" si="91"/>
        <v>37.9060089869281</v>
      </c>
      <c r="Y136" s="582">
        <f t="shared" si="92"/>
        <v>635.33484536108256</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17085.175240606823</v>
      </c>
      <c r="I137" s="566">
        <f>ITECountywide!$B$9*E137</f>
        <v>311.78197606933963</v>
      </c>
      <c r="J137" s="567">
        <f t="shared" si="80"/>
        <v>1.67</v>
      </c>
      <c r="K137" s="533">
        <f t="shared" si="81"/>
        <v>0.85824475890316576</v>
      </c>
      <c r="L137" s="568">
        <f>Passby_Length_Adj!H132</f>
        <v>0.3846286671810874</v>
      </c>
      <c r="M137" s="568">
        <f>Passby_Length_Adj!J132</f>
        <v>0.26984126984126988</v>
      </c>
      <c r="N137" s="533">
        <v>0.5</v>
      </c>
      <c r="O137" s="569">
        <f t="shared" si="82"/>
        <v>5.1894343984749895E-2</v>
      </c>
      <c r="P137" s="570">
        <f t="shared" si="83"/>
        <v>105.96070406590228</v>
      </c>
      <c r="Q137" s="571">
        <f t="shared" si="84"/>
        <v>63.449523392755857</v>
      </c>
      <c r="R137" s="572">
        <f t="shared" si="85"/>
        <v>254.27556818181819</v>
      </c>
      <c r="S137" s="585">
        <f t="shared" si="86"/>
        <v>16133.663611558561</v>
      </c>
      <c r="T137" s="570">
        <f t="shared" si="87"/>
        <v>5.2962737344205522</v>
      </c>
      <c r="U137" s="574">
        <f t="shared" si="88"/>
        <v>154.50490219883392</v>
      </c>
      <c r="V137" s="585">
        <f t="shared" si="89"/>
        <v>818.30025535490029</v>
      </c>
      <c r="W137" s="570">
        <f t="shared" si="90"/>
        <v>3.5142547910886455</v>
      </c>
      <c r="X137" s="574">
        <f t="shared" si="91"/>
        <v>37.9060089869281</v>
      </c>
      <c r="Y137" s="585">
        <f t="shared" si="92"/>
        <v>133.21137369336134</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T9:V9"/>
    <mergeCell ref="W9:Y9"/>
    <mergeCell ref="I9:O9"/>
    <mergeCell ref="P9:S9"/>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700B8-D428-4D1B-8A5C-B705AC4ED68B}">
  <sheetPr>
    <tabColor theme="9" tint="0.79998168889431442"/>
  </sheetPr>
  <dimension ref="A1:AJ161"/>
  <sheetViews>
    <sheetView topLeftCell="B1" zoomScale="75" zoomScaleNormal="75" workbookViewId="0">
      <selection activeCell="AA24" sqref="AA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42578125" style="11" customWidth="1"/>
    <col min="10" max="10" width="11.42578125" style="69" customWidth="1"/>
    <col min="11" max="11" width="11.42578125" style="12" customWidth="1"/>
    <col min="12" max="12" width="8.5703125" style="12" customWidth="1"/>
    <col min="13" max="14" width="10.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A1" s="10" t="s">
        <v>52</v>
      </c>
      <c r="G1" s="11"/>
      <c r="I1" s="69"/>
    </row>
    <row r="2" spans="1:36" ht="17.100000000000001" customHeight="1" x14ac:dyDescent="0.25">
      <c r="A2" s="10"/>
      <c r="B2" s="810" t="str">
        <f>+HYPERLINK(ContextAreas_Map!A1,"Context Area")</f>
        <v>Context Area</v>
      </c>
      <c r="C2" s="811"/>
      <c r="E2" s="814" t="s">
        <v>57</v>
      </c>
      <c r="F2" s="815"/>
      <c r="G2" s="815"/>
      <c r="H2" s="815"/>
      <c r="I2" s="815"/>
      <c r="J2" s="816"/>
      <c r="L2" s="439" t="s">
        <v>65</v>
      </c>
      <c r="M2" s="440"/>
      <c r="O2" s="817" t="s">
        <v>58</v>
      </c>
      <c r="P2" s="818"/>
      <c r="Q2" s="818"/>
      <c r="R2" s="818"/>
      <c r="S2" s="819"/>
    </row>
    <row r="3" spans="1:36" ht="17.100000000000001" customHeight="1" thickBot="1" x14ac:dyDescent="0.3">
      <c r="A3" s="10"/>
      <c r="B3" s="812"/>
      <c r="C3" s="813"/>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07" t="s">
        <v>53</v>
      </c>
      <c r="C4" s="809">
        <v>3</v>
      </c>
      <c r="E4" s="445" t="s">
        <v>67</v>
      </c>
      <c r="F4" s="518">
        <f>'2045_24hr_all_productions'!$Q$37</f>
        <v>0.89742039884879754</v>
      </c>
      <c r="G4" s="522">
        <f>'2045_24hr_all_productions'!$S$37</f>
        <v>4.6529531905146693E-2</v>
      </c>
      <c r="H4" s="519">
        <f>'2045_24hr_all_productions'!$T$37</f>
        <v>3.3575323378019842E-2</v>
      </c>
      <c r="I4" s="518">
        <f>'2045_24hr_all_productions'!$R$37</f>
        <v>2.2474745868035894E-2</v>
      </c>
      <c r="J4" s="520">
        <f>+H4+I4</f>
        <v>5.6050069246055739E-2</v>
      </c>
      <c r="K4" s="69"/>
      <c r="L4" s="444" t="s">
        <v>71</v>
      </c>
      <c r="M4" s="442">
        <f>ITECountywide!B4</f>
        <v>1.67</v>
      </c>
      <c r="O4" s="692" t="s">
        <v>120</v>
      </c>
      <c r="P4" s="680"/>
      <c r="Q4" s="681">
        <f>+RoadCapCost!L15</f>
        <v>261.71052631578948</v>
      </c>
      <c r="R4" s="681">
        <f>+TransitCapCost!AB13</f>
        <v>405.42115030277023</v>
      </c>
      <c r="S4" s="536">
        <f>+WalkBikeCapCost!$V$7</f>
        <v>37.9060089869281</v>
      </c>
      <c r="T4" s="11"/>
    </row>
    <row r="5" spans="1:36" ht="17.100000000000001" customHeight="1" thickBot="1" x14ac:dyDescent="0.3">
      <c r="B5" s="808"/>
      <c r="C5" s="806"/>
      <c r="E5" s="445" t="s">
        <v>70</v>
      </c>
      <c r="F5" s="518">
        <f>'2045_24hr_all_attractions'!$Q$37</f>
        <v>0.8974131092322899</v>
      </c>
      <c r="G5" s="522">
        <f>'2045_24hr_all_attractions'!$S$37</f>
        <v>4.6534762670377171E-2</v>
      </c>
      <c r="H5" s="519">
        <f>'2045_24hr_all_attractions'!$T$37</f>
        <v>3.3579097854721775E-2</v>
      </c>
      <c r="I5" s="518">
        <f>'2045_24hr_all_attractions'!$R$37</f>
        <v>2.2473030242611155E-2</v>
      </c>
      <c r="J5" s="520">
        <f>+H5+I5</f>
        <v>5.6052128097332926E-2</v>
      </c>
      <c r="K5" s="69"/>
      <c r="S5" s="429"/>
      <c r="T5" s="11"/>
    </row>
    <row r="6" spans="1:36" ht="17.100000000000001" customHeight="1" x14ac:dyDescent="0.25">
      <c r="B6" s="803" t="s">
        <v>54</v>
      </c>
      <c r="C6" s="805" t="s">
        <v>56</v>
      </c>
      <c r="E6" s="445" t="s">
        <v>72</v>
      </c>
      <c r="F6" s="434">
        <f>'2045_24hr_all_productions'!$M$37</f>
        <v>7.661605851491232</v>
      </c>
      <c r="G6" s="436">
        <f>'2045_24hr_all_productions'!$O$37</f>
        <v>6.0469665891790871</v>
      </c>
      <c r="H6" s="435">
        <f>'2045_24hr_all_productions'!$P$37</f>
        <v>0.94287347609121352</v>
      </c>
      <c r="I6" s="434">
        <f>'2045_24hr_all_productions'!$N$37</f>
        <v>4.693382089270548</v>
      </c>
      <c r="J6" s="447">
        <f>+((H4/J4)*H6)+(I4/J4*I6)</f>
        <v>2.4467383078553047</v>
      </c>
      <c r="K6" s="69"/>
      <c r="O6" s="69"/>
      <c r="P6" s="11"/>
      <c r="S6" s="429"/>
      <c r="U6" s="20"/>
      <c r="V6" s="422"/>
      <c r="W6" s="20"/>
      <c r="X6" s="20"/>
    </row>
    <row r="7" spans="1:36" ht="17.100000000000001" customHeight="1" thickBot="1" x14ac:dyDescent="0.3">
      <c r="B7" s="804"/>
      <c r="C7" s="806"/>
      <c r="E7" s="448" t="s">
        <v>73</v>
      </c>
      <c r="F7" s="449">
        <f>'2045_24hr_all_attractions'!$M$37</f>
        <v>7.7037596108620177</v>
      </c>
      <c r="G7" s="452">
        <f>'2045_24hr_all_attractions'!$O$37</f>
        <v>6.1469693240348233</v>
      </c>
      <c r="H7" s="451">
        <f>'2045_24hr_all_attractions'!$P$37</f>
        <v>0.94162402880424489</v>
      </c>
      <c r="I7" s="449">
        <f>'2045_24hr_all_attractions'!$N$37</f>
        <v>4.7049740443605472</v>
      </c>
      <c r="J7" s="450">
        <f>+((H5/J5)*H7)+(I5/J5*I7)</f>
        <v>2.4504673427684858</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2" t="s">
        <v>121</v>
      </c>
      <c r="C9" s="793"/>
      <c r="D9" s="793"/>
      <c r="E9" s="793"/>
      <c r="F9" s="793"/>
      <c r="G9" s="793"/>
      <c r="H9" s="793"/>
      <c r="I9" s="797" t="s">
        <v>74</v>
      </c>
      <c r="J9" s="798"/>
      <c r="K9" s="798"/>
      <c r="L9" s="798"/>
      <c r="M9" s="798"/>
      <c r="N9" s="798"/>
      <c r="O9" s="799"/>
      <c r="P9" s="794" t="s">
        <v>75</v>
      </c>
      <c r="Q9" s="795"/>
      <c r="R9" s="795"/>
      <c r="S9" s="796"/>
      <c r="T9" s="794" t="s">
        <v>61</v>
      </c>
      <c r="U9" s="795"/>
      <c r="V9" s="796"/>
      <c r="W9" s="794" t="s">
        <v>64</v>
      </c>
      <c r="X9" s="795"/>
      <c r="Y9" s="796"/>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10753.449208371063</v>
      </c>
      <c r="I12" s="553">
        <f>ITECountywide!$B$9*E12</f>
        <v>17.853918169193626</v>
      </c>
      <c r="J12" s="554">
        <f>IF(F12="Prod",$M$3,$M$4)</f>
        <v>1.67</v>
      </c>
      <c r="K12" s="416">
        <f>IF(F12="Prod",$F$4,$F$5)</f>
        <v>0.8974131092322899</v>
      </c>
      <c r="L12" s="554">
        <f>Passby_Length_Adj!H7</f>
        <v>1</v>
      </c>
      <c r="M12" s="554">
        <f>Passby_Length_Adj!J7</f>
        <v>1</v>
      </c>
      <c r="N12" s="416">
        <v>0.5</v>
      </c>
      <c r="O12" s="546">
        <f>L12*M12*N12</f>
        <v>0.5</v>
      </c>
      <c r="P12" s="555">
        <f>IF($F12="Prod",$I12*$O12*$F$4*$F$6,$I12*O12*$F$5*$F$7)</f>
        <v>61.71612871450634</v>
      </c>
      <c r="Q12" s="556">
        <f>+P12/J12</f>
        <v>36.955765697309189</v>
      </c>
      <c r="R12" s="557">
        <f>$Q$4</f>
        <v>261.71052631578948</v>
      </c>
      <c r="S12" s="582">
        <f>+Q12*R12</f>
        <v>9671.7128910457868</v>
      </c>
      <c r="T12" s="555">
        <f>IF($F12="Prod",$I12*$O12*$G$4*$G$6,$I12*$O12*$G$5*$G$7)</f>
        <v>2.5535366375846364</v>
      </c>
      <c r="U12" s="559">
        <f>+$R$4</f>
        <v>405.42115030277023</v>
      </c>
      <c r="V12" s="582">
        <f>+T12*U12</f>
        <v>1035.2577609498314</v>
      </c>
      <c r="W12" s="555">
        <f>IF($F12="Prod",$I12*$O12*$J$4*$J$6,$I12*$O12*$J$5*$J$7)</f>
        <v>1.2261527292802807</v>
      </c>
      <c r="X12" s="559">
        <f>+$S$4</f>
        <v>37.9060089869281</v>
      </c>
      <c r="Y12" s="582">
        <f>+W12*X12</f>
        <v>46.47855637544474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5414.9348297990318</v>
      </c>
      <c r="I14" s="553">
        <f>ITECountywide!$B$9*E14</f>
        <v>8.9903994029645062</v>
      </c>
      <c r="J14" s="554">
        <f t="shared" ref="J14:J20" si="1">IF(F14="Prod",$M$3,$M$4)</f>
        <v>1.67</v>
      </c>
      <c r="K14" s="416">
        <f t="shared" ref="K14:K20" si="2">IF(F14="Prod",$F$4,$F$5)</f>
        <v>0.8974131092322899</v>
      </c>
      <c r="L14" s="554">
        <f>Passby_Length_Adj!H9</f>
        <v>1</v>
      </c>
      <c r="M14" s="554">
        <f>Passby_Length_Adj!J9</f>
        <v>1</v>
      </c>
      <c r="N14" s="416">
        <v>0.5</v>
      </c>
      <c r="O14" s="546">
        <f t="shared" ref="O14:O20" si="3">L14*M14*N14</f>
        <v>0.5</v>
      </c>
      <c r="P14" s="555">
        <f t="shared" ref="P14:P20" si="4">IF($F14="Prod",$I14*$O14*$F$4*$F$6,$I14*O14*$F$5*$F$7)</f>
        <v>31.077360246086439</v>
      </c>
      <c r="Q14" s="556">
        <f t="shared" ref="Q14:Q79" si="5">+P14/J14</f>
        <v>18.609197752147569</v>
      </c>
      <c r="R14" s="561">
        <f t="shared" ref="R14:R20" si="6">$Q$4</f>
        <v>261.71052631578948</v>
      </c>
      <c r="S14" s="582">
        <f t="shared" ref="S14:S20" si="7">+Q14*R14</f>
        <v>4870.2229380291465</v>
      </c>
      <c r="T14" s="555">
        <f t="shared" ref="T14:T20" si="8">IF($F14="Prod",$I14*$O14*$G$4*$G$6,$I14*$O14*$G$5*$G$7)</f>
        <v>1.2858417992304363</v>
      </c>
      <c r="U14" s="559">
        <f t="shared" ref="U14:U20" si="9">+$R$4</f>
        <v>405.42115030277023</v>
      </c>
      <c r="V14" s="582">
        <f t="shared" ref="V14:V20" si="10">+T14*U14</f>
        <v>521.30746135138725</v>
      </c>
      <c r="W14" s="555">
        <f t="shared" ref="W14:W20" si="11">IF($F14="Prod",$I14*$O14*$J$4*$J$6,$I14*$O14*$J$5*$J$7)</f>
        <v>0.61743325251067949</v>
      </c>
      <c r="X14" s="559">
        <f t="shared" ref="X14:X20" si="12">+$S$4</f>
        <v>37.9060089869281</v>
      </c>
      <c r="Y14" s="582">
        <f t="shared" ref="Y14:Y20" si="13">+W14*X14</f>
        <v>23.404430418498062</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3679.0988662142618</v>
      </c>
      <c r="I15" s="553">
        <f>ITECountywide!$B$9*E15</f>
        <v>6.1083963685464484</v>
      </c>
      <c r="J15" s="554">
        <f t="shared" si="1"/>
        <v>1.67</v>
      </c>
      <c r="K15" s="416">
        <f t="shared" si="2"/>
        <v>0.8974131092322899</v>
      </c>
      <c r="L15" s="554">
        <f>Passby_Length_Adj!H10</f>
        <v>1</v>
      </c>
      <c r="M15" s="554">
        <f>Passby_Length_Adj!J10</f>
        <v>1</v>
      </c>
      <c r="N15" s="416">
        <v>0.5</v>
      </c>
      <c r="O15" s="546">
        <f t="shared" si="3"/>
        <v>0.5</v>
      </c>
      <c r="P15" s="555">
        <f t="shared" si="4"/>
        <v>21.115061296232117</v>
      </c>
      <c r="Q15" s="556">
        <f t="shared" si="5"/>
        <v>12.643749279180909</v>
      </c>
      <c r="R15" s="561">
        <f t="shared" si="6"/>
        <v>261.71052631578948</v>
      </c>
      <c r="S15" s="582">
        <f t="shared" si="7"/>
        <v>3309.0022784593198</v>
      </c>
      <c r="T15" s="555">
        <f t="shared" si="8"/>
        <v>0.87364654504164718</v>
      </c>
      <c r="U15" s="559">
        <f t="shared" si="9"/>
        <v>405.42115030277023</v>
      </c>
      <c r="V15" s="582">
        <f t="shared" si="10"/>
        <v>354.19478724882555</v>
      </c>
      <c r="W15" s="555">
        <f t="shared" si="11"/>
        <v>0.41950606067761881</v>
      </c>
      <c r="X15" s="559">
        <f t="shared" si="12"/>
        <v>37.9060089869281</v>
      </c>
      <c r="Y15" s="582">
        <f t="shared" si="13"/>
        <v>15.901800506116624</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4290.4624760302813</v>
      </c>
      <c r="I16" s="553">
        <f>ITECountywide!$B$9*E16</f>
        <v>7.1234414624295379</v>
      </c>
      <c r="J16" s="554">
        <f t="shared" si="1"/>
        <v>1.67</v>
      </c>
      <c r="K16" s="416">
        <f t="shared" si="2"/>
        <v>0.8974131092322899</v>
      </c>
      <c r="L16" s="554">
        <f>Passby_Length_Adj!H11</f>
        <v>1</v>
      </c>
      <c r="M16" s="554">
        <f>Passby_Length_Adj!J11</f>
        <v>1</v>
      </c>
      <c r="N16" s="416">
        <v>0.5</v>
      </c>
      <c r="O16" s="546">
        <f t="shared" si="3"/>
        <v>0.5</v>
      </c>
      <c r="P16" s="555">
        <f t="shared" si="4"/>
        <v>24.623795517564457</v>
      </c>
      <c r="Q16" s="556">
        <f t="shared" si="5"/>
        <v>14.744787735068538</v>
      </c>
      <c r="R16" s="561">
        <f t="shared" si="6"/>
        <v>261.71052631578948</v>
      </c>
      <c r="S16" s="582">
        <f t="shared" si="7"/>
        <v>3858.8661585593845</v>
      </c>
      <c r="T16" s="555">
        <f t="shared" si="8"/>
        <v>1.0188222320515352</v>
      </c>
      <c r="U16" s="559">
        <f t="shared" si="9"/>
        <v>405.42115030277023</v>
      </c>
      <c r="V16" s="582">
        <f t="shared" si="10"/>
        <v>413.05208127236932</v>
      </c>
      <c r="W16" s="555">
        <f t="shared" si="11"/>
        <v>0.48921626660624395</v>
      </c>
      <c r="X16" s="559">
        <f t="shared" si="12"/>
        <v>37.9060089869281</v>
      </c>
      <c r="Y16" s="582">
        <f t="shared" si="13"/>
        <v>18.544236198527695</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1899.5940733569182</v>
      </c>
      <c r="I17" s="553">
        <f>ITECountywide!$B$9*E17</f>
        <v>3.1538901131367418</v>
      </c>
      <c r="J17" s="554">
        <f t="shared" si="1"/>
        <v>1.67</v>
      </c>
      <c r="K17" s="416">
        <f t="shared" si="2"/>
        <v>0.8974131092322899</v>
      </c>
      <c r="L17" s="554">
        <f>Passby_Length_Adj!H12</f>
        <v>1</v>
      </c>
      <c r="M17" s="554">
        <f>Passby_Length_Adj!J12</f>
        <v>1</v>
      </c>
      <c r="N17" s="416">
        <v>0.5</v>
      </c>
      <c r="O17" s="546">
        <f t="shared" si="3"/>
        <v>0.5</v>
      </c>
      <c r="P17" s="555">
        <f t="shared" si="4"/>
        <v>10.902138473425483</v>
      </c>
      <c r="Q17" s="556">
        <f t="shared" si="5"/>
        <v>6.5282266307937027</v>
      </c>
      <c r="R17" s="561">
        <f t="shared" si="6"/>
        <v>261.71052631578948</v>
      </c>
      <c r="S17" s="582">
        <f t="shared" si="7"/>
        <v>1708.5056274537731</v>
      </c>
      <c r="T17" s="555">
        <f t="shared" si="8"/>
        <v>0.45108159892358041</v>
      </c>
      <c r="U17" s="559">
        <f t="shared" si="9"/>
        <v>405.42115030277023</v>
      </c>
      <c r="V17" s="582">
        <f t="shared" si="10"/>
        <v>182.87802071601081</v>
      </c>
      <c r="W17" s="555">
        <f t="shared" si="11"/>
        <v>0.2165995684210851</v>
      </c>
      <c r="X17" s="559">
        <f t="shared" si="12"/>
        <v>37.9060089869281</v>
      </c>
      <c r="Y17" s="582">
        <f t="shared" si="13"/>
        <v>8.2104251871343994</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1648.4983050396245</v>
      </c>
      <c r="I18" s="553">
        <f>ITECountywide!$B$9*E18</f>
        <v>2.736996592434759</v>
      </c>
      <c r="J18" s="562">
        <f t="shared" si="1"/>
        <v>1.67</v>
      </c>
      <c r="K18" s="416">
        <f t="shared" si="2"/>
        <v>0.8974131092322899</v>
      </c>
      <c r="L18" s="554">
        <f>Passby_Length_Adj!H13</f>
        <v>1</v>
      </c>
      <c r="M18" s="554">
        <f>Passby_Length_Adj!J13</f>
        <v>1</v>
      </c>
      <c r="N18" s="416">
        <v>0.5</v>
      </c>
      <c r="O18" s="546">
        <f t="shared" si="3"/>
        <v>0.5</v>
      </c>
      <c r="P18" s="555">
        <f t="shared" si="4"/>
        <v>9.461051203949701</v>
      </c>
      <c r="Q18" s="556">
        <f t="shared" si="5"/>
        <v>5.6653001221255694</v>
      </c>
      <c r="R18" s="561">
        <f t="shared" si="6"/>
        <v>261.71052631578948</v>
      </c>
      <c r="S18" s="582">
        <f t="shared" si="7"/>
        <v>1482.6686766983892</v>
      </c>
      <c r="T18" s="555">
        <f t="shared" si="8"/>
        <v>0.39145587033023366</v>
      </c>
      <c r="U18" s="559">
        <f t="shared" si="9"/>
        <v>405.42115030277023</v>
      </c>
      <c r="V18" s="582">
        <f t="shared" si="10"/>
        <v>158.70448924205539</v>
      </c>
      <c r="W18" s="555">
        <f t="shared" si="11"/>
        <v>0.1879685909861141</v>
      </c>
      <c r="X18" s="559">
        <f t="shared" si="12"/>
        <v>37.9060089869281</v>
      </c>
      <c r="Y18" s="582">
        <f t="shared" si="13"/>
        <v>7.1251390991798536</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1080.8035244961777</v>
      </c>
      <c r="I19" s="553">
        <f>ITECountywide!$B$9*E19</f>
        <v>1.7944547195433187</v>
      </c>
      <c r="J19" s="554">
        <f t="shared" si="1"/>
        <v>1.67</v>
      </c>
      <c r="K19" s="416">
        <f t="shared" si="2"/>
        <v>0.8974131092322899</v>
      </c>
      <c r="L19" s="554">
        <f>Passby_Length_Adj!H14</f>
        <v>1</v>
      </c>
      <c r="M19" s="554">
        <f>Passby_Length_Adj!J14</f>
        <v>1</v>
      </c>
      <c r="N19" s="416">
        <v>0.5</v>
      </c>
      <c r="O19" s="546">
        <f t="shared" si="3"/>
        <v>0.5</v>
      </c>
      <c r="P19" s="555">
        <f t="shared" si="4"/>
        <v>6.2029408555696719</v>
      </c>
      <c r="Q19" s="556">
        <f t="shared" si="5"/>
        <v>3.7143358416584862</v>
      </c>
      <c r="R19" s="561">
        <f t="shared" si="6"/>
        <v>261.71052631578948</v>
      </c>
      <c r="S19" s="582">
        <f t="shared" si="7"/>
        <v>972.08078803404328</v>
      </c>
      <c r="T19" s="555">
        <f t="shared" si="8"/>
        <v>0.25664987524962335</v>
      </c>
      <c r="U19" s="559">
        <f t="shared" si="9"/>
        <v>405.42115030277023</v>
      </c>
      <c r="V19" s="582">
        <f t="shared" si="10"/>
        <v>104.05128764876477</v>
      </c>
      <c r="W19" s="555">
        <f t="shared" si="11"/>
        <v>0.12323768548096223</v>
      </c>
      <c r="X19" s="559">
        <f t="shared" si="12"/>
        <v>37.9060089869281</v>
      </c>
      <c r="Y19" s="582">
        <f t="shared" si="13"/>
        <v>4.6714488133695724</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14454.382489221607</v>
      </c>
      <c r="I20" s="553">
        <f>ITECountywide!$B$9*E20</f>
        <v>23.998566148235899</v>
      </c>
      <c r="J20" s="554">
        <f t="shared" si="1"/>
        <v>1.67</v>
      </c>
      <c r="K20" s="416">
        <f t="shared" si="2"/>
        <v>0.8974131092322899</v>
      </c>
      <c r="L20" s="554">
        <f>Passby_Length_Adj!H15</f>
        <v>1</v>
      </c>
      <c r="M20" s="554">
        <f>Passby_Length_Adj!J15</f>
        <v>1</v>
      </c>
      <c r="N20" s="416">
        <v>0.5</v>
      </c>
      <c r="O20" s="546">
        <f t="shared" si="3"/>
        <v>0.5</v>
      </c>
      <c r="P20" s="555">
        <f t="shared" si="4"/>
        <v>82.956501947214605</v>
      </c>
      <c r="Q20" s="556">
        <f t="shared" si="5"/>
        <v>49.674552064200363</v>
      </c>
      <c r="R20" s="561">
        <f t="shared" si="6"/>
        <v>261.71052631578948</v>
      </c>
      <c r="S20" s="582">
        <f t="shared" si="7"/>
        <v>13000.353165222963</v>
      </c>
      <c r="T20" s="555">
        <f t="shared" si="8"/>
        <v>3.4323680285909228</v>
      </c>
      <c r="U20" s="559">
        <f t="shared" si="9"/>
        <v>405.42115030277023</v>
      </c>
      <c r="V20" s="582">
        <f t="shared" si="10"/>
        <v>1391.5545944137837</v>
      </c>
      <c r="W20" s="555">
        <f t="shared" si="11"/>
        <v>1.648148440169636</v>
      </c>
      <c r="X20" s="559">
        <f t="shared" si="12"/>
        <v>37.9060089869281</v>
      </c>
      <c r="Y20" s="582">
        <f t="shared" si="13"/>
        <v>62.474729584861755</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10238.879044885038</v>
      </c>
      <c r="I22" s="553">
        <f>ITECountywide!$B$9*E22</f>
        <v>17.110760154029219</v>
      </c>
      <c r="J22" s="554">
        <f t="shared" ref="J22:J35" si="14">IF(F22="Prod",$M$3,$M$4)</f>
        <v>1.67</v>
      </c>
      <c r="K22" s="416">
        <f t="shared" ref="K22:K35" si="15">IF(F22="Prod",$F$4,$F$5)</f>
        <v>0.89742039884879754</v>
      </c>
      <c r="L22" s="554">
        <f>Passby_Length_Adj!H17</f>
        <v>1</v>
      </c>
      <c r="M22" s="554">
        <f>Passby_Length_Adj!J17</f>
        <v>1</v>
      </c>
      <c r="N22" s="416">
        <v>0.5</v>
      </c>
      <c r="O22" s="546">
        <f t="shared" ref="O22:O35" si="16">L22*M22*N22</f>
        <v>0.5</v>
      </c>
      <c r="P22" s="555">
        <f t="shared" ref="P22:P35" si="17">IF($F22="Prod",$I22*$O22*$F$4*$F$6,$I22*O22*$F$5*$F$7)</f>
        <v>58.824067486374787</v>
      </c>
      <c r="Q22" s="556">
        <f t="shared" si="5"/>
        <v>35.22399250681125</v>
      </c>
      <c r="R22" s="561">
        <f t="shared" ref="R22:R35" si="18">$Q$4</f>
        <v>261.71052631578948</v>
      </c>
      <c r="S22" s="582">
        <f t="shared" ref="S22:S85" si="19">+Q22*R22</f>
        <v>9218.4896179009975</v>
      </c>
      <c r="T22" s="555">
        <f t="shared" ref="T22:T35" si="20">IF($F22="Prod",$I22*$O22*$G$4*$G$6,$I22*$O22*$G$5*$G$7)</f>
        <v>2.4071633394394931</v>
      </c>
      <c r="U22" s="559">
        <f t="shared" ref="U22:U35" si="21">+$R$4</f>
        <v>405.42115030277023</v>
      </c>
      <c r="V22" s="582">
        <f t="shared" ref="V22:V35" si="22">+T22*U22</f>
        <v>975.91493004221707</v>
      </c>
      <c r="W22" s="555">
        <f t="shared" ref="W22:W35" si="23">IF($F22="Prod",$I22*$O22*$J$4*$J$6,$I22*$O22*$J$5*$J$7)</f>
        <v>1.1732835539916682</v>
      </c>
      <c r="X22" s="559">
        <f t="shared" ref="X22:X35" si="24">+$S$4</f>
        <v>37.9060089869281</v>
      </c>
      <c r="Y22" s="582">
        <f t="shared" ref="Y22:Y35" si="25">+W22*X22</f>
        <v>44.474496941823112</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7939.4697678557714</v>
      </c>
      <c r="I23" s="553">
        <f>ITECountywide!$B$9*E23</f>
        <v>13.268089441471812</v>
      </c>
      <c r="J23" s="554">
        <f t="shared" si="14"/>
        <v>1.67</v>
      </c>
      <c r="K23" s="416">
        <f t="shared" si="15"/>
        <v>0.89742039884879754</v>
      </c>
      <c r="L23" s="554">
        <f>Passby_Length_Adj!H18</f>
        <v>1</v>
      </c>
      <c r="M23" s="554">
        <f>Passby_Length_Adj!J18</f>
        <v>1</v>
      </c>
      <c r="N23" s="416">
        <v>0.5</v>
      </c>
      <c r="O23" s="546">
        <f t="shared" si="16"/>
        <v>0.5</v>
      </c>
      <c r="P23" s="555">
        <f t="shared" si="17"/>
        <v>45.613577754265201</v>
      </c>
      <c r="Q23" s="556">
        <f t="shared" si="5"/>
        <v>27.313519613332456</v>
      </c>
      <c r="R23" s="561">
        <f t="shared" si="18"/>
        <v>261.71052631578948</v>
      </c>
      <c r="S23" s="582">
        <f t="shared" si="19"/>
        <v>7148.2355935418755</v>
      </c>
      <c r="T23" s="555">
        <f t="shared" si="20"/>
        <v>1.8665715725314713</v>
      </c>
      <c r="U23" s="559">
        <f t="shared" si="21"/>
        <v>405.42115030277023</v>
      </c>
      <c r="V23" s="582">
        <f t="shared" si="22"/>
        <v>756.74759405815985</v>
      </c>
      <c r="W23" s="555">
        <f t="shared" si="23"/>
        <v>0.90979190839184454</v>
      </c>
      <c r="X23" s="559">
        <f t="shared" si="24"/>
        <v>37.9060089869281</v>
      </c>
      <c r="Y23" s="582">
        <f t="shared" si="25"/>
        <v>34.486580255735724</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5900.3709750184962</v>
      </c>
      <c r="I24" s="553">
        <f>ITECountywide!$B$9*E24</f>
        <v>9.8604380548642965</v>
      </c>
      <c r="J24" s="554">
        <f t="shared" si="14"/>
        <v>1.67</v>
      </c>
      <c r="K24" s="416">
        <f t="shared" si="15"/>
        <v>0.89742039884879754</v>
      </c>
      <c r="L24" s="554">
        <f>Passby_Length_Adj!H19</f>
        <v>1</v>
      </c>
      <c r="M24" s="554">
        <f>Passby_Length_Adj!J19</f>
        <v>1</v>
      </c>
      <c r="N24" s="416">
        <v>0.5</v>
      </c>
      <c r="O24" s="546">
        <f t="shared" si="16"/>
        <v>0.5</v>
      </c>
      <c r="P24" s="555">
        <f t="shared" si="17"/>
        <v>33.898615161639711</v>
      </c>
      <c r="Q24" s="556">
        <f t="shared" si="5"/>
        <v>20.298571953077673</v>
      </c>
      <c r="R24" s="561">
        <f t="shared" si="18"/>
        <v>261.71052631578948</v>
      </c>
      <c r="S24" s="582">
        <f t="shared" si="19"/>
        <v>5312.3499492988803</v>
      </c>
      <c r="T24" s="555">
        <f t="shared" si="20"/>
        <v>1.3871788735753012</v>
      </c>
      <c r="U24" s="559">
        <f t="shared" si="21"/>
        <v>405.42115030277023</v>
      </c>
      <c r="V24" s="582">
        <f t="shared" si="22"/>
        <v>562.39165460059974</v>
      </c>
      <c r="W24" s="555">
        <f t="shared" si="23"/>
        <v>0.67612950569011387</v>
      </c>
      <c r="X24" s="559">
        <f t="shared" si="24"/>
        <v>37.9060089869281</v>
      </c>
      <c r="Y24" s="582">
        <f t="shared" si="25"/>
        <v>25.62937111901671</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4826.5902277265286</v>
      </c>
      <c r="I25" s="553">
        <f>ITECountywide!$B$9*E25</f>
        <v>8.0659833353209791</v>
      </c>
      <c r="J25" s="554">
        <f t="shared" si="14"/>
        <v>1.67</v>
      </c>
      <c r="K25" s="416">
        <f t="shared" si="15"/>
        <v>0.89742039884879754</v>
      </c>
      <c r="L25" s="554">
        <f>Passby_Length_Adj!H20</f>
        <v>1</v>
      </c>
      <c r="M25" s="554">
        <f>Passby_Length_Adj!J20</f>
        <v>1</v>
      </c>
      <c r="N25" s="416">
        <v>0.5</v>
      </c>
      <c r="O25" s="546">
        <f t="shared" si="16"/>
        <v>0.5</v>
      </c>
      <c r="P25" s="555">
        <f t="shared" si="17"/>
        <v>27.729565711267782</v>
      </c>
      <c r="Q25" s="556">
        <f t="shared" si="5"/>
        <v>16.604530366028612</v>
      </c>
      <c r="R25" s="561">
        <f t="shared" si="18"/>
        <v>261.71052631578948</v>
      </c>
      <c r="S25" s="582">
        <f t="shared" si="19"/>
        <v>4345.5803813198563</v>
      </c>
      <c r="T25" s="555">
        <f t="shared" si="20"/>
        <v>1.1347327182739138</v>
      </c>
      <c r="U25" s="559">
        <f t="shared" si="21"/>
        <v>405.42115030277023</v>
      </c>
      <c r="V25" s="582">
        <f t="shared" si="22"/>
        <v>460.04464392879942</v>
      </c>
      <c r="W25" s="555">
        <f t="shared" si="23"/>
        <v>0.55308387873547926</v>
      </c>
      <c r="X25" s="559">
        <f t="shared" si="24"/>
        <v>37.9060089869281</v>
      </c>
      <c r="Y25" s="582">
        <f t="shared" si="25"/>
        <v>20.965202477872129</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6355.9143223544843</v>
      </c>
      <c r="I26" s="553">
        <f>ITECountywide!$B$9*E26</f>
        <v>10.621721875276615</v>
      </c>
      <c r="J26" s="554">
        <f t="shared" si="14"/>
        <v>1.67</v>
      </c>
      <c r="K26" s="416">
        <f t="shared" si="15"/>
        <v>0.89742039884879754</v>
      </c>
      <c r="L26" s="554">
        <f>Passby_Length_Adj!H22</f>
        <v>1</v>
      </c>
      <c r="M26" s="554">
        <f>Passby_Length_Adj!J22</f>
        <v>1</v>
      </c>
      <c r="N26" s="416">
        <v>0.5</v>
      </c>
      <c r="O26" s="546">
        <f t="shared" si="16"/>
        <v>0.5</v>
      </c>
      <c r="P26" s="555">
        <f t="shared" si="17"/>
        <v>36.515787655736901</v>
      </c>
      <c r="Q26" s="556">
        <f>+P26/J26</f>
        <v>21.865741111219702</v>
      </c>
      <c r="R26" s="561">
        <f t="shared" si="18"/>
        <v>261.71052631578948</v>
      </c>
      <c r="S26" s="582">
        <f t="shared" si="19"/>
        <v>5722.494614502104</v>
      </c>
      <c r="T26" s="555">
        <f t="shared" si="20"/>
        <v>1.4942772424910415</v>
      </c>
      <c r="U26" s="559">
        <f t="shared" si="21"/>
        <v>405.42115030277023</v>
      </c>
      <c r="V26" s="582">
        <f t="shared" si="22"/>
        <v>605.81159852196959</v>
      </c>
      <c r="W26" s="555">
        <f t="shared" si="23"/>
        <v>0.7283306807617772</v>
      </c>
      <c r="X26" s="559">
        <f t="shared" si="24"/>
        <v>37.9060089869281</v>
      </c>
      <c r="Y26" s="582">
        <f t="shared" si="25"/>
        <v>27.608109330411388</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3731.1169400852264</v>
      </c>
      <c r="I27" s="553">
        <f>ITECountywide!$B$9*E27</f>
        <v>6.2352770052818345</v>
      </c>
      <c r="J27" s="554">
        <f t="shared" si="14"/>
        <v>1.67</v>
      </c>
      <c r="K27" s="416">
        <f t="shared" si="15"/>
        <v>0.89742039884879754</v>
      </c>
      <c r="L27" s="554">
        <f>Passby_Length_Adj!H22</f>
        <v>1</v>
      </c>
      <c r="M27" s="554">
        <f>Passby_Length_Adj!J22</f>
        <v>1</v>
      </c>
      <c r="N27" s="416">
        <v>0.5</v>
      </c>
      <c r="O27" s="546">
        <f t="shared" si="16"/>
        <v>0.5</v>
      </c>
      <c r="P27" s="555">
        <f t="shared" si="17"/>
        <v>21.435888999272173</v>
      </c>
      <c r="Q27" s="556">
        <f t="shared" si="5"/>
        <v>12.835861676210882</v>
      </c>
      <c r="R27" s="561">
        <f t="shared" si="18"/>
        <v>261.71052631578948</v>
      </c>
      <c r="S27" s="582">
        <f t="shared" si="19"/>
        <v>3359.2801149978218</v>
      </c>
      <c r="T27" s="555">
        <f t="shared" si="20"/>
        <v>0.87718664064320517</v>
      </c>
      <c r="U27" s="559">
        <f t="shared" si="21"/>
        <v>405.42115030277023</v>
      </c>
      <c r="V27" s="582">
        <f t="shared" si="22"/>
        <v>355.63001687979096</v>
      </c>
      <c r="W27" s="555">
        <f t="shared" si="23"/>
        <v>0.42755248153933673</v>
      </c>
      <c r="X27" s="559">
        <f t="shared" si="24"/>
        <v>37.9060089869281</v>
      </c>
      <c r="Y27" s="582">
        <f t="shared" si="25"/>
        <v>16.206808207613509</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5423.1350873331785</v>
      </c>
      <c r="I28" s="553">
        <f>ITECountywide!$B$9*E28</f>
        <v>9.0629026239561554</v>
      </c>
      <c r="J28" s="554">
        <f t="shared" si="14"/>
        <v>1.67</v>
      </c>
      <c r="K28" s="416">
        <f t="shared" si="15"/>
        <v>0.89742039884879754</v>
      </c>
      <c r="L28" s="554">
        <f>Passby_Length_Adj!H23</f>
        <v>1</v>
      </c>
      <c r="M28" s="554">
        <f>Passby_Length_Adj!J23</f>
        <v>1</v>
      </c>
      <c r="N28" s="416">
        <v>0.5</v>
      </c>
      <c r="O28" s="546">
        <f t="shared" si="16"/>
        <v>0.5</v>
      </c>
      <c r="P28" s="555">
        <f t="shared" si="17"/>
        <v>31.156815405918856</v>
      </c>
      <c r="Q28" s="556">
        <f t="shared" si="5"/>
        <v>18.656775692166981</v>
      </c>
      <c r="R28" s="561">
        <f t="shared" si="18"/>
        <v>261.71052631578948</v>
      </c>
      <c r="S28" s="582">
        <f t="shared" si="19"/>
        <v>4882.6745857526485</v>
      </c>
      <c r="T28" s="555">
        <f t="shared" si="20"/>
        <v>1.27498058233024</v>
      </c>
      <c r="U28" s="559">
        <f t="shared" si="21"/>
        <v>405.42115030277023</v>
      </c>
      <c r="V28" s="582">
        <f t="shared" si="22"/>
        <v>516.9040943020218</v>
      </c>
      <c r="W28" s="555">
        <f t="shared" si="23"/>
        <v>0.6214425603769429</v>
      </c>
      <c r="X28" s="559">
        <f t="shared" si="24"/>
        <v>37.9060089869281</v>
      </c>
      <c r="Y28" s="582">
        <f t="shared" si="25"/>
        <v>23.556407278508004</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4631.3573645825327</v>
      </c>
      <c r="I29" s="553">
        <f>ITECountywide!$B$9*E29</f>
        <v>7.739718840858556</v>
      </c>
      <c r="J29" s="554">
        <f t="shared" si="14"/>
        <v>1.67</v>
      </c>
      <c r="K29" s="416">
        <f t="shared" si="15"/>
        <v>0.89742039884879754</v>
      </c>
      <c r="L29" s="554">
        <f>Passby_Length_Adj!H24</f>
        <v>1</v>
      </c>
      <c r="M29" s="554">
        <f>Passby_Length_Adj!J24</f>
        <v>1</v>
      </c>
      <c r="N29" s="416">
        <v>0.5</v>
      </c>
      <c r="O29" s="546">
        <f t="shared" si="16"/>
        <v>0.5</v>
      </c>
      <c r="P29" s="555">
        <f t="shared" si="17"/>
        <v>26.607920356654699</v>
      </c>
      <c r="Q29" s="556">
        <f t="shared" si="5"/>
        <v>15.932886441110599</v>
      </c>
      <c r="R29" s="561">
        <f t="shared" si="18"/>
        <v>261.71052631578948</v>
      </c>
      <c r="S29" s="582">
        <f t="shared" si="19"/>
        <v>4169.8040962327605</v>
      </c>
      <c r="T29" s="555">
        <f t="shared" si="20"/>
        <v>1.0888334173100249</v>
      </c>
      <c r="U29" s="559">
        <f t="shared" si="21"/>
        <v>405.42115030277023</v>
      </c>
      <c r="V29" s="582">
        <f t="shared" si="22"/>
        <v>441.43609653392656</v>
      </c>
      <c r="W29" s="555">
        <f t="shared" si="23"/>
        <v>0.53071194656190923</v>
      </c>
      <c r="X29" s="559">
        <f t="shared" si="24"/>
        <v>37.9060089869281</v>
      </c>
      <c r="Y29" s="582">
        <f t="shared" si="25"/>
        <v>20.117171815845836</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4013.1199646265518</v>
      </c>
      <c r="I30" s="553">
        <f>ITECountywide!$B$9*E30</f>
        <v>6.7065479417275551</v>
      </c>
      <c r="J30" s="554">
        <f t="shared" si="14"/>
        <v>1.67</v>
      </c>
      <c r="K30" s="416">
        <f t="shared" si="15"/>
        <v>0.89742039884879754</v>
      </c>
      <c r="L30" s="554">
        <f>Passby_Length_Adj!H25</f>
        <v>1</v>
      </c>
      <c r="M30" s="554">
        <f>Passby_Length_Adj!J25</f>
        <v>1</v>
      </c>
      <c r="N30" s="416">
        <v>0.5</v>
      </c>
      <c r="O30" s="546">
        <f t="shared" si="16"/>
        <v>0.5</v>
      </c>
      <c r="P30" s="555">
        <f t="shared" si="17"/>
        <v>23.056043400379952</v>
      </c>
      <c r="Q30" s="556">
        <f t="shared" si="5"/>
        <v>13.806014012203565</v>
      </c>
      <c r="R30" s="561">
        <f t="shared" si="18"/>
        <v>261.71052631578948</v>
      </c>
      <c r="S30" s="582">
        <f t="shared" si="19"/>
        <v>3613.1791934569596</v>
      </c>
      <c r="T30" s="555">
        <f t="shared" si="20"/>
        <v>0.94348563092437776</v>
      </c>
      <c r="U30" s="559">
        <f t="shared" si="21"/>
        <v>405.42115030277023</v>
      </c>
      <c r="V30" s="582">
        <f t="shared" si="22"/>
        <v>382.50902978349615</v>
      </c>
      <c r="W30" s="555">
        <f t="shared" si="23"/>
        <v>0.45986749467893778</v>
      </c>
      <c r="X30" s="559">
        <f t="shared" si="24"/>
        <v>37.9060089869281</v>
      </c>
      <c r="Y30" s="582">
        <f t="shared" si="25"/>
        <v>17.431741386095926</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2190.9465752826036</v>
      </c>
      <c r="I31" s="553">
        <f>ITECountywide!$B$9*E31</f>
        <v>3.6614126600782866</v>
      </c>
      <c r="J31" s="554">
        <f t="shared" si="14"/>
        <v>1.67</v>
      </c>
      <c r="K31" s="416">
        <f t="shared" si="15"/>
        <v>0.89742039884879754</v>
      </c>
      <c r="L31" s="554">
        <f>Passby_Length_Adj!H26</f>
        <v>1</v>
      </c>
      <c r="M31" s="554">
        <f>Passby_Length_Adj!J26</f>
        <v>1</v>
      </c>
      <c r="N31" s="416">
        <v>0.5</v>
      </c>
      <c r="O31" s="546">
        <f t="shared" si="16"/>
        <v>0.5</v>
      </c>
      <c r="P31" s="555">
        <f t="shared" si="17"/>
        <v>12.587353423991216</v>
      </c>
      <c r="Q31" s="556">
        <f t="shared" si="5"/>
        <v>7.537337379635459</v>
      </c>
      <c r="R31" s="557">
        <f t="shared" si="18"/>
        <v>261.71052631578948</v>
      </c>
      <c r="S31" s="582">
        <f t="shared" si="19"/>
        <v>1972.6005326440695</v>
      </c>
      <c r="T31" s="555">
        <f t="shared" si="20"/>
        <v>0.51509215526141694</v>
      </c>
      <c r="U31" s="559">
        <f t="shared" si="21"/>
        <v>405.42115030277023</v>
      </c>
      <c r="V31" s="582">
        <f t="shared" si="22"/>
        <v>208.82925409801678</v>
      </c>
      <c r="W31" s="555">
        <f t="shared" si="23"/>
        <v>0.25106279439228496</v>
      </c>
      <c r="X31" s="559">
        <f t="shared" si="24"/>
        <v>37.9060089869281</v>
      </c>
      <c r="Y31" s="582">
        <f t="shared" si="25"/>
        <v>9.5167885405172363</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2820.0302454132525</v>
      </c>
      <c r="I32" s="553">
        <f>ITECountywide!$B$9*E32</f>
        <v>4.7127093644572007</v>
      </c>
      <c r="J32" s="562">
        <f t="shared" si="14"/>
        <v>1.67</v>
      </c>
      <c r="K32" s="416">
        <f t="shared" si="15"/>
        <v>0.89742039884879754</v>
      </c>
      <c r="L32" s="554">
        <f>Passby_Length_Adj!H27</f>
        <v>1</v>
      </c>
      <c r="M32" s="554">
        <f>Passby_Length_Adj!J27</f>
        <v>1</v>
      </c>
      <c r="N32" s="416">
        <v>0.5</v>
      </c>
      <c r="O32" s="546">
        <f t="shared" si="16"/>
        <v>0.5</v>
      </c>
      <c r="P32" s="555">
        <f t="shared" si="17"/>
        <v>16.201544011077804</v>
      </c>
      <c r="Q32" s="556">
        <f t="shared" si="5"/>
        <v>9.7015233599268296</v>
      </c>
      <c r="R32" s="557">
        <f t="shared" si="18"/>
        <v>261.71052631578948</v>
      </c>
      <c r="S32" s="582">
        <f t="shared" si="19"/>
        <v>2538.9907845913767</v>
      </c>
      <c r="T32" s="555">
        <f t="shared" si="20"/>
        <v>0.66298990281172487</v>
      </c>
      <c r="U32" s="563">
        <f t="shared" si="21"/>
        <v>405.42115030277023</v>
      </c>
      <c r="V32" s="583">
        <f t="shared" si="22"/>
        <v>268.79012903705132</v>
      </c>
      <c r="W32" s="555">
        <f t="shared" si="23"/>
        <v>0.32315013139601029</v>
      </c>
      <c r="X32" s="563">
        <f t="shared" si="24"/>
        <v>37.9060089869281</v>
      </c>
      <c r="Y32" s="583">
        <f t="shared" si="25"/>
        <v>12.249331784824163</v>
      </c>
      <c r="Z32" s="551"/>
    </row>
    <row r="33" spans="2:31"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2603.1048419199251</v>
      </c>
      <c r="I33" s="553">
        <f>ITECountywide!$B$9*E33</f>
        <v>4.3501932594989539</v>
      </c>
      <c r="J33" s="562">
        <f t="shared" si="14"/>
        <v>1.67</v>
      </c>
      <c r="K33" s="416">
        <f t="shared" si="15"/>
        <v>0.89742039884879754</v>
      </c>
      <c r="L33" s="554">
        <f>Passby_Length_Adj!H28</f>
        <v>1</v>
      </c>
      <c r="M33" s="554">
        <f>Passby_Length_Adj!J28</f>
        <v>1</v>
      </c>
      <c r="N33" s="416">
        <v>0.5</v>
      </c>
      <c r="O33" s="546">
        <f t="shared" si="16"/>
        <v>0.5</v>
      </c>
      <c r="P33" s="555">
        <f t="shared" si="17"/>
        <v>14.955271394841049</v>
      </c>
      <c r="Q33" s="556">
        <f t="shared" si="5"/>
        <v>8.9552523322401498</v>
      </c>
      <c r="R33" s="557">
        <f t="shared" si="18"/>
        <v>261.71052631578948</v>
      </c>
      <c r="S33" s="582">
        <f t="shared" si="19"/>
        <v>2343.6838011612708</v>
      </c>
      <c r="T33" s="555">
        <f t="shared" si="20"/>
        <v>0.61199067951851516</v>
      </c>
      <c r="U33" s="559">
        <f t="shared" si="21"/>
        <v>405.42115030277023</v>
      </c>
      <c r="V33" s="582">
        <f t="shared" si="22"/>
        <v>248.11396526497043</v>
      </c>
      <c r="W33" s="555">
        <f t="shared" si="23"/>
        <v>0.29829242898093256</v>
      </c>
      <c r="X33" s="559">
        <f t="shared" si="24"/>
        <v>37.9060089869281</v>
      </c>
      <c r="Y33" s="582">
        <f t="shared" si="25"/>
        <v>11.307075493683842</v>
      </c>
      <c r="Z33" s="551"/>
    </row>
    <row r="34" spans="2:31"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9360.3311607370651</v>
      </c>
      <c r="I34" s="553">
        <f>ITECountywide!$B$9*E34</f>
        <v>15.642569928948324</v>
      </c>
      <c r="J34" s="562">
        <f t="shared" si="14"/>
        <v>1.67</v>
      </c>
      <c r="K34" s="416">
        <f t="shared" si="15"/>
        <v>0.89742039884879754</v>
      </c>
      <c r="L34" s="554">
        <f>Passby_Length_Adj!H29</f>
        <v>1</v>
      </c>
      <c r="M34" s="554">
        <f>Passby_Length_Adj!J29</f>
        <v>1</v>
      </c>
      <c r="N34" s="416">
        <v>0.5</v>
      </c>
      <c r="O34" s="546">
        <f t="shared" si="16"/>
        <v>0.5</v>
      </c>
      <c r="P34" s="555">
        <f t="shared" si="17"/>
        <v>53.776663390615944</v>
      </c>
      <c r="Q34" s="556">
        <f t="shared" si="5"/>
        <v>32.201594844680208</v>
      </c>
      <c r="R34" s="557">
        <f t="shared" si="18"/>
        <v>261.71052631578948</v>
      </c>
      <c r="S34" s="582">
        <f t="shared" si="19"/>
        <v>8427.4963350090711</v>
      </c>
      <c r="T34" s="555">
        <f t="shared" si="20"/>
        <v>2.2006164851019947</v>
      </c>
      <c r="U34" s="559">
        <f t="shared" si="21"/>
        <v>405.42115030277023</v>
      </c>
      <c r="V34" s="582">
        <f t="shared" si="22"/>
        <v>892.17646676528966</v>
      </c>
      <c r="W34" s="555">
        <f t="shared" si="23"/>
        <v>1.0726098592106037</v>
      </c>
      <c r="X34" s="559">
        <f t="shared" si="24"/>
        <v>37.9060089869281</v>
      </c>
      <c r="Y34" s="582">
        <f t="shared" si="25"/>
        <v>40.658358962704831</v>
      </c>
      <c r="Z34" s="551"/>
    </row>
    <row r="35" spans="2:31"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8492.6295467637574</v>
      </c>
      <c r="I35" s="553">
        <f>ITECountywide!$B$9*E35</f>
        <v>14.192505509115339</v>
      </c>
      <c r="J35" s="562">
        <f t="shared" si="14"/>
        <v>1.67</v>
      </c>
      <c r="K35" s="416">
        <f t="shared" si="15"/>
        <v>0.89742039884879754</v>
      </c>
      <c r="L35" s="554">
        <f>Passby_Length_Adj!H30</f>
        <v>1</v>
      </c>
      <c r="M35" s="554">
        <f>Passby_Length_Adj!J30</f>
        <v>1</v>
      </c>
      <c r="N35" s="416">
        <v>0.5</v>
      </c>
      <c r="O35" s="546">
        <f t="shared" si="16"/>
        <v>0.5</v>
      </c>
      <c r="P35" s="555">
        <f t="shared" si="17"/>
        <v>48.791572925668923</v>
      </c>
      <c r="Q35" s="556">
        <f t="shared" si="5"/>
        <v>29.21651073393349</v>
      </c>
      <c r="R35" s="561">
        <f t="shared" si="18"/>
        <v>261.71052631578948</v>
      </c>
      <c r="S35" s="582">
        <f t="shared" si="19"/>
        <v>7646.2684012886466</v>
      </c>
      <c r="T35" s="555">
        <f t="shared" si="20"/>
        <v>1.9966195919291558</v>
      </c>
      <c r="U35" s="559">
        <f t="shared" si="21"/>
        <v>405.42115030277023</v>
      </c>
      <c r="V35" s="582">
        <f t="shared" si="22"/>
        <v>809.47181167696601</v>
      </c>
      <c r="W35" s="555">
        <f t="shared" si="23"/>
        <v>0.97317904955029266</v>
      </c>
      <c r="X35" s="559">
        <f t="shared" si="24"/>
        <v>37.9060089869281</v>
      </c>
      <c r="Y35" s="582">
        <f t="shared" si="25"/>
        <v>36.889333798143539</v>
      </c>
      <c r="Z35" s="551"/>
    </row>
    <row r="36" spans="2:31"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31" s="229"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9067.4818660210713</v>
      </c>
      <c r="I37" s="553">
        <f>ITECountywide!$B$9*E37</f>
        <v>15.153173187254691</v>
      </c>
      <c r="J37" s="562">
        <f>IF(F37="Prod",$M$3,$M$4)</f>
        <v>1.67</v>
      </c>
      <c r="K37" s="416">
        <f>IF(F37="Prod",$F$4,$F$5)</f>
        <v>0.89742039884879754</v>
      </c>
      <c r="L37" s="554">
        <f>Passby_Length_Adj!H32</f>
        <v>1</v>
      </c>
      <c r="M37" s="554">
        <f>Passby_Length_Adj!J32</f>
        <v>1</v>
      </c>
      <c r="N37" s="416">
        <v>0.5</v>
      </c>
      <c r="O37" s="546">
        <f>L37*M37*N37</f>
        <v>0.5</v>
      </c>
      <c r="P37" s="555">
        <f>IF($F37="Prod",$I37*$O37*$F$4*$F$6,$I37*O37*$F$5*$F$7)</f>
        <v>52.094195358696318</v>
      </c>
      <c r="Q37" s="556">
        <f t="shared" si="5"/>
        <v>31.194128957303185</v>
      </c>
      <c r="R37" s="561">
        <f>$Q$4</f>
        <v>261.71052631578948</v>
      </c>
      <c r="S37" s="582">
        <f t="shared" si="19"/>
        <v>8163.831907378426</v>
      </c>
      <c r="T37" s="555">
        <f>IF($F37="Prod",$I37*$O37*$G$4*$G$6,$I37*$O37*$G$5*$G$7)</f>
        <v>2.1317675336561615</v>
      </c>
      <c r="U37" s="559">
        <f>+$R$4</f>
        <v>405.42115030277023</v>
      </c>
      <c r="V37" s="582">
        <f>+T37*U37</f>
        <v>864.26364567298037</v>
      </c>
      <c r="W37" s="555">
        <f>IF($F37="Prod",$I37*$O37*$J$4*$J$6,$I37*$O37*$J$5*$J$7)</f>
        <v>1.0390519609502487</v>
      </c>
      <c r="X37" s="559">
        <f>+$S$4</f>
        <v>37.9060089869281</v>
      </c>
      <c r="Y37" s="582">
        <f>+W37*X37</f>
        <v>39.38631296966539</v>
      </c>
      <c r="Z37" s="551"/>
      <c r="AA37" s="20"/>
      <c r="AB37" s="20"/>
      <c r="AC37" s="20"/>
      <c r="AD37" s="20"/>
      <c r="AE37" s="20"/>
    </row>
    <row r="38" spans="2:31"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4837.4364979011934</v>
      </c>
      <c r="I38" s="553">
        <f>ITECountywide!$B$9*E38</f>
        <v>8.0841091405688896</v>
      </c>
      <c r="J38" s="562">
        <f>IF(F38="Prod",$M$3,$M$4)</f>
        <v>1.67</v>
      </c>
      <c r="K38" s="416">
        <f>IF(F38="Prod",$F$4,$F$5)</f>
        <v>0.89742039884879754</v>
      </c>
      <c r="L38" s="554">
        <f>Passby_Length_Adj!H33</f>
        <v>1</v>
      </c>
      <c r="M38" s="554">
        <f>Passby_Length_Adj!J33</f>
        <v>1</v>
      </c>
      <c r="N38" s="416">
        <v>0.5</v>
      </c>
      <c r="O38" s="546">
        <f>L38*M38*N38</f>
        <v>0.5</v>
      </c>
      <c r="P38" s="555">
        <f>IF($F38="Prod",$I38*$O38*$F$4*$F$6,$I38*O38*$F$5*$F$7)</f>
        <v>27.791879342079614</v>
      </c>
      <c r="Q38" s="556">
        <f t="shared" si="5"/>
        <v>16.641843917412942</v>
      </c>
      <c r="R38" s="561">
        <f>$Q$4</f>
        <v>261.71052631578948</v>
      </c>
      <c r="S38" s="582">
        <f t="shared" si="19"/>
        <v>4355.3457304913609</v>
      </c>
      <c r="T38" s="555">
        <f>IF($F38="Prod",$I38*$O38*$G$4*$G$6,$I38*$O38*$G$5*$G$7)</f>
        <v>1.137282679438574</v>
      </c>
      <c r="U38" s="559">
        <f>+$R$4</f>
        <v>405.42115030277023</v>
      </c>
      <c r="V38" s="582">
        <f>+T38*U38</f>
        <v>461.07845211740334</v>
      </c>
      <c r="W38" s="555">
        <f>IF($F38="Prod",$I38*$O38*$J$4*$J$6,$I38*$O38*$J$5*$J$7)</f>
        <v>0.55432676385623303</v>
      </c>
      <c r="X38" s="559">
        <f>+$S$4</f>
        <v>37.9060089869281</v>
      </c>
      <c r="Y38" s="582">
        <f>+W38*X38</f>
        <v>21.01231529242914</v>
      </c>
      <c r="Z38" s="551"/>
    </row>
    <row r="39" spans="2:31"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3633.5005085132284</v>
      </c>
      <c r="I39" s="553">
        <f>ITECountywide!$B$9*E39</f>
        <v>6.0721447580506238</v>
      </c>
      <c r="J39" s="562">
        <f>IF(F39="Prod",$M$3,$M$4)</f>
        <v>1.67</v>
      </c>
      <c r="K39" s="416">
        <f>IF(F39="Prod",$F$4,$F$5)</f>
        <v>0.89742039884879754</v>
      </c>
      <c r="L39" s="554">
        <f>Passby_Length_Adj!H34</f>
        <v>1</v>
      </c>
      <c r="M39" s="554">
        <f>Passby_Length_Adj!J34</f>
        <v>1</v>
      </c>
      <c r="N39" s="416">
        <v>0.5</v>
      </c>
      <c r="O39" s="546">
        <f>L39*M39*N39</f>
        <v>0.5</v>
      </c>
      <c r="P39" s="555">
        <f>IF($F39="Prod",$I39*$O39*$F$4*$F$6,$I39*O39*$F$5*$F$7)</f>
        <v>20.87506632196563</v>
      </c>
      <c r="Q39" s="556">
        <f t="shared" si="5"/>
        <v>12.500039713751875</v>
      </c>
      <c r="R39" s="561">
        <f>$Q$4</f>
        <v>261.71052631578948</v>
      </c>
      <c r="S39" s="582">
        <f t="shared" si="19"/>
        <v>3271.3919724542734</v>
      </c>
      <c r="T39" s="555">
        <f>IF($F39="Prod",$I39*$O39*$G$4*$G$6,$I39*$O39*$G$5*$G$7)</f>
        <v>0.85423699016126076</v>
      </c>
      <c r="U39" s="559">
        <f>+$R$4</f>
        <v>405.42115030277023</v>
      </c>
      <c r="V39" s="582">
        <f>+T39*U39</f>
        <v>346.32574318235453</v>
      </c>
      <c r="W39" s="555">
        <f>IF($F39="Prod",$I39*$O39*$J$4*$J$6,$I39*$O39*$J$5*$J$7)</f>
        <v>0.41636651545255177</v>
      </c>
      <c r="X39" s="559">
        <f>+$S$4</f>
        <v>37.9060089869281</v>
      </c>
      <c r="Y39" s="582">
        <f>+W39*X39</f>
        <v>15.782792876600364</v>
      </c>
      <c r="Z39" s="551"/>
    </row>
    <row r="40" spans="2:31"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4360.2006102158748</v>
      </c>
      <c r="I40" s="553">
        <f>ITECountywide!$B$9*E40</f>
        <v>7.2865737096607477</v>
      </c>
      <c r="J40" s="562">
        <f>IF(F40="Prod",$M$3,$M$4)</f>
        <v>1.67</v>
      </c>
      <c r="K40" s="416">
        <f>IF(F40="Prod",$F$4,$F$5)</f>
        <v>0.89742039884879754</v>
      </c>
      <c r="L40" s="554">
        <f>Passby_Length_Adj!H35</f>
        <v>1</v>
      </c>
      <c r="M40" s="554">
        <f>Passby_Length_Adj!J35</f>
        <v>1</v>
      </c>
      <c r="N40" s="416">
        <v>0.5</v>
      </c>
      <c r="O40" s="546">
        <f>L40*M40*N40</f>
        <v>0.5</v>
      </c>
      <c r="P40" s="555">
        <f>IF($F40="Prod",$I40*$O40*$F$4*$F$6,$I40*O40*$F$5*$F$7)</f>
        <v>25.050079586358756</v>
      </c>
      <c r="Q40" s="556">
        <f t="shared" si="5"/>
        <v>15.00004765650225</v>
      </c>
      <c r="R40" s="561">
        <f>$Q$4</f>
        <v>261.71052631578948</v>
      </c>
      <c r="S40" s="582">
        <f t="shared" si="19"/>
        <v>3925.6703669451285</v>
      </c>
      <c r="T40" s="555">
        <f>IF($F40="Prod",$I40*$O40*$G$4*$G$6,$I40*$O40*$G$5*$G$7)</f>
        <v>1.0250843881935128</v>
      </c>
      <c r="U40" s="559">
        <f>+$R$4</f>
        <v>405.42115030277023</v>
      </c>
      <c r="V40" s="582">
        <f>+T40*U40</f>
        <v>415.59089181882541</v>
      </c>
      <c r="W40" s="555">
        <f>IF($F40="Prod",$I40*$O40*$J$4*$J$6,$I40*$O40*$J$5*$J$7)</f>
        <v>0.49963981854306205</v>
      </c>
      <c r="X40" s="559">
        <f>+$S$4</f>
        <v>37.9060089869281</v>
      </c>
      <c r="Y40" s="582">
        <f>+W40*X40</f>
        <v>18.939351451920434</v>
      </c>
      <c r="Z40" s="551"/>
    </row>
    <row r="41" spans="2:31"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31"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1158.9709253242872</v>
      </c>
      <c r="I42" s="553">
        <f>ITECountywide!$B$9*E42</f>
        <v>4.368319064746867</v>
      </c>
      <c r="J42" s="562">
        <f t="shared" ref="J42:J50" si="26">IF(F42="Prod",$M$3,$M$4)</f>
        <v>1.67</v>
      </c>
      <c r="K42" s="416">
        <f t="shared" ref="K42:K50" si="27">IF(F42="Prod",$F$4,$F$5)</f>
        <v>0.8974131092322899</v>
      </c>
      <c r="L42" s="554">
        <f>Passby_Length_Adj!H37</f>
        <v>0.4404979999697734</v>
      </c>
      <c r="M42" s="554">
        <f>Passby_Length_Adj!J37</f>
        <v>1</v>
      </c>
      <c r="N42" s="416">
        <v>0.5</v>
      </c>
      <c r="O42" s="546">
        <f t="shared" ref="O42:O50" si="28">L42*M42*N42</f>
        <v>0.2202489999848867</v>
      </c>
      <c r="P42" s="555">
        <f t="shared" ref="P42:P50" si="29">IF($F42="Prod",$I42*$O42*$F$4*$F$6,$I42*O42*$F$5*$F$7)</f>
        <v>6.6515587155053106</v>
      </c>
      <c r="Q42" s="556">
        <f t="shared" si="5"/>
        <v>3.9829692907217429</v>
      </c>
      <c r="R42" s="557">
        <f t="shared" ref="R42:R50" si="30">$Q$4</f>
        <v>261.71052631578948</v>
      </c>
      <c r="S42" s="582">
        <f t="shared" si="19"/>
        <v>1042.3849893744141</v>
      </c>
      <c r="T42" s="555">
        <f t="shared" ref="T42:T50" si="31">IF($F42="Prod",$I42*$O42*$G$4*$G$6,$I42*$O42*$G$5*$G$7)</f>
        <v>0.2752116704477594</v>
      </c>
      <c r="U42" s="559">
        <f t="shared" ref="U42:U50" si="32">+$R$4</f>
        <v>405.42115030277023</v>
      </c>
      <c r="V42" s="583">
        <f t="shared" ref="V42:V50" si="33">+T42*U42</f>
        <v>111.57663200967754</v>
      </c>
      <c r="W42" s="555">
        <f t="shared" ref="W42:W50" si="34">IF($F42="Prod",$I42*$O42*$J$4*$J$6,$I42*$O42*$J$5*$J$7)</f>
        <v>0.13215065563676312</v>
      </c>
      <c r="X42" s="563">
        <f t="shared" ref="X42:X50" si="35">+$S$4</f>
        <v>37.9060089869281</v>
      </c>
      <c r="Y42" s="583">
        <f t="shared" ref="Y42:Y50" si="36">+W42*X42</f>
        <v>5.0093039401955837</v>
      </c>
      <c r="Z42" s="551"/>
    </row>
    <row r="43" spans="2:31"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14609.766270270475</v>
      </c>
      <c r="I43" s="553">
        <f>ITECountywide!$B$9*E43</f>
        <v>55.066196343157593</v>
      </c>
      <c r="J43" s="562">
        <f t="shared" si="26"/>
        <v>1.67</v>
      </c>
      <c r="K43" s="416">
        <f t="shared" si="27"/>
        <v>0.8974131092322899</v>
      </c>
      <c r="L43" s="554">
        <f>Passby_Length_Adj!H38</f>
        <v>0.4404979999697734</v>
      </c>
      <c r="M43" s="554">
        <f>Passby_Length_Adj!J38</f>
        <v>1</v>
      </c>
      <c r="N43" s="416">
        <v>0.5</v>
      </c>
      <c r="O43" s="546">
        <f t="shared" si="28"/>
        <v>0.2202489999848867</v>
      </c>
      <c r="P43" s="555">
        <f t="shared" si="29"/>
        <v>83.848279575539962</v>
      </c>
      <c r="Q43" s="556">
        <f t="shared" si="5"/>
        <v>50.20855064403591</v>
      </c>
      <c r="R43" s="557">
        <f t="shared" si="30"/>
        <v>261.71052631578948</v>
      </c>
      <c r="S43" s="582">
        <f t="shared" si="19"/>
        <v>13140.106214603609</v>
      </c>
      <c r="T43" s="555">
        <f t="shared" si="31"/>
        <v>3.4692657876360697</v>
      </c>
      <c r="U43" s="559">
        <f t="shared" si="32"/>
        <v>405.42115030277023</v>
      </c>
      <c r="V43" s="583">
        <f t="shared" si="33"/>
        <v>1406.5137263294616</v>
      </c>
      <c r="W43" s="555">
        <f t="shared" si="34"/>
        <v>1.6658659411804411</v>
      </c>
      <c r="X43" s="563">
        <f t="shared" si="35"/>
        <v>37.9060089869281</v>
      </c>
      <c r="Y43" s="583">
        <f t="shared" si="36"/>
        <v>63.146329337403238</v>
      </c>
      <c r="Z43" s="551"/>
    </row>
    <row r="44" spans="2:31"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37553.543385300247</v>
      </c>
      <c r="I44" s="553">
        <f>ITECountywide!$B$9*E44</f>
        <v>141.54441318094723</v>
      </c>
      <c r="J44" s="562">
        <f t="shared" si="26"/>
        <v>1.67</v>
      </c>
      <c r="K44" s="416">
        <f t="shared" si="27"/>
        <v>0.8974131092322899</v>
      </c>
      <c r="L44" s="554">
        <f>Passby_Length_Adj!H39</f>
        <v>0.4404979999697734</v>
      </c>
      <c r="M44" s="554">
        <f>Passby_Length_Adj!J39</f>
        <v>1</v>
      </c>
      <c r="N44" s="416">
        <v>0.5</v>
      </c>
      <c r="O44" s="546">
        <f t="shared" si="28"/>
        <v>0.2202489999848867</v>
      </c>
      <c r="P44" s="555">
        <f t="shared" si="29"/>
        <v>215.52706227958907</v>
      </c>
      <c r="Q44" s="556">
        <f t="shared" si="5"/>
        <v>129.05812112550245</v>
      </c>
      <c r="R44" s="557">
        <f t="shared" si="30"/>
        <v>261.71052631578948</v>
      </c>
      <c r="S44" s="582">
        <f t="shared" si="19"/>
        <v>33775.868805082158</v>
      </c>
      <c r="T44" s="555">
        <f t="shared" si="31"/>
        <v>8.9175432967906758</v>
      </c>
      <c r="U44" s="559">
        <f t="shared" si="32"/>
        <v>405.42115030277023</v>
      </c>
      <c r="V44" s="582">
        <f t="shared" si="33"/>
        <v>3615.3606612596336</v>
      </c>
      <c r="W44" s="555">
        <f t="shared" si="34"/>
        <v>4.2820102484127931</v>
      </c>
      <c r="X44" s="559">
        <f t="shared" si="35"/>
        <v>37.9060089869281</v>
      </c>
      <c r="Y44" s="582">
        <f t="shared" si="36"/>
        <v>162.31391895845357</v>
      </c>
      <c r="Z44" s="551"/>
    </row>
    <row r="45" spans="2:31"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105798.17575574407</v>
      </c>
      <c r="I45" s="553">
        <f>ITECountywide!$B$9*E45</f>
        <v>398.76771545407081</v>
      </c>
      <c r="J45" s="562">
        <f t="shared" si="26"/>
        <v>1.67</v>
      </c>
      <c r="K45" s="416">
        <f t="shared" si="27"/>
        <v>0.8974131092322899</v>
      </c>
      <c r="L45" s="554">
        <f>Passby_Length_Adj!H40</f>
        <v>0.4404979999697734</v>
      </c>
      <c r="M45" s="554">
        <f>Passby_Length_Adj!J40</f>
        <v>1</v>
      </c>
      <c r="N45" s="416">
        <v>0.5</v>
      </c>
      <c r="O45" s="546">
        <f t="shared" si="28"/>
        <v>0.2202489999848867</v>
      </c>
      <c r="P45" s="555">
        <f t="shared" si="29"/>
        <v>607.19623129094123</v>
      </c>
      <c r="Q45" s="556">
        <f t="shared" si="5"/>
        <v>363.59055765924626</v>
      </c>
      <c r="R45" s="557">
        <f t="shared" si="30"/>
        <v>261.71052631578948</v>
      </c>
      <c r="S45" s="582">
        <f t="shared" si="19"/>
        <v>95155.476208452747</v>
      </c>
      <c r="T45" s="555">
        <f t="shared" si="31"/>
        <v>25.12305705332243</v>
      </c>
      <c r="U45" s="559">
        <f t="shared" si="32"/>
        <v>405.42115030277023</v>
      </c>
      <c r="V45" s="583">
        <f t="shared" si="33"/>
        <v>10185.418689680104</v>
      </c>
      <c r="W45" s="555">
        <f t="shared" si="34"/>
        <v>12.063545327837298</v>
      </c>
      <c r="X45" s="563">
        <f t="shared" si="35"/>
        <v>37.9060089869281</v>
      </c>
      <c r="Y45" s="583">
        <f t="shared" si="36"/>
        <v>457.28085761121514</v>
      </c>
      <c r="Z45" s="551"/>
    </row>
    <row r="46" spans="2:31"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25684.911668701319</v>
      </c>
      <c r="I46" s="553">
        <f>ITECountywide!$B$9*E46</f>
        <v>96.80992582909964</v>
      </c>
      <c r="J46" s="562">
        <f t="shared" si="26"/>
        <v>1.67</v>
      </c>
      <c r="K46" s="416">
        <f t="shared" si="27"/>
        <v>0.8974131092322899</v>
      </c>
      <c r="L46" s="554">
        <f>Passby_Length_Adj!H41</f>
        <v>0.4404979999697734</v>
      </c>
      <c r="M46" s="554">
        <f>Passby_Length_Adj!J41</f>
        <v>1</v>
      </c>
      <c r="N46" s="416">
        <v>0.5</v>
      </c>
      <c r="O46" s="546">
        <f t="shared" si="28"/>
        <v>0.2202489999848867</v>
      </c>
      <c r="P46" s="555">
        <f t="shared" si="29"/>
        <v>147.4106850602235</v>
      </c>
      <c r="Q46" s="556">
        <f t="shared" si="5"/>
        <v>88.269871293547013</v>
      </c>
      <c r="R46" s="557">
        <f t="shared" si="30"/>
        <v>261.71052631578948</v>
      </c>
      <c r="S46" s="582">
        <f t="shared" si="19"/>
        <v>23101.154474061186</v>
      </c>
      <c r="T46" s="555">
        <f t="shared" si="31"/>
        <v>6.0991930782634141</v>
      </c>
      <c r="U46" s="559">
        <f t="shared" si="32"/>
        <v>405.42115030277023</v>
      </c>
      <c r="V46" s="583">
        <f t="shared" si="33"/>
        <v>2472.7418737082476</v>
      </c>
      <c r="W46" s="555">
        <f t="shared" si="34"/>
        <v>2.9286997998172275</v>
      </c>
      <c r="X46" s="563">
        <f t="shared" si="35"/>
        <v>37.9060089869281</v>
      </c>
      <c r="Y46" s="583">
        <f t="shared" si="36"/>
        <v>111.01532093188635</v>
      </c>
      <c r="Z46" s="551"/>
    </row>
    <row r="47" spans="2:31"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14580.912222337089</v>
      </c>
      <c r="I47" s="553">
        <f>ITECountywide!$B$9*E47</f>
        <v>54.957441511670126</v>
      </c>
      <c r="J47" s="562">
        <f t="shared" si="26"/>
        <v>1.67</v>
      </c>
      <c r="K47" s="416">
        <f t="shared" si="27"/>
        <v>0.8974131092322899</v>
      </c>
      <c r="L47" s="554">
        <f>Passby_Length_Adj!H42</f>
        <v>0.4404979999697734</v>
      </c>
      <c r="M47" s="554">
        <f>Passby_Length_Adj!J42</f>
        <v>1</v>
      </c>
      <c r="N47" s="416">
        <v>0.5</v>
      </c>
      <c r="O47" s="546">
        <f t="shared" si="28"/>
        <v>0.2202489999848867</v>
      </c>
      <c r="P47" s="555">
        <f t="shared" si="29"/>
        <v>83.682680603369718</v>
      </c>
      <c r="Q47" s="556">
        <f t="shared" si="5"/>
        <v>50.109389582856117</v>
      </c>
      <c r="R47" s="557">
        <f t="shared" si="30"/>
        <v>261.71052631578948</v>
      </c>
      <c r="S47" s="582">
        <f t="shared" si="19"/>
        <v>13114.154721092213</v>
      </c>
      <c r="T47" s="555">
        <f t="shared" si="31"/>
        <v>3.4624140448033462</v>
      </c>
      <c r="U47" s="559">
        <f t="shared" si="32"/>
        <v>405.42115030277023</v>
      </c>
      <c r="V47" s="583">
        <f t="shared" si="33"/>
        <v>1403.7358848686401</v>
      </c>
      <c r="W47" s="555">
        <f t="shared" si="34"/>
        <v>1.6625758833637585</v>
      </c>
      <c r="X47" s="563">
        <f t="shared" si="35"/>
        <v>37.9060089869281</v>
      </c>
      <c r="Y47" s="583">
        <f t="shared" si="36"/>
        <v>63.021616376236551</v>
      </c>
      <c r="Z47" s="551"/>
    </row>
    <row r="48" spans="2:31"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18610.860917033158</v>
      </c>
      <c r="I48" s="553">
        <f>ITECountywide!$B$9*E48</f>
        <v>70.146866309420645</v>
      </c>
      <c r="J48" s="562">
        <f t="shared" si="26"/>
        <v>1.67</v>
      </c>
      <c r="K48" s="416">
        <f t="shared" si="27"/>
        <v>0.8974131092322899</v>
      </c>
      <c r="L48" s="554">
        <f>Passby_Length_Adj!H43</f>
        <v>0.4404979999697734</v>
      </c>
      <c r="M48" s="554">
        <f>Passby_Length_Adj!J43</f>
        <v>1</v>
      </c>
      <c r="N48" s="416">
        <v>0.5</v>
      </c>
      <c r="O48" s="546">
        <f t="shared" si="28"/>
        <v>0.2202489999848867</v>
      </c>
      <c r="P48" s="555">
        <f t="shared" si="29"/>
        <v>106.81133704981558</v>
      </c>
      <c r="Q48" s="556">
        <f t="shared" si="5"/>
        <v>63.958884460967411</v>
      </c>
      <c r="R48" s="557">
        <f t="shared" si="30"/>
        <v>261.71052631578948</v>
      </c>
      <c r="S48" s="582">
        <f t="shared" si="19"/>
        <v>16738.713314850549</v>
      </c>
      <c r="T48" s="555">
        <f t="shared" si="31"/>
        <v>4.4193741271071731</v>
      </c>
      <c r="U48" s="559">
        <f t="shared" si="32"/>
        <v>405.42115030277023</v>
      </c>
      <c r="V48" s="583">
        <f t="shared" si="33"/>
        <v>1791.7077422300913</v>
      </c>
      <c r="W48" s="555">
        <f t="shared" si="34"/>
        <v>2.1220872917604701</v>
      </c>
      <c r="X48" s="563">
        <f t="shared" si="35"/>
        <v>37.9060089869281</v>
      </c>
      <c r="Y48" s="583">
        <f t="shared" si="36"/>
        <v>80.43985995251829</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1933.2212115367774</v>
      </c>
      <c r="I49" s="553">
        <f>ITECountywide!$B$9*E49</f>
        <v>7.2865737096607477</v>
      </c>
      <c r="J49" s="562">
        <f t="shared" si="26"/>
        <v>1.67</v>
      </c>
      <c r="K49" s="416">
        <f t="shared" si="27"/>
        <v>0.8974131092322899</v>
      </c>
      <c r="L49" s="554">
        <f>Passby_Length_Adj!H44</f>
        <v>0.4404979999697734</v>
      </c>
      <c r="M49" s="554">
        <f>Passby_Length_Adj!J44</f>
        <v>1</v>
      </c>
      <c r="N49" s="416">
        <v>0.5</v>
      </c>
      <c r="O49" s="546">
        <f t="shared" si="28"/>
        <v>0.2202489999848867</v>
      </c>
      <c r="P49" s="555">
        <f t="shared" si="29"/>
        <v>11.095131135407197</v>
      </c>
      <c r="Q49" s="556">
        <f t="shared" si="5"/>
        <v>6.6437910990462257</v>
      </c>
      <c r="R49" s="561">
        <f t="shared" si="30"/>
        <v>261.71052631578948</v>
      </c>
      <c r="S49" s="583">
        <f t="shared" si="19"/>
        <v>1738.7500652635451</v>
      </c>
      <c r="T49" s="555">
        <f t="shared" si="31"/>
        <v>0.45906676979252797</v>
      </c>
      <c r="U49" s="559">
        <f t="shared" si="32"/>
        <v>405.42115030277023</v>
      </c>
      <c r="V49" s="582">
        <f t="shared" si="33"/>
        <v>186.1153778750637</v>
      </c>
      <c r="W49" s="555">
        <f t="shared" si="34"/>
        <v>0.22043387371775422</v>
      </c>
      <c r="X49" s="559">
        <f t="shared" si="35"/>
        <v>37.9060089869281</v>
      </c>
      <c r="Y49" s="582">
        <f t="shared" si="36"/>
        <v>8.355768398168566</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13859.561024002471</v>
      </c>
      <c r="I50" s="553">
        <f>ITECountywide!$B$9*E50</f>
        <v>52.238570724483274</v>
      </c>
      <c r="J50" s="562">
        <f t="shared" si="26"/>
        <v>1.67</v>
      </c>
      <c r="K50" s="416">
        <f t="shared" si="27"/>
        <v>0.8974131092322899</v>
      </c>
      <c r="L50" s="554">
        <f>Passby_Length_Adj!H45</f>
        <v>0.4404979999697734</v>
      </c>
      <c r="M50" s="554">
        <f>Passby_Length_Adj!J45</f>
        <v>1</v>
      </c>
      <c r="N50" s="416">
        <v>0.5</v>
      </c>
      <c r="O50" s="546">
        <f t="shared" si="28"/>
        <v>0.2202489999848867</v>
      </c>
      <c r="P50" s="555">
        <f t="shared" si="29"/>
        <v>79.542706299113291</v>
      </c>
      <c r="Q50" s="556">
        <f t="shared" si="5"/>
        <v>47.630363053361258</v>
      </c>
      <c r="R50" s="561">
        <f t="shared" si="30"/>
        <v>261.71052631578948</v>
      </c>
      <c r="S50" s="583">
        <f t="shared" si="19"/>
        <v>12465.367383307308</v>
      </c>
      <c r="T50" s="555">
        <f t="shared" si="31"/>
        <v>3.2911204739852384</v>
      </c>
      <c r="U50" s="559">
        <f t="shared" si="32"/>
        <v>405.42115030277023</v>
      </c>
      <c r="V50" s="582">
        <f t="shared" si="33"/>
        <v>1334.2898483480938</v>
      </c>
      <c r="W50" s="555">
        <f t="shared" si="34"/>
        <v>1.5803244379466859</v>
      </c>
      <c r="X50" s="559">
        <f t="shared" si="35"/>
        <v>37.9060089869281</v>
      </c>
      <c r="Y50" s="582">
        <f t="shared" si="36"/>
        <v>59.903792347069171</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2063.3521831290664</v>
      </c>
      <c r="I52" s="553">
        <f>ITECountywide!$B$9*E52</f>
        <v>3.4257771918554263</v>
      </c>
      <c r="J52" s="562">
        <f t="shared" ref="J52:J60" si="37">IF(F52="Prod",$M$3,$M$4)</f>
        <v>1.67</v>
      </c>
      <c r="K52" s="416">
        <f t="shared" ref="K52:K60" si="38">IF(F52="Prod",$F$4,$F$5)</f>
        <v>0.8974131092322899</v>
      </c>
      <c r="L52" s="554">
        <f>Passby_Length_Adj!H47</f>
        <v>1</v>
      </c>
      <c r="M52" s="554">
        <f>Passby_Length_Adj!J47</f>
        <v>1</v>
      </c>
      <c r="N52" s="416">
        <v>0.5</v>
      </c>
      <c r="O52" s="546">
        <f t="shared" ref="O52:O60" si="39">L52*M52*N52</f>
        <v>0.5</v>
      </c>
      <c r="P52" s="555">
        <f t="shared" ref="P52:P60" si="40">IF($F52="Prod",$I52*$O52*$F$4*$F$6,$I52*O52*$F$5*$F$7)</f>
        <v>11.841977996996645</v>
      </c>
      <c r="Q52" s="556">
        <f t="shared" si="5"/>
        <v>7.0910047886207463</v>
      </c>
      <c r="R52" s="557">
        <f t="shared" ref="R52:R60" si="41">$Q$4</f>
        <v>261.71052631578948</v>
      </c>
      <c r="S52" s="582">
        <f t="shared" si="19"/>
        <v>1855.790595337719</v>
      </c>
      <c r="T52" s="555">
        <f t="shared" ref="T52:T60" si="42">IF($F52="Prod",$I52*$O52*$G$4*$G$6,$I52*$O52*$G$5*$G$7)</f>
        <v>0.48996794365837182</v>
      </c>
      <c r="U52" s="563">
        <f t="shared" ref="U52:U60" si="43">+$R$4</f>
        <v>405.42115030277023</v>
      </c>
      <c r="V52" s="583">
        <f t="shared" ref="V52:V60" si="44">+T52*U52</f>
        <v>198.64336732946001</v>
      </c>
      <c r="W52" s="555">
        <f t="shared" ref="W52:W60" si="45">IF($F52="Prod",$I52*$O52*$J$4*$J$6,$I52*$O52*$J$5*$J$7)</f>
        <v>0.23527194500910967</v>
      </c>
      <c r="X52" s="563">
        <f t="shared" ref="X52:X60" si="46">+$S$4</f>
        <v>37.9060089869281</v>
      </c>
      <c r="Y52" s="583">
        <f t="shared" ref="Y52:Y60" si="47">+W52*X52</f>
        <v>8.9182204618873655</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2216.193085583071</v>
      </c>
      <c r="I53" s="553">
        <f>ITECountywide!$B$9*E53</f>
        <v>3.6795384653261984</v>
      </c>
      <c r="J53" s="562">
        <f t="shared" si="37"/>
        <v>1.67</v>
      </c>
      <c r="K53" s="416">
        <f t="shared" si="38"/>
        <v>0.8974131092322899</v>
      </c>
      <c r="L53" s="554">
        <f>Passby_Length_Adj!H48</f>
        <v>1</v>
      </c>
      <c r="M53" s="554">
        <f>Passby_Length_Adj!J48</f>
        <v>1</v>
      </c>
      <c r="N53" s="416">
        <v>0.5</v>
      </c>
      <c r="O53" s="546">
        <f t="shared" si="39"/>
        <v>0.5</v>
      </c>
      <c r="P53" s="555">
        <f t="shared" si="40"/>
        <v>12.71916155232973</v>
      </c>
      <c r="Q53" s="556">
        <f t="shared" si="5"/>
        <v>7.6162644025926527</v>
      </c>
      <c r="R53" s="557">
        <f t="shared" si="41"/>
        <v>261.71052631578948</v>
      </c>
      <c r="S53" s="582">
        <f t="shared" si="19"/>
        <v>1993.256565362735</v>
      </c>
      <c r="T53" s="555">
        <f t="shared" si="42"/>
        <v>0.52626186541084374</v>
      </c>
      <c r="U53" s="563">
        <f t="shared" si="43"/>
        <v>405.42115030277023</v>
      </c>
      <c r="V53" s="583">
        <f t="shared" si="44"/>
        <v>213.35769083534592</v>
      </c>
      <c r="W53" s="555">
        <f t="shared" si="45"/>
        <v>0.25269949649126594</v>
      </c>
      <c r="X53" s="563">
        <f t="shared" si="46"/>
        <v>37.9060089869281</v>
      </c>
      <c r="Y53" s="583">
        <f t="shared" si="47"/>
        <v>9.5788293849901329</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2308.213693080877</v>
      </c>
      <c r="I54" s="553">
        <f>ITECountywide!$B$9*E54</f>
        <v>7.4497059568919601</v>
      </c>
      <c r="J54" s="562">
        <f t="shared" si="37"/>
        <v>1.67</v>
      </c>
      <c r="K54" s="416">
        <f t="shared" si="38"/>
        <v>0.8974131092322899</v>
      </c>
      <c r="L54" s="554">
        <f>Passby_Length_Adj!H49</f>
        <v>0.51442567196884992</v>
      </c>
      <c r="M54" s="554">
        <f>Passby_Length_Adj!J49</f>
        <v>1</v>
      </c>
      <c r="N54" s="416">
        <v>0.5</v>
      </c>
      <c r="O54" s="546">
        <f t="shared" si="39"/>
        <v>0.25721283598442496</v>
      </c>
      <c r="P54" s="555">
        <f t="shared" si="40"/>
        <v>13.247285649693826</v>
      </c>
      <c r="Q54" s="556">
        <f t="shared" si="5"/>
        <v>7.9325063770621718</v>
      </c>
      <c r="R54" s="557">
        <f t="shared" si="41"/>
        <v>261.71052631578948</v>
      </c>
      <c r="S54" s="582">
        <f t="shared" si="19"/>
        <v>2076.0204189442975</v>
      </c>
      <c r="T54" s="555">
        <f t="shared" si="42"/>
        <v>0.54811327216464356</v>
      </c>
      <c r="U54" s="563">
        <f t="shared" si="43"/>
        <v>405.42115030277023</v>
      </c>
      <c r="V54" s="583">
        <f t="shared" si="44"/>
        <v>222.21671329720516</v>
      </c>
      <c r="W54" s="555">
        <f t="shared" si="45"/>
        <v>0.26319206653526905</v>
      </c>
      <c r="X54" s="563">
        <f t="shared" si="46"/>
        <v>37.9060089869281</v>
      </c>
      <c r="Y54" s="583">
        <f t="shared" si="47"/>
        <v>9.9765608393740877</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1392.7907442434482</v>
      </c>
      <c r="I55" s="553">
        <f>ITECountywide!$B$9*E55</f>
        <v>4.4951997014822531</v>
      </c>
      <c r="J55" s="562">
        <f t="shared" si="37"/>
        <v>1.67</v>
      </c>
      <c r="K55" s="416">
        <f t="shared" si="38"/>
        <v>0.8974131092322899</v>
      </c>
      <c r="L55" s="554">
        <f>Passby_Length_Adj!H50</f>
        <v>0.51442567196884992</v>
      </c>
      <c r="M55" s="554">
        <f>Passby_Length_Adj!J50</f>
        <v>1</v>
      </c>
      <c r="N55" s="416">
        <v>0.5</v>
      </c>
      <c r="O55" s="546">
        <f t="shared" si="39"/>
        <v>0.25721283598442496</v>
      </c>
      <c r="P55" s="555">
        <f t="shared" si="40"/>
        <v>7.9934959638055183</v>
      </c>
      <c r="Q55" s="556">
        <f t="shared" si="5"/>
        <v>4.7865245292248613</v>
      </c>
      <c r="R55" s="557">
        <f t="shared" si="41"/>
        <v>261.71052631578948</v>
      </c>
      <c r="S55" s="582">
        <f t="shared" si="19"/>
        <v>1252.683853766875</v>
      </c>
      <c r="T55" s="555">
        <f t="shared" si="42"/>
        <v>0.33073501580737608</v>
      </c>
      <c r="U55" s="563">
        <f t="shared" si="43"/>
        <v>405.42115030277023</v>
      </c>
      <c r="V55" s="583">
        <f t="shared" si="44"/>
        <v>134.0869705540313</v>
      </c>
      <c r="W55" s="555">
        <f t="shared" si="45"/>
        <v>0.15881175790935942</v>
      </c>
      <c r="X55" s="563">
        <f t="shared" si="46"/>
        <v>37.9060089869281</v>
      </c>
      <c r="Y55" s="583">
        <f t="shared" si="47"/>
        <v>6.0199199225420283</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2019.683353856494</v>
      </c>
      <c r="I56" s="553">
        <f>ITECountywide!$B$9*E56</f>
        <v>3.3532739708637775</v>
      </c>
      <c r="J56" s="562">
        <f t="shared" si="37"/>
        <v>1.67</v>
      </c>
      <c r="K56" s="416">
        <f t="shared" si="38"/>
        <v>0.8974131092322899</v>
      </c>
      <c r="L56" s="554">
        <f>Passby_Length_Adj!H51</f>
        <v>1</v>
      </c>
      <c r="M56" s="554">
        <f>Passby_Length_Adj!J51</f>
        <v>1</v>
      </c>
      <c r="N56" s="416">
        <v>0.5</v>
      </c>
      <c r="O56" s="546">
        <f t="shared" si="39"/>
        <v>0.5</v>
      </c>
      <c r="P56" s="555">
        <f t="shared" si="40"/>
        <v>11.591354124044338</v>
      </c>
      <c r="Q56" s="556">
        <f t="shared" si="5"/>
        <v>6.9409306132002024</v>
      </c>
      <c r="R56" s="557">
        <f t="shared" si="41"/>
        <v>261.71052631578948</v>
      </c>
      <c r="S56" s="582">
        <f t="shared" si="19"/>
        <v>1816.5146039020003</v>
      </c>
      <c r="T56" s="555">
        <f t="shared" si="42"/>
        <v>0.4795982517290942</v>
      </c>
      <c r="U56" s="563">
        <f t="shared" si="43"/>
        <v>405.42115030277023</v>
      </c>
      <c r="V56" s="583">
        <f t="shared" si="44"/>
        <v>194.43927489920694</v>
      </c>
      <c r="W56" s="555">
        <f t="shared" si="45"/>
        <v>0.23029264458563647</v>
      </c>
      <c r="X56" s="563">
        <f t="shared" si="46"/>
        <v>37.9060089869281</v>
      </c>
      <c r="Y56" s="583">
        <f t="shared" si="47"/>
        <v>8.7294750552865743</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645.85054672579247</v>
      </c>
      <c r="I57" s="553">
        <f>ITECountywide!$B$9*E57</f>
        <v>2.0844676035099154</v>
      </c>
      <c r="J57" s="562">
        <f t="shared" si="37"/>
        <v>1.67</v>
      </c>
      <c r="K57" s="416">
        <f t="shared" si="38"/>
        <v>0.8974131092322899</v>
      </c>
      <c r="L57" s="554">
        <f>Passby_Length_Adj!H52</f>
        <v>0.51442567196884992</v>
      </c>
      <c r="M57" s="554">
        <f>Passby_Length_Adj!J52</f>
        <v>1</v>
      </c>
      <c r="N57" s="416">
        <v>0.5</v>
      </c>
      <c r="O57" s="546">
        <f t="shared" si="39"/>
        <v>0.25721283598442496</v>
      </c>
      <c r="P57" s="555">
        <f t="shared" si="40"/>
        <v>3.7066614348291718</v>
      </c>
      <c r="Q57" s="556">
        <f t="shared" si="5"/>
        <v>2.2195577454066897</v>
      </c>
      <c r="R57" s="557">
        <f t="shared" si="41"/>
        <v>261.71052631578948</v>
      </c>
      <c r="S57" s="582">
        <f t="shared" si="19"/>
        <v>580.8816257386718</v>
      </c>
      <c r="T57" s="555">
        <f t="shared" si="42"/>
        <v>0.15336502749132358</v>
      </c>
      <c r="U57" s="563">
        <f t="shared" si="43"/>
        <v>405.42115030277023</v>
      </c>
      <c r="V57" s="583">
        <f t="shared" si="44"/>
        <v>62.177425861748382</v>
      </c>
      <c r="W57" s="555">
        <f t="shared" si="45"/>
        <v>7.3642549030549717E-2</v>
      </c>
      <c r="X57" s="563">
        <f t="shared" si="46"/>
        <v>37.9060089869281</v>
      </c>
      <c r="Y57" s="583">
        <f t="shared" si="47"/>
        <v>2.791495125372311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876.11030686281435</v>
      </c>
      <c r="I58" s="553">
        <f>ITECountywide!$B$9*E58</f>
        <v>2.8276256186743205</v>
      </c>
      <c r="J58" s="562">
        <f t="shared" si="37"/>
        <v>1.67</v>
      </c>
      <c r="K58" s="416">
        <f t="shared" si="38"/>
        <v>0.8974131092322899</v>
      </c>
      <c r="L58" s="554">
        <f>Passby_Length_Adj!H53</f>
        <v>0.51442567196884992</v>
      </c>
      <c r="M58" s="554">
        <f>Passby_Length_Adj!J53</f>
        <v>1</v>
      </c>
      <c r="N58" s="416">
        <v>0.5</v>
      </c>
      <c r="O58" s="546">
        <f t="shared" si="39"/>
        <v>0.25721283598442496</v>
      </c>
      <c r="P58" s="555">
        <f t="shared" si="40"/>
        <v>5.028166815942182</v>
      </c>
      <c r="Q58" s="556">
        <f t="shared" si="5"/>
        <v>3.0108783328995101</v>
      </c>
      <c r="R58" s="557">
        <f t="shared" si="41"/>
        <v>261.71052631578948</v>
      </c>
      <c r="S58" s="582">
        <f t="shared" si="19"/>
        <v>787.97855317593758</v>
      </c>
      <c r="T58" s="555">
        <f t="shared" si="42"/>
        <v>0.20804299381431723</v>
      </c>
      <c r="U58" s="563">
        <f t="shared" si="43"/>
        <v>405.42115030277023</v>
      </c>
      <c r="V58" s="583">
        <f t="shared" si="44"/>
        <v>84.345029864632608</v>
      </c>
      <c r="W58" s="555">
        <f t="shared" si="45"/>
        <v>9.9897718684919631E-2</v>
      </c>
      <c r="X58" s="563">
        <f t="shared" si="46"/>
        <v>37.9060089869281</v>
      </c>
      <c r="Y58" s="583">
        <f t="shared" si="47"/>
        <v>3.7867238222441788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3308.142183611913</v>
      </c>
      <c r="I59" s="553">
        <f>ITECountywide!$B$9*E59</f>
        <v>12.597434647299055</v>
      </c>
      <c r="J59" s="562">
        <f t="shared" si="37"/>
        <v>1.67</v>
      </c>
      <c r="K59" s="416">
        <f t="shared" si="38"/>
        <v>0.8974131092322899</v>
      </c>
      <c r="L59" s="554">
        <f>Passby_Length_Adj!H54</f>
        <v>0.4360013208727776</v>
      </c>
      <c r="M59" s="554">
        <f>Passby_Length_Adj!J54</f>
        <v>1</v>
      </c>
      <c r="N59" s="416">
        <v>0.5</v>
      </c>
      <c r="O59" s="546">
        <f t="shared" si="39"/>
        <v>0.2180006604363888</v>
      </c>
      <c r="P59" s="555">
        <f t="shared" si="40"/>
        <v>18.986069014093388</v>
      </c>
      <c r="Q59" s="556">
        <f t="shared" si="5"/>
        <v>11.368903601253527</v>
      </c>
      <c r="R59" s="557">
        <f t="shared" si="41"/>
        <v>261.71052631578948</v>
      </c>
      <c r="S59" s="582">
        <f t="shared" si="19"/>
        <v>2975.3617451175346</v>
      </c>
      <c r="T59" s="555">
        <f t="shared" si="42"/>
        <v>0.78555839196379007</v>
      </c>
      <c r="U59" s="559">
        <f t="shared" si="43"/>
        <v>405.42115030277023</v>
      </c>
      <c r="V59" s="582">
        <f t="shared" si="44"/>
        <v>318.48198689995422</v>
      </c>
      <c r="W59" s="555">
        <f t="shared" si="45"/>
        <v>0.37720804633785249</v>
      </c>
      <c r="X59" s="559">
        <f t="shared" si="46"/>
        <v>37.9060089869281</v>
      </c>
      <c r="Y59" s="582">
        <f t="shared" si="47"/>
        <v>14.298451594424227</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51987.741248997962</v>
      </c>
      <c r="I60" s="553">
        <f>ITECountywide!$B$9*E60</f>
        <v>86.315084590558413</v>
      </c>
      <c r="J60" s="562">
        <f t="shared" si="37"/>
        <v>1.67</v>
      </c>
      <c r="K60" s="416">
        <f t="shared" si="38"/>
        <v>0.8974131092322899</v>
      </c>
      <c r="L60" s="554">
        <f>Passby_Length_Adj!H55</f>
        <v>1</v>
      </c>
      <c r="M60" s="554">
        <f>Passby_Length_Adj!J55</f>
        <v>1</v>
      </c>
      <c r="N60" s="416">
        <v>0.5</v>
      </c>
      <c r="O60" s="546">
        <f t="shared" si="39"/>
        <v>0.5</v>
      </c>
      <c r="P60" s="555">
        <f t="shared" si="40"/>
        <v>298.36772074972498</v>
      </c>
      <c r="Q60" s="556">
        <f t="shared" si="5"/>
        <v>178.66330583815869</v>
      </c>
      <c r="R60" s="561">
        <f t="shared" si="41"/>
        <v>261.71052631578948</v>
      </c>
      <c r="S60" s="583">
        <f t="shared" si="19"/>
        <v>46758.067804223378</v>
      </c>
      <c r="T60" s="555">
        <f t="shared" si="42"/>
        <v>12.345118241805114</v>
      </c>
      <c r="U60" s="559">
        <f t="shared" si="43"/>
        <v>405.42115030277023</v>
      </c>
      <c r="V60" s="582">
        <f t="shared" si="44"/>
        <v>5004.9720382163414</v>
      </c>
      <c r="W60" s="555">
        <f t="shared" si="45"/>
        <v>5.9278571541448697</v>
      </c>
      <c r="X60" s="559">
        <f t="shared" si="46"/>
        <v>37.9060089869281</v>
      </c>
      <c r="Y60" s="582">
        <f t="shared" si="47"/>
        <v>224.70140655824147</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11703.246245049522</v>
      </c>
      <c r="I62" s="553">
        <f>ITECountywide!$B$9*E62</f>
        <v>19.430863225761996</v>
      </c>
      <c r="J62" s="562">
        <f>IF(F62="Prod",$M$3,$M$4)</f>
        <v>1.67</v>
      </c>
      <c r="K62" s="416">
        <f>IF(F62="Prod",$F$4,$F$5)</f>
        <v>0.8974131092322899</v>
      </c>
      <c r="L62" s="554">
        <f>Passby_Length_Adj!H57</f>
        <v>1</v>
      </c>
      <c r="M62" s="554">
        <f>Passby_Length_Adj!J57</f>
        <v>1</v>
      </c>
      <c r="N62" s="416">
        <v>0.5</v>
      </c>
      <c r="O62" s="546">
        <f>L62*M62*N62</f>
        <v>0.5</v>
      </c>
      <c r="P62" s="555">
        <f>IF($F62="Prod",$I62*$O62*$F$4*$F$6,$I62*O62*$F$5*$F$7)</f>
        <v>67.16719795121908</v>
      </c>
      <c r="Q62" s="556">
        <f t="shared" si="5"/>
        <v>40.219879012706038</v>
      </c>
      <c r="R62" s="557">
        <f>$Q$4</f>
        <v>261.71052631578948</v>
      </c>
      <c r="S62" s="582">
        <f t="shared" si="19"/>
        <v>10525.965704772672</v>
      </c>
      <c r="T62" s="555">
        <f>IF($F62="Prod",$I62*$O62*$G$4*$G$6,$I62*$O62*$G$5*$G$7)</f>
        <v>2.7790774370464271</v>
      </c>
      <c r="U62" s="559">
        <f>+$R$4</f>
        <v>405.42115030277023</v>
      </c>
      <c r="V62" s="582">
        <f>+T62*U62</f>
        <v>1126.696771307837</v>
      </c>
      <c r="W62" s="555">
        <f>IF($F62="Prod",$I62*$O62*$J$4*$J$6,$I62*$O62*$J$5*$J$7)</f>
        <v>1.3344525134908232</v>
      </c>
      <c r="X62" s="559">
        <f>+$S$4</f>
        <v>37.9060089869281</v>
      </c>
      <c r="Y62" s="582">
        <f>+W62*X62</f>
        <v>50.583768969011935</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3340.665439351822</v>
      </c>
      <c r="I63" s="553">
        <f>ITECountywide!$B$9*E63</f>
        <v>5.5464964058611672</v>
      </c>
      <c r="J63" s="562">
        <f>IF(F63="Prod",$M$3,$M$4)</f>
        <v>1.67</v>
      </c>
      <c r="K63" s="416">
        <f>IF(F63="Prod",$F$4,$F$5)</f>
        <v>0.8974131092322899</v>
      </c>
      <c r="L63" s="554">
        <f>Passby_Length_Adj!H58</f>
        <v>1</v>
      </c>
      <c r="M63" s="554">
        <f>Passby_Length_Adj!J58</f>
        <v>1</v>
      </c>
      <c r="N63" s="416">
        <v>0.5</v>
      </c>
      <c r="O63" s="546">
        <f>L63*M63*N63</f>
        <v>0.5</v>
      </c>
      <c r="P63" s="555">
        <f>IF($F63="Prod",$I63*$O63*$F$4*$F$6,$I63*O63*$F$5*$F$7)</f>
        <v>19.172726280851712</v>
      </c>
      <c r="Q63" s="556">
        <f t="shared" si="5"/>
        <v>11.480674419671685</v>
      </c>
      <c r="R63" s="557">
        <f>$Q$4</f>
        <v>261.71052631578948</v>
      </c>
      <c r="S63" s="582">
        <f t="shared" si="19"/>
        <v>3004.6133448324977</v>
      </c>
      <c r="T63" s="555">
        <f>IF($F63="Prod",$I63*$O63*$G$4*$G$6,$I63*$O63*$G$5*$G$7)</f>
        <v>0.79328143258974504</v>
      </c>
      <c r="U63" s="563">
        <f>+$R$4</f>
        <v>405.42115030277023</v>
      </c>
      <c r="V63" s="583">
        <f>+T63*U63</f>
        <v>321.6130709143639</v>
      </c>
      <c r="W63" s="555">
        <f>IF($F63="Prod",$I63*$O63*$J$4*$J$6,$I63*$O63*$J$5*$J$7)</f>
        <v>0.38091648239570142</v>
      </c>
      <c r="X63" s="563">
        <f>+$S$4</f>
        <v>37.9060089869281</v>
      </c>
      <c r="Y63" s="583">
        <f>+W63*X63</f>
        <v>14.439023604960497</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16023.654554846604</v>
      </c>
      <c r="I64" s="553">
        <f>ITECountywide!$B$9*E64</f>
        <v>69.168072826033367</v>
      </c>
      <c r="J64" s="562">
        <f>IF(F64="Prod",$M$3,$M$4)</f>
        <v>1.67</v>
      </c>
      <c r="K64" s="416">
        <f>IF(F64="Prod",$F$4,$F$5)</f>
        <v>0.8974131092322899</v>
      </c>
      <c r="L64" s="554">
        <f>Passby_Length_Adj!H59</f>
        <v>0.3846286671810874</v>
      </c>
      <c r="M64" s="554">
        <f>Passby_Length_Adj!J59</f>
        <v>1</v>
      </c>
      <c r="N64" s="416">
        <v>0.5</v>
      </c>
      <c r="O64" s="546">
        <f>L64*M64*N64</f>
        <v>0.1923143335905437</v>
      </c>
      <c r="P64" s="555">
        <f>IF($F64="Prod",$I64*$O64*$F$4*$F$6,$I64*O64*$F$5*$F$7)</f>
        <v>91.96285841140832</v>
      </c>
      <c r="Q64" s="556">
        <f t="shared" si="5"/>
        <v>55.067579887070849</v>
      </c>
      <c r="R64" s="557">
        <f>$Q$4</f>
        <v>261.71052631578948</v>
      </c>
      <c r="S64" s="582">
        <f t="shared" si="19"/>
        <v>14411.765315182094</v>
      </c>
      <c r="T64" s="555">
        <f>IF($F64="Prod",$I64*$O64*$G$4*$G$6,$I64*$O64*$G$5*$G$7)</f>
        <v>3.8050106696880825</v>
      </c>
      <c r="U64" s="559">
        <f>+$R$4</f>
        <v>405.42115030277023</v>
      </c>
      <c r="V64" s="582">
        <f>+T64*U64</f>
        <v>1542.6318026192566</v>
      </c>
      <c r="W64" s="555">
        <f>IF($F64="Prod",$I64*$O64*$J$4*$J$6,$I64*$O64*$J$5*$J$7)</f>
        <v>1.8270833278474912</v>
      </c>
      <c r="X64" s="559">
        <f>+$S$4</f>
        <v>37.9060089869281</v>
      </c>
      <c r="Y64" s="582">
        <f>+W64*X64</f>
        <v>69.257437045253496</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9028.0024352516266</v>
      </c>
      <c r="I65" s="553">
        <f>ITECountywide!$B$9*E65</f>
        <v>38.970481283011466</v>
      </c>
      <c r="J65" s="562">
        <f>IF(F65="Prod",$M$3,$M$4)</f>
        <v>1.67</v>
      </c>
      <c r="K65" s="416">
        <f>IF(F65="Prod",$F$4,$F$5)</f>
        <v>0.8974131092322899</v>
      </c>
      <c r="L65" s="554">
        <f>Passby_Length_Adj!H60</f>
        <v>0.3846286671810874</v>
      </c>
      <c r="M65" s="554">
        <f>Passby_Length_Adj!J60</f>
        <v>1</v>
      </c>
      <c r="N65" s="416">
        <v>0.5</v>
      </c>
      <c r="O65" s="546">
        <f>L65*M65*N65</f>
        <v>0.1923143335905437</v>
      </c>
      <c r="P65" s="555">
        <f>IF($F65="Prod",$I65*$O65*$F$4*$F$6,$I65*O65*$F$5*$F$7)</f>
        <v>51.81345534185742</v>
      </c>
      <c r="Q65" s="556">
        <f t="shared" si="5"/>
        <v>31.026021162788876</v>
      </c>
      <c r="R65" s="557">
        <f>$Q$4</f>
        <v>261.71052631578948</v>
      </c>
      <c r="S65" s="582">
        <f t="shared" si="19"/>
        <v>8119.8363279982996</v>
      </c>
      <c r="T65" s="555">
        <f>IF($F65="Prod",$I65*$O65*$G$4*$G$6,$I65*$O65*$G$5*$G$7)</f>
        <v>2.1438084223871536</v>
      </c>
      <c r="U65" s="559">
        <f>+$R$4</f>
        <v>405.42115030277023</v>
      </c>
      <c r="V65" s="582">
        <f>+T65*U65</f>
        <v>869.1452766329669</v>
      </c>
      <c r="W65" s="555">
        <f>IF($F65="Prod",$I65*$O65*$J$4*$J$6,$I65*$O65*$J$5*$J$7)</f>
        <v>1.0294101558889168</v>
      </c>
      <c r="X65" s="559">
        <f>+$S$4</f>
        <v>37.9060089869281</v>
      </c>
      <c r="Y65" s="582">
        <f>+W65*X65</f>
        <v>39.020830620360336</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10472.482824891889</v>
      </c>
      <c r="I66" s="553">
        <f>ITECountywide!$B$9*E66</f>
        <v>45.205758288293303</v>
      </c>
      <c r="J66" s="562">
        <f>IF(F66="Prod",$M$3,$M$4)</f>
        <v>1.67</v>
      </c>
      <c r="K66" s="416">
        <f>IF(F66="Prod",$F$4,$F$5)</f>
        <v>0.8974131092322899</v>
      </c>
      <c r="L66" s="554">
        <f>Passby_Length_Adj!H61</f>
        <v>0.3846286671810874</v>
      </c>
      <c r="M66" s="554">
        <f>Passby_Length_Adj!J61</f>
        <v>1</v>
      </c>
      <c r="N66" s="416">
        <v>0.5</v>
      </c>
      <c r="O66" s="546">
        <f>L66*M66*N66</f>
        <v>0.1923143335905437</v>
      </c>
      <c r="P66" s="555">
        <f>IF($F66="Prod",$I66*$O66*$F$4*$F$6,$I66*O66*$F$5*$F$7)</f>
        <v>60.103608196554624</v>
      </c>
      <c r="Q66" s="556">
        <f t="shared" si="5"/>
        <v>35.990184548835103</v>
      </c>
      <c r="R66" s="557">
        <f>$Q$4</f>
        <v>261.71052631578948</v>
      </c>
      <c r="S66" s="582">
        <f t="shared" si="19"/>
        <v>9419.0101404780289</v>
      </c>
      <c r="T66" s="555">
        <f>IF($F66="Prod",$I66*$O66*$G$4*$G$6,$I66*$O66*$G$5*$G$7)</f>
        <v>2.486817769969099</v>
      </c>
      <c r="U66" s="559">
        <f>+$R$4</f>
        <v>405.42115030277023</v>
      </c>
      <c r="V66" s="582">
        <f>+T66*U66</f>
        <v>1008.2085208942419</v>
      </c>
      <c r="W66" s="555">
        <f>IF($F66="Prod",$I66*$O66*$J$4*$J$6,$I66*$O66*$J$5*$J$7)</f>
        <v>1.1941157808311438</v>
      </c>
      <c r="X66" s="559">
        <f>+$S$4</f>
        <v>37.9060089869281</v>
      </c>
      <c r="Y66" s="582">
        <f>+W66*X66</f>
        <v>45.264163519618002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15951.130781433842</v>
      </c>
      <c r="I68" s="553">
        <f>ITECountywide!$B$9*E68</f>
        <v>20.049119939245994</v>
      </c>
      <c r="J68" s="562">
        <f t="shared" ref="J68:J87" si="48">IF(F68="Prod",$M$3,$M$4)</f>
        <v>1.67</v>
      </c>
      <c r="K68" s="416">
        <f t="shared" ref="K68:K87" si="49">IF(F68="Prod",$F$4,$F$5)</f>
        <v>0.8974131092322899</v>
      </c>
      <c r="L68" s="554">
        <f>Passby_Length_Adj!H63</f>
        <v>1.3209364175632392</v>
      </c>
      <c r="M68" s="554">
        <f>Passby_Length_Adj!J63</f>
        <v>1</v>
      </c>
      <c r="N68" s="416">
        <v>0.5</v>
      </c>
      <c r="O68" s="546">
        <f t="shared" ref="O68:O87" si="50">L68*M68*N68</f>
        <v>0.6604682087816196</v>
      </c>
      <c r="P68" s="555">
        <f t="shared" ref="P68:P87" si="51">IF($F68="Prod",$I68*$O68*$F$4*$F$6,$I68*O68*$F$5*$F$7)</f>
        <v>91.546630422781249</v>
      </c>
      <c r="Q68" s="556">
        <f t="shared" si="5"/>
        <v>54.818341570527693</v>
      </c>
      <c r="R68" s="561">
        <f t="shared" ref="R68:R87" si="52">$Q$4</f>
        <v>261.71052631578948</v>
      </c>
      <c r="S68" s="583">
        <f t="shared" si="19"/>
        <v>14346.537024181524</v>
      </c>
      <c r="T68" s="555">
        <f t="shared" ref="T68:T87" si="53">IF($F68="Prod",$I68*$O68*$G$4*$G$6,$I68*$O68*$G$5*$G$7)</f>
        <v>3.78778902211093</v>
      </c>
      <c r="U68" s="559">
        <f t="shared" ref="U68:U87" si="54">+$R$4</f>
        <v>405.42115030277023</v>
      </c>
      <c r="V68" s="582">
        <f t="shared" ref="V68:V87" si="55">+T68*U68</f>
        <v>1535.6497824484184</v>
      </c>
      <c r="W68" s="555">
        <f t="shared" ref="W68:W87" si="56">IF($F68="Prod",$I68*$O68*$J$4*$J$6,$I68*$O68*$J$5*$J$7)</f>
        <v>1.8188138674181307</v>
      </c>
      <c r="X68" s="559">
        <f t="shared" ref="X68:X87" si="57">+$S$4</f>
        <v>37.9060089869281</v>
      </c>
      <c r="Y68" s="582">
        <f t="shared" ref="Y68:Y87" si="58">+W68*X68</f>
        <v>68.943974803901114</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15433.976623837829</v>
      </c>
      <c r="I69" s="553">
        <f>ITECountywide!$B$9*E69</f>
        <v>19.399104220937762</v>
      </c>
      <c r="J69" s="562">
        <f t="shared" si="48"/>
        <v>1.67</v>
      </c>
      <c r="K69" s="416">
        <f t="shared" si="49"/>
        <v>0.8974131092322899</v>
      </c>
      <c r="L69" s="554">
        <f>Passby_Length_Adj!H64</f>
        <v>1.3209364175632392</v>
      </c>
      <c r="M69" s="554">
        <f>Passby_Length_Adj!J64</f>
        <v>1</v>
      </c>
      <c r="N69" s="416">
        <v>0.5</v>
      </c>
      <c r="O69" s="546">
        <f t="shared" si="50"/>
        <v>0.6604682087816196</v>
      </c>
      <c r="P69" s="555">
        <f t="shared" si="51"/>
        <v>88.578582502808558</v>
      </c>
      <c r="Q69" s="556">
        <f t="shared" si="5"/>
        <v>53.041067366951232</v>
      </c>
      <c r="R69" s="561">
        <f t="shared" si="52"/>
        <v>261.71052631578948</v>
      </c>
      <c r="S69" s="583">
        <f t="shared" si="19"/>
        <v>13881.405656956053</v>
      </c>
      <c r="T69" s="555">
        <f t="shared" si="53"/>
        <v>3.6649845095204356</v>
      </c>
      <c r="U69" s="559">
        <f t="shared" si="54"/>
        <v>405.42115030277023</v>
      </c>
      <c r="V69" s="582">
        <f t="shared" si="55"/>
        <v>1485.8622356916092</v>
      </c>
      <c r="W69" s="555">
        <f t="shared" si="56"/>
        <v>1.7598458126565593</v>
      </c>
      <c r="X69" s="559">
        <f t="shared" si="57"/>
        <v>37.9060089869281</v>
      </c>
      <c r="Y69" s="582">
        <f t="shared" si="58"/>
        <v>66.708731190167327</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15199.257602711863</v>
      </c>
      <c r="I70" s="553">
        <f>ITECountywide!$B$9*E70</f>
        <v>19.10408376934355</v>
      </c>
      <c r="J70" s="562">
        <f t="shared" si="48"/>
        <v>1.67</v>
      </c>
      <c r="K70" s="416">
        <f t="shared" si="49"/>
        <v>0.8974131092322899</v>
      </c>
      <c r="L70" s="554">
        <f>Passby_Length_Adj!H65</f>
        <v>1.3209364175632392</v>
      </c>
      <c r="M70" s="554">
        <f>Passby_Length_Adj!J65</f>
        <v>1</v>
      </c>
      <c r="N70" s="416">
        <v>0.5</v>
      </c>
      <c r="O70" s="546">
        <f t="shared" si="50"/>
        <v>0.6604682087816196</v>
      </c>
      <c r="P70" s="555">
        <f t="shared" si="51"/>
        <v>87.231484558804084</v>
      </c>
      <c r="Q70" s="556">
        <f t="shared" si="5"/>
        <v>52.234421891499451</v>
      </c>
      <c r="R70" s="561">
        <f t="shared" si="52"/>
        <v>261.71052631578948</v>
      </c>
      <c r="S70" s="583">
        <f t="shared" si="19"/>
        <v>13670.298045025318</v>
      </c>
      <c r="T70" s="555">
        <f t="shared" si="53"/>
        <v>3.6092476377159377</v>
      </c>
      <c r="U70" s="559">
        <f t="shared" si="54"/>
        <v>405.42115030277023</v>
      </c>
      <c r="V70" s="582">
        <f t="shared" si="55"/>
        <v>1463.2653290103515</v>
      </c>
      <c r="W70" s="555">
        <f t="shared" si="56"/>
        <v>1.7330821796313938</v>
      </c>
      <c r="X70" s="559">
        <f t="shared" si="57"/>
        <v>37.9060089869281</v>
      </c>
      <c r="Y70" s="582">
        <f t="shared" si="58"/>
        <v>65.694228676192552</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15046.605500776781</v>
      </c>
      <c r="I71" s="553">
        <f>ITECountywide!$B$9*E71</f>
        <v>18.912213967596532</v>
      </c>
      <c r="J71" s="562">
        <f t="shared" si="48"/>
        <v>1.67</v>
      </c>
      <c r="K71" s="416">
        <f t="shared" si="49"/>
        <v>0.8974131092322899</v>
      </c>
      <c r="L71" s="554">
        <f>Passby_Length_Adj!H66</f>
        <v>1.3209364175632392</v>
      </c>
      <c r="M71" s="554">
        <f>Passby_Length_Adj!J66</f>
        <v>1</v>
      </c>
      <c r="N71" s="416">
        <v>0.5</v>
      </c>
      <c r="O71" s="546">
        <f t="shared" si="50"/>
        <v>0.6604682087816196</v>
      </c>
      <c r="P71" s="555">
        <f t="shared" si="51"/>
        <v>86.355384566233184</v>
      </c>
      <c r="Q71" s="556">
        <f t="shared" si="5"/>
        <v>51.709811117504906</v>
      </c>
      <c r="R71" s="561">
        <f t="shared" si="52"/>
        <v>261.71052631578948</v>
      </c>
      <c r="S71" s="583">
        <f t="shared" si="19"/>
        <v>13533.001883252271</v>
      </c>
      <c r="T71" s="555">
        <f t="shared" si="53"/>
        <v>3.5729985489312814</v>
      </c>
      <c r="U71" s="559">
        <f t="shared" si="54"/>
        <v>405.42115030277023</v>
      </c>
      <c r="V71" s="582">
        <f t="shared" si="55"/>
        <v>1448.569181737849</v>
      </c>
      <c r="W71" s="555">
        <f t="shared" si="56"/>
        <v>1.7156761559648321</v>
      </c>
      <c r="X71" s="559">
        <f t="shared" si="57"/>
        <v>37.9060089869281</v>
      </c>
      <c r="Y71" s="582">
        <f t="shared" si="58"/>
        <v>65.034435786661177</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14886.461404348402</v>
      </c>
      <c r="I72" s="553">
        <f>ITECountywide!$B$9*E72</f>
        <v>18.710927410496026</v>
      </c>
      <c r="J72" s="562">
        <f t="shared" si="48"/>
        <v>1.67</v>
      </c>
      <c r="K72" s="416">
        <f t="shared" si="49"/>
        <v>0.8974131092322899</v>
      </c>
      <c r="L72" s="554">
        <f>Passby_Length_Adj!H67</f>
        <v>1.3209364175632392</v>
      </c>
      <c r="M72" s="554">
        <f>Passby_Length_Adj!J67</f>
        <v>1</v>
      </c>
      <c r="N72" s="416">
        <v>0.5</v>
      </c>
      <c r="O72" s="546">
        <f t="shared" si="50"/>
        <v>0.6604682087816196</v>
      </c>
      <c r="P72" s="555">
        <f t="shared" si="51"/>
        <v>85.436286565533251</v>
      </c>
      <c r="Q72" s="556">
        <f t="shared" si="5"/>
        <v>51.159453033253449</v>
      </c>
      <c r="R72" s="561">
        <f t="shared" si="52"/>
        <v>261.71052631578948</v>
      </c>
      <c r="S72" s="583">
        <f t="shared" si="19"/>
        <v>13388.967379360673</v>
      </c>
      <c r="T72" s="555">
        <f t="shared" si="53"/>
        <v>3.5349703953966536</v>
      </c>
      <c r="U72" s="559">
        <f t="shared" si="54"/>
        <v>405.42115030277023</v>
      </c>
      <c r="V72" s="582">
        <f t="shared" si="55"/>
        <v>1433.1517639879498</v>
      </c>
      <c r="W72" s="555">
        <f t="shared" si="56"/>
        <v>1.6974158641171784</v>
      </c>
      <c r="X72" s="559">
        <f t="shared" si="57"/>
        <v>37.9060089869281</v>
      </c>
      <c r="Y72" s="582">
        <f t="shared" si="58"/>
        <v>64.342260999780095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14736.950837243872</v>
      </c>
      <c r="I73" s="553">
        <f>ITECountywide!$B$9*E73</f>
        <v>18.523006232171017</v>
      </c>
      <c r="J73" s="562">
        <f t="shared" si="48"/>
        <v>1.67</v>
      </c>
      <c r="K73" s="416">
        <f t="shared" si="49"/>
        <v>0.8974131092322899</v>
      </c>
      <c r="L73" s="554">
        <f>Passby_Length_Adj!H68</f>
        <v>1.3209364175632392</v>
      </c>
      <c r="M73" s="554">
        <f>Passby_Length_Adj!J68</f>
        <v>1</v>
      </c>
      <c r="N73" s="416">
        <v>0.5</v>
      </c>
      <c r="O73" s="546">
        <f t="shared" si="50"/>
        <v>0.6604682087816196</v>
      </c>
      <c r="P73" s="555">
        <f t="shared" si="51"/>
        <v>84.578216450093549</v>
      </c>
      <c r="Q73" s="556">
        <f t="shared" si="5"/>
        <v>50.645638592870391</v>
      </c>
      <c r="R73" s="561">
        <f t="shared" si="52"/>
        <v>261.71052631578948</v>
      </c>
      <c r="S73" s="583">
        <f t="shared" si="19"/>
        <v>13254.496731739369</v>
      </c>
      <c r="T73" s="555">
        <f t="shared" si="53"/>
        <v>3.4994673020719311</v>
      </c>
      <c r="U73" s="559">
        <f t="shared" si="54"/>
        <v>405.42115030277023</v>
      </c>
      <c r="V73" s="582">
        <f t="shared" si="55"/>
        <v>1418.7580590529342</v>
      </c>
      <c r="W73" s="555">
        <f t="shared" si="56"/>
        <v>1.6803680512378696</v>
      </c>
      <c r="X73" s="559">
        <f t="shared" si="57"/>
        <v>37.9060089869281</v>
      </c>
      <c r="Y73" s="582">
        <f t="shared" si="58"/>
        <v>63.696046451569543</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14626.260381974527</v>
      </c>
      <c r="I74" s="553">
        <f>ITECountywide!$B$9*E74</f>
        <v>18.383878402035741</v>
      </c>
      <c r="J74" s="562">
        <f t="shared" si="48"/>
        <v>1.67</v>
      </c>
      <c r="K74" s="416">
        <f t="shared" si="49"/>
        <v>0.8974131092322899</v>
      </c>
      <c r="L74" s="554">
        <f>Passby_Length_Adj!H69</f>
        <v>1.3209364175632392</v>
      </c>
      <c r="M74" s="554">
        <f>Passby_Length_Adj!J69</f>
        <v>1</v>
      </c>
      <c r="N74" s="416">
        <v>0.5</v>
      </c>
      <c r="O74" s="546">
        <f t="shared" si="50"/>
        <v>0.6604682087816196</v>
      </c>
      <c r="P74" s="555">
        <f t="shared" si="51"/>
        <v>83.942942478691663</v>
      </c>
      <c r="Q74" s="556">
        <f t="shared" si="5"/>
        <v>50.265235017180636</v>
      </c>
      <c r="R74" s="561">
        <f t="shared" si="52"/>
        <v>261.71052631578948</v>
      </c>
      <c r="S74" s="583">
        <f t="shared" si="19"/>
        <v>13154.941111733197</v>
      </c>
      <c r="T74" s="555">
        <f t="shared" si="53"/>
        <v>3.473182514048645</v>
      </c>
      <c r="U74" s="559">
        <f t="shared" si="54"/>
        <v>405.42115030277023</v>
      </c>
      <c r="V74" s="582">
        <f t="shared" si="55"/>
        <v>1408.101650057069</v>
      </c>
      <c r="W74" s="555">
        <f t="shared" si="56"/>
        <v>1.6677466679771262</v>
      </c>
      <c r="X74" s="559">
        <f t="shared" si="57"/>
        <v>37.9060089869281</v>
      </c>
      <c r="Y74" s="582">
        <f t="shared" si="58"/>
        <v>63.21762018426034</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14538.473037033335</v>
      </c>
      <c r="I75" s="553">
        <f>ITECountywide!$B$9*E75</f>
        <v>18.273537697543336</v>
      </c>
      <c r="J75" s="562">
        <f t="shared" si="48"/>
        <v>1.67</v>
      </c>
      <c r="K75" s="416">
        <f t="shared" si="49"/>
        <v>0.8974131092322899</v>
      </c>
      <c r="L75" s="554">
        <f>Passby_Length_Adj!H70</f>
        <v>1.3209364175632392</v>
      </c>
      <c r="M75" s="554">
        <f>Passby_Length_Adj!J70</f>
        <v>1</v>
      </c>
      <c r="N75" s="416">
        <v>0.5</v>
      </c>
      <c r="O75" s="546">
        <f t="shared" si="50"/>
        <v>0.6604682087816196</v>
      </c>
      <c r="P75" s="555">
        <f t="shared" si="51"/>
        <v>83.439113895423915</v>
      </c>
      <c r="Q75" s="556">
        <f t="shared" si="5"/>
        <v>49.963541254744861</v>
      </c>
      <c r="R75" s="561">
        <f t="shared" si="52"/>
        <v>261.71052631578948</v>
      </c>
      <c r="S75" s="583">
        <f t="shared" si="19"/>
        <v>13075.984678379938</v>
      </c>
      <c r="T75" s="555">
        <f t="shared" si="53"/>
        <v>3.4523363467138783</v>
      </c>
      <c r="U75" s="559">
        <f t="shared" si="54"/>
        <v>405.42115030277023</v>
      </c>
      <c r="V75" s="582">
        <f t="shared" si="55"/>
        <v>1399.650172916804</v>
      </c>
      <c r="W75" s="555">
        <f t="shared" si="56"/>
        <v>1.6577367920284756</v>
      </c>
      <c r="X75" s="559">
        <f t="shared" si="57"/>
        <v>37.9060089869281</v>
      </c>
      <c r="Y75" s="582">
        <f t="shared" si="58"/>
        <v>62.838185736592756</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14465.79397000992</v>
      </c>
      <c r="I76" s="553">
        <f>ITECountywide!$B$9*E76</f>
        <v>18.182186723634896</v>
      </c>
      <c r="J76" s="562">
        <f t="shared" si="48"/>
        <v>1.67</v>
      </c>
      <c r="K76" s="416">
        <f t="shared" si="49"/>
        <v>0.8974131092322899</v>
      </c>
      <c r="L76" s="554">
        <f>Passby_Length_Adj!H71</f>
        <v>1.3209364175632392</v>
      </c>
      <c r="M76" s="554">
        <f>Passby_Length_Adj!J71</f>
        <v>1</v>
      </c>
      <c r="N76" s="416">
        <v>0.5</v>
      </c>
      <c r="O76" s="546">
        <f t="shared" si="50"/>
        <v>0.6604682087816196</v>
      </c>
      <c r="P76" s="555">
        <f t="shared" si="51"/>
        <v>83.021994646673889</v>
      </c>
      <c r="Q76" s="556">
        <f t="shared" si="5"/>
        <v>49.713769249505326</v>
      </c>
      <c r="R76" s="561">
        <f t="shared" si="52"/>
        <v>261.71052631578948</v>
      </c>
      <c r="S76" s="583">
        <f t="shared" si="19"/>
        <v>13010.616715429749</v>
      </c>
      <c r="T76" s="555">
        <f t="shared" si="53"/>
        <v>3.4350778227897338</v>
      </c>
      <c r="U76" s="559">
        <f t="shared" si="54"/>
        <v>405.42115030277023</v>
      </c>
      <c r="V76" s="582">
        <f t="shared" si="55"/>
        <v>1392.6532022949493</v>
      </c>
      <c r="W76" s="555">
        <f t="shared" si="56"/>
        <v>1.6494496243797057</v>
      </c>
      <c r="X76" s="559">
        <f t="shared" si="57"/>
        <v>37.9060089869281</v>
      </c>
      <c r="Y76" s="582">
        <f t="shared" si="58"/>
        <v>62.524052285222304</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59">+S77+V77+Y77</f>
        <v>14375.963995933107</v>
      </c>
      <c r="I77" s="553">
        <f>ITECountywide!$B$9*E77</f>
        <v>18.069278620185472</v>
      </c>
      <c r="J77" s="562">
        <f t="shared" si="48"/>
        <v>1.67</v>
      </c>
      <c r="K77" s="416">
        <f t="shared" si="49"/>
        <v>0.8974131092322899</v>
      </c>
      <c r="L77" s="554">
        <f>Passby_Length_Adj!H72</f>
        <v>1.3209364175632392</v>
      </c>
      <c r="M77" s="554">
        <f>Passby_Length_Adj!J72</f>
        <v>1</v>
      </c>
      <c r="N77" s="416">
        <v>0.5</v>
      </c>
      <c r="O77" s="546">
        <f t="shared" si="50"/>
        <v>0.6604682087816196</v>
      </c>
      <c r="P77" s="555">
        <f t="shared" si="51"/>
        <v>82.506443018994318</v>
      </c>
      <c r="Q77" s="556">
        <f t="shared" si="5"/>
        <v>49.405055699996602</v>
      </c>
      <c r="R77" s="561">
        <f t="shared" si="52"/>
        <v>261.71052631578948</v>
      </c>
      <c r="S77" s="583">
        <f t="shared" si="19"/>
        <v>12929.823129907005</v>
      </c>
      <c r="T77" s="555">
        <f t="shared" si="53"/>
        <v>3.4137466084497001</v>
      </c>
      <c r="U77" s="559">
        <f t="shared" si="54"/>
        <v>405.42115030277023</v>
      </c>
      <c r="V77" s="582">
        <f t="shared" si="55"/>
        <v>1384.005076839858</v>
      </c>
      <c r="W77" s="555">
        <f t="shared" si="56"/>
        <v>1.6392068394135835</v>
      </c>
      <c r="X77" s="559">
        <f t="shared" si="57"/>
        <v>37.9060089869281</v>
      </c>
      <c r="Y77" s="582">
        <f t="shared" si="58"/>
        <v>62.135789186245304</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59"/>
        <v>23347.496557165072</v>
      </c>
      <c r="I78" s="553">
        <f>ITECountywide!$B$9*E78</f>
        <v>29.345678696370033</v>
      </c>
      <c r="J78" s="562">
        <f t="shared" si="48"/>
        <v>1.67</v>
      </c>
      <c r="K78" s="416">
        <f t="shared" si="49"/>
        <v>0.8974131092322899</v>
      </c>
      <c r="L78" s="554">
        <f>Passby_Length_Adj!H73</f>
        <v>1.3209364175632392</v>
      </c>
      <c r="M78" s="554">
        <f>Passby_Length_Adj!J73</f>
        <v>1</v>
      </c>
      <c r="N78" s="416">
        <v>0.5</v>
      </c>
      <c r="O78" s="546">
        <f t="shared" si="50"/>
        <v>0.6604682087816196</v>
      </c>
      <c r="P78" s="555">
        <f t="shared" si="51"/>
        <v>133.9958068116234</v>
      </c>
      <c r="Q78" s="556">
        <f t="shared" si="5"/>
        <v>80.237010066840355</v>
      </c>
      <c r="R78" s="561">
        <f t="shared" si="52"/>
        <v>261.71052631578948</v>
      </c>
      <c r="S78" s="583">
        <f t="shared" si="19"/>
        <v>20998.870134598088</v>
      </c>
      <c r="T78" s="555">
        <f t="shared" si="53"/>
        <v>5.5441455759322134</v>
      </c>
      <c r="U78" s="559">
        <f t="shared" si="54"/>
        <v>405.42115030277023</v>
      </c>
      <c r="V78" s="582">
        <f t="shared" si="55"/>
        <v>2247.7138768404525</v>
      </c>
      <c r="W78" s="555">
        <f t="shared" si="56"/>
        <v>2.6621780668424653</v>
      </c>
      <c r="X78" s="559">
        <f t="shared" si="57"/>
        <v>37.9060089869281</v>
      </c>
      <c r="Y78" s="582">
        <f t="shared" si="58"/>
        <v>100.91254572653337</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59"/>
        <v>11464.6446960755</v>
      </c>
      <c r="I79" s="553">
        <f>ITECountywide!$B$9*E79</f>
        <v>14.410015172090286</v>
      </c>
      <c r="J79" s="562">
        <f t="shared" si="48"/>
        <v>1.67</v>
      </c>
      <c r="K79" s="416">
        <f t="shared" si="49"/>
        <v>0.8974131092322899</v>
      </c>
      <c r="L79" s="554">
        <f>Passby_Length_Adj!H74</f>
        <v>1.3209364175632392</v>
      </c>
      <c r="M79" s="554">
        <f>Passby_Length_Adj!J74</f>
        <v>1</v>
      </c>
      <c r="N79" s="416">
        <v>0.5</v>
      </c>
      <c r="O79" s="546">
        <f t="shared" si="50"/>
        <v>0.6604682087816196</v>
      </c>
      <c r="P79" s="555">
        <f t="shared" si="51"/>
        <v>65.797817427572951</v>
      </c>
      <c r="Q79" s="556">
        <f t="shared" si="5"/>
        <v>39.399890675193383</v>
      </c>
      <c r="R79" s="561">
        <f t="shared" si="52"/>
        <v>261.71052631578948</v>
      </c>
      <c r="S79" s="583">
        <f t="shared" si="19"/>
        <v>10311.366125389426</v>
      </c>
      <c r="T79" s="555">
        <f t="shared" si="53"/>
        <v>2.7224186120235392</v>
      </c>
      <c r="U79" s="559">
        <f t="shared" si="54"/>
        <v>405.42115030277023</v>
      </c>
      <c r="V79" s="582">
        <f t="shared" si="55"/>
        <v>1103.7260852922543</v>
      </c>
      <c r="W79" s="555">
        <f t="shared" si="56"/>
        <v>1.307246178591575</v>
      </c>
      <c r="X79" s="559">
        <f t="shared" si="57"/>
        <v>37.9060089869281</v>
      </c>
      <c r="Y79" s="582">
        <f t="shared" si="58"/>
        <v>49.552485393819659</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59"/>
        <v>16223.553815201176</v>
      </c>
      <c r="I80" s="553">
        <f>ITECountywide!$B$9*E80</f>
        <v>20.391530903901348</v>
      </c>
      <c r="J80" s="562">
        <f t="shared" si="48"/>
        <v>1.67</v>
      </c>
      <c r="K80" s="416">
        <f t="shared" si="49"/>
        <v>0.8974131092322899</v>
      </c>
      <c r="L80" s="554">
        <f>Passby_Length_Adj!H75</f>
        <v>1.3209364175632392</v>
      </c>
      <c r="M80" s="554">
        <f>Passby_Length_Adj!J75</f>
        <v>1</v>
      </c>
      <c r="N80" s="416">
        <v>0.5</v>
      </c>
      <c r="O80" s="546">
        <f t="shared" si="50"/>
        <v>0.6604682087816196</v>
      </c>
      <c r="P80" s="555">
        <f t="shared" si="51"/>
        <v>93.110119001282456</v>
      </c>
      <c r="Q80" s="556">
        <f t="shared" ref="Q80:Q137" si="60">+P80/J80</f>
        <v>55.754562276217044</v>
      </c>
      <c r="R80" s="561">
        <f t="shared" si="52"/>
        <v>261.71052631578948</v>
      </c>
      <c r="S80" s="583">
        <f t="shared" si="19"/>
        <v>14591.555837815224</v>
      </c>
      <c r="T80" s="555">
        <f t="shared" si="53"/>
        <v>3.8524791679578381</v>
      </c>
      <c r="U80" s="559">
        <f t="shared" si="54"/>
        <v>405.42115030277023</v>
      </c>
      <c r="V80" s="582">
        <f t="shared" si="55"/>
        <v>1561.8765357909258</v>
      </c>
      <c r="W80" s="555">
        <f t="shared" si="56"/>
        <v>1.8498766678182663</v>
      </c>
      <c r="X80" s="559">
        <f t="shared" si="57"/>
        <v>37.9060089869281</v>
      </c>
      <c r="Y80" s="582">
        <f t="shared" si="58"/>
        <v>70.121441595027804</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59"/>
        <v>14612.766732407286</v>
      </c>
      <c r="I81" s="553">
        <f>ITECountywide!$B$9*E81</f>
        <v>63.077802262734835</v>
      </c>
      <c r="J81" s="562">
        <f t="shared" si="48"/>
        <v>1.67</v>
      </c>
      <c r="K81" s="416">
        <f t="shared" si="49"/>
        <v>0.8974131092322899</v>
      </c>
      <c r="L81" s="554">
        <f>Passby_Length_Adj!H76</f>
        <v>0.3846286671810874</v>
      </c>
      <c r="M81" s="554">
        <f>Passby_Length_Adj!J76</f>
        <v>1</v>
      </c>
      <c r="N81" s="416">
        <v>0.5</v>
      </c>
      <c r="O81" s="546">
        <f t="shared" si="50"/>
        <v>0.1923143335905437</v>
      </c>
      <c r="P81" s="555">
        <f t="shared" si="51"/>
        <v>83.865499809145973</v>
      </c>
      <c r="Q81" s="556">
        <f t="shared" si="60"/>
        <v>50.218862161165255</v>
      </c>
      <c r="R81" s="561">
        <f t="shared" si="52"/>
        <v>261.71052631578948</v>
      </c>
      <c r="S81" s="583">
        <f t="shared" si="19"/>
        <v>13142.804847178644</v>
      </c>
      <c r="T81" s="555">
        <f t="shared" si="53"/>
        <v>3.4699782836778117</v>
      </c>
      <c r="U81" s="559">
        <f t="shared" si="54"/>
        <v>405.42115030277023</v>
      </c>
      <c r="V81" s="582">
        <f t="shared" si="55"/>
        <v>1406.8025872942908</v>
      </c>
      <c r="W81" s="555">
        <f t="shared" si="56"/>
        <v>1.6662080662760141</v>
      </c>
      <c r="X81" s="559">
        <f t="shared" si="57"/>
        <v>37.9060089869281</v>
      </c>
      <c r="Y81" s="582">
        <f t="shared" si="58"/>
        <v>63.159297934350683</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59"/>
        <v>32576.896060923966</v>
      </c>
      <c r="I82" s="553">
        <f>ITECountywide!$B$9*E82</f>
        <v>40.946194055033907</v>
      </c>
      <c r="J82" s="562">
        <f t="shared" si="48"/>
        <v>1.67</v>
      </c>
      <c r="K82" s="416">
        <f t="shared" si="49"/>
        <v>0.8974131092322899</v>
      </c>
      <c r="L82" s="554">
        <f>Passby_Length_Adj!H77</f>
        <v>1.3209364175632392</v>
      </c>
      <c r="M82" s="554">
        <f>Passby_Length_Adj!J77</f>
        <v>1</v>
      </c>
      <c r="N82" s="416">
        <v>0.5</v>
      </c>
      <c r="O82" s="546">
        <f t="shared" si="50"/>
        <v>0.6604682087816196</v>
      </c>
      <c r="P82" s="555">
        <f t="shared" si="51"/>
        <v>186.96511895457519</v>
      </c>
      <c r="Q82" s="556">
        <f t="shared" si="60"/>
        <v>111.95516105064382</v>
      </c>
      <c r="R82" s="561">
        <f t="shared" si="52"/>
        <v>261.71052631578948</v>
      </c>
      <c r="S82" s="583">
        <f t="shared" si="19"/>
        <v>29299.844122332968</v>
      </c>
      <c r="T82" s="555">
        <f t="shared" si="53"/>
        <v>7.7357781692593388</v>
      </c>
      <c r="U82" s="559">
        <f t="shared" si="54"/>
        <v>405.42115030277023</v>
      </c>
      <c r="V82" s="582">
        <f t="shared" si="55"/>
        <v>3136.248083868179</v>
      </c>
      <c r="W82" s="555">
        <f t="shared" si="56"/>
        <v>3.7145523489790784</v>
      </c>
      <c r="X82" s="559">
        <f t="shared" si="57"/>
        <v>37.9060089869281</v>
      </c>
      <c r="Y82" s="582">
        <f t="shared" si="58"/>
        <v>140.80385472281583</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59"/>
        <v>4707.158479031199</v>
      </c>
      <c r="I83" s="553">
        <f>ITECountywide!$B$9*E83</f>
        <v>20.319027682909702</v>
      </c>
      <c r="J83" s="562">
        <f t="shared" si="48"/>
        <v>1.67</v>
      </c>
      <c r="K83" s="416">
        <f t="shared" si="49"/>
        <v>0.8974131092322899</v>
      </c>
      <c r="L83" s="554">
        <f>Passby_Length_Adj!H78</f>
        <v>0.3846286671810874</v>
      </c>
      <c r="M83" s="554">
        <f>Passby_Length_Adj!J78</f>
        <v>1</v>
      </c>
      <c r="N83" s="416">
        <v>0.5</v>
      </c>
      <c r="O83" s="546">
        <f t="shared" si="50"/>
        <v>0.1923143335905437</v>
      </c>
      <c r="P83" s="555">
        <f t="shared" si="51"/>
        <v>27.015294622428925</v>
      </c>
      <c r="Q83" s="556">
        <f t="shared" si="60"/>
        <v>16.176823127202951</v>
      </c>
      <c r="R83" s="561">
        <f t="shared" si="52"/>
        <v>261.71052631578948</v>
      </c>
      <c r="S83" s="583">
        <f t="shared" si="19"/>
        <v>4233.6448947377194</v>
      </c>
      <c r="T83" s="555">
        <f t="shared" si="53"/>
        <v>1.1177717402306975</v>
      </c>
      <c r="U83" s="559">
        <f t="shared" si="54"/>
        <v>405.42115030277023</v>
      </c>
      <c r="V83" s="582">
        <f t="shared" si="55"/>
        <v>453.16830470025866</v>
      </c>
      <c r="W83" s="555">
        <f t="shared" si="56"/>
        <v>0.53672966732626792</v>
      </c>
      <c r="X83" s="559">
        <f t="shared" si="57"/>
        <v>37.9060089869281</v>
      </c>
      <c r="Y83" s="582">
        <f t="shared" si="58"/>
        <v>20.34527959322044</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59"/>
        <v>49002.342990269863</v>
      </c>
      <c r="I84" s="553">
        <f>ITECountywide!$B$9*E84</f>
        <v>61.591486232406027</v>
      </c>
      <c r="J84" s="562">
        <f t="shared" si="48"/>
        <v>1.67</v>
      </c>
      <c r="K84" s="416">
        <f t="shared" si="49"/>
        <v>0.8974131092322899</v>
      </c>
      <c r="L84" s="554">
        <f>Passby_Length_Adj!H79</f>
        <v>1.3209364175632392</v>
      </c>
      <c r="M84" s="554">
        <f>Passby_Length_Adj!J79</f>
        <v>1</v>
      </c>
      <c r="N84" s="416">
        <v>0.5</v>
      </c>
      <c r="O84" s="546">
        <f t="shared" si="50"/>
        <v>0.6604682087816196</v>
      </c>
      <c r="P84" s="555">
        <f t="shared" si="51"/>
        <v>281.23394165898469</v>
      </c>
      <c r="Q84" s="556">
        <f t="shared" si="60"/>
        <v>168.40355787963156</v>
      </c>
      <c r="R84" s="561">
        <f t="shared" si="52"/>
        <v>261.71052631578948</v>
      </c>
      <c r="S84" s="583">
        <f t="shared" si="19"/>
        <v>44072.983766129895</v>
      </c>
      <c r="T84" s="555">
        <f t="shared" si="53"/>
        <v>11.636199300196207</v>
      </c>
      <c r="U84" s="559">
        <f t="shared" si="54"/>
        <v>405.42115030277023</v>
      </c>
      <c r="V84" s="582">
        <f t="shared" si="55"/>
        <v>4717.5613054378364</v>
      </c>
      <c r="W84" s="555">
        <f t="shared" si="56"/>
        <v>5.5874497042190834</v>
      </c>
      <c r="X84" s="559">
        <f t="shared" si="57"/>
        <v>37.9060089869281</v>
      </c>
      <c r="Y84" s="582">
        <f t="shared" si="58"/>
        <v>211.79791870213734</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59"/>
        <v>15963.976954157957</v>
      </c>
      <c r="I85" s="553">
        <f>ITECountywide!$B$9*E85</f>
        <v>20.065266409438927</v>
      </c>
      <c r="J85" s="562">
        <f t="shared" si="48"/>
        <v>1.67</v>
      </c>
      <c r="K85" s="416">
        <f t="shared" si="49"/>
        <v>0.8974131092322899</v>
      </c>
      <c r="L85" s="554">
        <f>Passby_Length_Adj!H80</f>
        <v>1.3209364175632392</v>
      </c>
      <c r="M85" s="554">
        <f>Passby_Length_Adj!J80</f>
        <v>1</v>
      </c>
      <c r="N85" s="416">
        <v>0.5</v>
      </c>
      <c r="O85" s="546">
        <f t="shared" si="50"/>
        <v>0.6604682087816196</v>
      </c>
      <c r="P85" s="555">
        <f t="shared" si="51"/>
        <v>91.62035709726193</v>
      </c>
      <c r="Q85" s="556">
        <f t="shared" si="60"/>
        <v>54.862489279797565</v>
      </c>
      <c r="R85" s="561">
        <f t="shared" si="52"/>
        <v>261.71052631578948</v>
      </c>
      <c r="S85" s="583">
        <f t="shared" si="19"/>
        <v>14358.090944410178</v>
      </c>
      <c r="T85" s="555">
        <f t="shared" si="53"/>
        <v>3.7908395012705127</v>
      </c>
      <c r="U85" s="559">
        <f t="shared" si="54"/>
        <v>405.42115030277023</v>
      </c>
      <c r="V85" s="582">
        <f t="shared" si="55"/>
        <v>1536.8865112182712</v>
      </c>
      <c r="W85" s="555">
        <f t="shared" si="56"/>
        <v>1.8202786411331742</v>
      </c>
      <c r="X85" s="559">
        <f t="shared" si="57"/>
        <v>37.9060089869281</v>
      </c>
      <c r="Y85" s="582">
        <f t="shared" si="58"/>
        <v>68.999498529507363</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59"/>
        <v>16237.974751925804</v>
      </c>
      <c r="I86" s="553">
        <f>ITECountywide!$B$9*E86</f>
        <v>20.40965670914926</v>
      </c>
      <c r="J86" s="562">
        <f t="shared" si="48"/>
        <v>1.67</v>
      </c>
      <c r="K86" s="416">
        <f t="shared" si="49"/>
        <v>0.8974131092322899</v>
      </c>
      <c r="L86" s="554">
        <f>Passby_Length_Adj!H81</f>
        <v>1.3209364175632392</v>
      </c>
      <c r="M86" s="554">
        <f>Passby_Length_Adj!J81</f>
        <v>1</v>
      </c>
      <c r="N86" s="416">
        <v>0.5</v>
      </c>
      <c r="O86" s="546">
        <f t="shared" si="50"/>
        <v>0.6604682087816196</v>
      </c>
      <c r="P86" s="555">
        <f t="shared" si="51"/>
        <v>93.19288355150583</v>
      </c>
      <c r="Q86" s="556">
        <f t="shared" si="60"/>
        <v>55.804121887129241</v>
      </c>
      <c r="R86" s="561">
        <f t="shared" si="52"/>
        <v>261.71052631578948</v>
      </c>
      <c r="S86" s="583">
        <f t="shared" ref="S86:S137" si="61">+Q86*R86</f>
        <v>14604.526109671062</v>
      </c>
      <c r="T86" s="555">
        <f t="shared" si="53"/>
        <v>3.8559035938849116</v>
      </c>
      <c r="U86" s="559">
        <f t="shared" si="54"/>
        <v>405.42115030277023</v>
      </c>
      <c r="V86" s="582">
        <f t="shared" si="55"/>
        <v>1563.2648704894066</v>
      </c>
      <c r="W86" s="555">
        <f t="shared" si="56"/>
        <v>1.8515210026341049</v>
      </c>
      <c r="X86" s="559">
        <f t="shared" si="57"/>
        <v>37.9060089869281</v>
      </c>
      <c r="Y86" s="582">
        <f t="shared" si="58"/>
        <v>70.183771765334512</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59"/>
        <v>17939.645285431347</v>
      </c>
      <c r="I87" s="553">
        <f>ITECountywide!$B$9*E87</f>
        <v>22.548501728402911</v>
      </c>
      <c r="J87" s="562">
        <f t="shared" si="48"/>
        <v>1.67</v>
      </c>
      <c r="K87" s="416">
        <f t="shared" si="49"/>
        <v>0.8974131092322899</v>
      </c>
      <c r="L87" s="554">
        <f>Passby_Length_Adj!H82</f>
        <v>1.3209364175632392</v>
      </c>
      <c r="M87" s="554">
        <f>Passby_Length_Adj!J82</f>
        <v>1</v>
      </c>
      <c r="N87" s="416">
        <v>0.5</v>
      </c>
      <c r="O87" s="546">
        <f t="shared" si="50"/>
        <v>0.6604682087816196</v>
      </c>
      <c r="P87" s="555">
        <f t="shared" si="51"/>
        <v>102.95910047786255</v>
      </c>
      <c r="Q87" s="556">
        <f t="shared" si="60"/>
        <v>61.652155974767993</v>
      </c>
      <c r="R87" s="561">
        <f t="shared" si="52"/>
        <v>261.71052631578948</v>
      </c>
      <c r="S87" s="583">
        <f t="shared" si="61"/>
        <v>16135.018188659677</v>
      </c>
      <c r="T87" s="555">
        <f t="shared" si="53"/>
        <v>4.2599858532796002</v>
      </c>
      <c r="U87" s="559">
        <f t="shared" si="54"/>
        <v>405.42115030277023</v>
      </c>
      <c r="V87" s="582">
        <f t="shared" si="55"/>
        <v>1727.0883649101436</v>
      </c>
      <c r="W87" s="555">
        <f t="shared" si="56"/>
        <v>2.0455525109030428</v>
      </c>
      <c r="X87" s="559">
        <f t="shared" si="57"/>
        <v>37.9060089869281</v>
      </c>
      <c r="Y87" s="582">
        <f t="shared" si="58"/>
        <v>77.538731861524084</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59"/>
        <v>9241.7094519637612</v>
      </c>
      <c r="I89" s="553">
        <f>ITECountywide!$B$9*E89</f>
        <v>32.717078472481724</v>
      </c>
      <c r="J89" s="562">
        <f t="shared" ref="J89:J126" si="62">IF(F89="Prod",$M$3,$M$4)</f>
        <v>1.67</v>
      </c>
      <c r="K89" s="416">
        <f t="shared" ref="K89:K126" si="63">IF(F89="Prod",$F$4,$F$5)</f>
        <v>0.8974131092322899</v>
      </c>
      <c r="L89" s="554">
        <f>Passby_Length_Adj!H84</f>
        <v>0.4689899613519371</v>
      </c>
      <c r="M89" s="554">
        <f>Passby_Length_Adj!J84</f>
        <v>1</v>
      </c>
      <c r="N89" s="416">
        <v>0.5</v>
      </c>
      <c r="O89" s="546">
        <f t="shared" ref="O89:O126" si="64">L89*M89*N89</f>
        <v>0.23449498067596855</v>
      </c>
      <c r="P89" s="555">
        <f t="shared" ref="P89:P126" si="65">IF($F89="Prod",$I89*$O89*$F$4*$F$6,$I89*O89*$F$5*$F$7)</f>
        <v>53.039961321011724</v>
      </c>
      <c r="Q89" s="556">
        <f t="shared" si="60"/>
        <v>31.760455880845345</v>
      </c>
      <c r="R89" s="561">
        <f t="shared" ref="R89:R126" si="66">$Q$4</f>
        <v>261.71052631578948</v>
      </c>
      <c r="S89" s="583">
        <f t="shared" si="61"/>
        <v>8312.0456246054473</v>
      </c>
      <c r="T89" s="555">
        <f t="shared" ref="T89:T126" si="67">IF($F89="Prod",$I89*$O89*$G$4*$G$6,$I89*$O89*$G$5*$G$7)</f>
        <v>2.1945557394859811</v>
      </c>
      <c r="U89" s="559">
        <f t="shared" ref="U89:U126" si="68">+$R$4</f>
        <v>405.42115030277023</v>
      </c>
      <c r="V89" s="582">
        <f t="shared" ref="V89:V126" si="69">+T89*U89</f>
        <v>889.71931230595305</v>
      </c>
      <c r="W89" s="555">
        <f t="shared" ref="W89:W126" si="70">IF($F89="Prod",$I89*$O89*$J$4*$J$6,$I89*$O89*$J$5*$J$7)</f>
        <v>1.053777913315431</v>
      </c>
      <c r="X89" s="559">
        <f t="shared" ref="X89:X126" si="71">+$S$4</f>
        <v>37.9060089869281</v>
      </c>
      <c r="Y89" s="582">
        <f t="shared" ref="Y89:Y126" si="72">+W89*X89</f>
        <v>39.944515052361069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59"/>
        <v>25958.707435709839</v>
      </c>
      <c r="I90" s="553">
        <f>ITECountywide!$B$9*E90</f>
        <v>91.897832606915415</v>
      </c>
      <c r="J90" s="562">
        <f t="shared" si="62"/>
        <v>1.67</v>
      </c>
      <c r="K90" s="416">
        <f t="shared" si="63"/>
        <v>0.8974131092322899</v>
      </c>
      <c r="L90" s="554">
        <f>Passby_Length_Adj!H85</f>
        <v>0.4689899613519371</v>
      </c>
      <c r="M90" s="554">
        <f>Passby_Length_Adj!J85</f>
        <v>1</v>
      </c>
      <c r="N90" s="416">
        <v>0.5</v>
      </c>
      <c r="O90" s="546">
        <f t="shared" si="64"/>
        <v>0.23449498067596855</v>
      </c>
      <c r="P90" s="555">
        <f t="shared" si="65"/>
        <v>148.98205202079191</v>
      </c>
      <c r="Q90" s="556">
        <f t="shared" si="60"/>
        <v>89.210809593288573</v>
      </c>
      <c r="R90" s="561">
        <f t="shared" si="66"/>
        <v>261.71052631578948</v>
      </c>
      <c r="S90" s="583">
        <f t="shared" si="61"/>
        <v>23347.407931717233</v>
      </c>
      <c r="T90" s="555">
        <f t="shared" si="67"/>
        <v>6.1642091962293204</v>
      </c>
      <c r="U90" s="559">
        <f t="shared" si="68"/>
        <v>405.42115030277023</v>
      </c>
      <c r="V90" s="582">
        <f t="shared" si="69"/>
        <v>2499.1007830422059</v>
      </c>
      <c r="W90" s="555">
        <f t="shared" si="70"/>
        <v>2.9599191249358641</v>
      </c>
      <c r="X90" s="559">
        <f t="shared" si="71"/>
        <v>37.9060089869281</v>
      </c>
      <c r="Y90" s="582">
        <f t="shared" si="72"/>
        <v>112.19872095039922</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59"/>
        <v>4679.7354233212609</v>
      </c>
      <c r="I91" s="553">
        <f>ITECountywide!$B$9*E91</f>
        <v>16.566985996591853</v>
      </c>
      <c r="J91" s="562">
        <f t="shared" si="62"/>
        <v>1.67</v>
      </c>
      <c r="K91" s="416">
        <f t="shared" si="63"/>
        <v>0.8974131092322899</v>
      </c>
      <c r="L91" s="554">
        <f>Passby_Length_Adj!H86</f>
        <v>0.4689899613519371</v>
      </c>
      <c r="M91" s="554">
        <f>Passby_Length_Adj!J86</f>
        <v>1</v>
      </c>
      <c r="N91" s="416">
        <v>0.5</v>
      </c>
      <c r="O91" s="546">
        <f t="shared" si="64"/>
        <v>0.23449498067596855</v>
      </c>
      <c r="P91" s="555">
        <f t="shared" si="65"/>
        <v>26.857908391913966</v>
      </c>
      <c r="Q91" s="556">
        <f t="shared" si="60"/>
        <v>16.082579875397585</v>
      </c>
      <c r="R91" s="561">
        <f t="shared" si="66"/>
        <v>261.71052631578948</v>
      </c>
      <c r="S91" s="583">
        <f t="shared" si="61"/>
        <v>4208.9804437060257</v>
      </c>
      <c r="T91" s="555">
        <f t="shared" si="67"/>
        <v>1.1112598038172781</v>
      </c>
      <c r="U91" s="559">
        <f t="shared" si="68"/>
        <v>405.42115030277023</v>
      </c>
      <c r="V91" s="582">
        <f t="shared" si="69"/>
        <v>450.52822794883167</v>
      </c>
      <c r="W91" s="555">
        <f t="shared" si="70"/>
        <v>0.53360277715806315</v>
      </c>
      <c r="X91" s="559">
        <f t="shared" si="71"/>
        <v>37.9060089869281</v>
      </c>
      <c r="Y91" s="582">
        <f t="shared" si="72"/>
        <v>20.226751666403334</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59"/>
        <v>34867.612946190136</v>
      </c>
      <c r="I92" s="553">
        <f>ITECountywide!$B$9*E92</f>
        <v>123.43673373828283</v>
      </c>
      <c r="J92" s="562">
        <f t="shared" si="62"/>
        <v>1.67</v>
      </c>
      <c r="K92" s="416">
        <f t="shared" si="63"/>
        <v>0.8974131092322899</v>
      </c>
      <c r="L92" s="554">
        <f>Passby_Length_Adj!H87</f>
        <v>0.4689899613519371</v>
      </c>
      <c r="M92" s="554">
        <f>Passby_Length_Adj!J87</f>
        <v>1</v>
      </c>
      <c r="N92" s="416">
        <v>0.5</v>
      </c>
      <c r="O92" s="546">
        <f t="shared" si="64"/>
        <v>0.23449498067596855</v>
      </c>
      <c r="P92" s="555">
        <f t="shared" si="65"/>
        <v>200.11198703384474</v>
      </c>
      <c r="Q92" s="556">
        <f t="shared" si="60"/>
        <v>119.82753714601482</v>
      </c>
      <c r="R92" s="561">
        <f t="shared" si="66"/>
        <v>261.71052631578948</v>
      </c>
      <c r="S92" s="583">
        <f t="shared" si="61"/>
        <v>31360.127813608353</v>
      </c>
      <c r="T92" s="555">
        <f t="shared" si="67"/>
        <v>8.2797366126867207</v>
      </c>
      <c r="U92" s="559">
        <f t="shared" si="68"/>
        <v>405.42115030277023</v>
      </c>
      <c r="V92" s="582">
        <f t="shared" si="69"/>
        <v>3356.7803417194127</v>
      </c>
      <c r="W92" s="555">
        <f t="shared" si="70"/>
        <v>3.9757493571623739</v>
      </c>
      <c r="X92" s="559">
        <f t="shared" si="71"/>
        <v>37.9060089869281</v>
      </c>
      <c r="Y92" s="582">
        <f t="shared" si="72"/>
        <v>150.70479086237057</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59"/>
        <v>19328.228909231682</v>
      </c>
      <c r="I93" s="553">
        <f>ITECountywide!$B$9*E93</f>
        <v>68.42491481086897</v>
      </c>
      <c r="J93" s="562">
        <f t="shared" si="62"/>
        <v>1.67</v>
      </c>
      <c r="K93" s="416">
        <f t="shared" si="63"/>
        <v>0.8974131092322899</v>
      </c>
      <c r="L93" s="554">
        <f>Passby_Length_Adj!H88</f>
        <v>0.4689899613519371</v>
      </c>
      <c r="M93" s="554">
        <f>Passby_Length_Adj!J88</f>
        <v>1</v>
      </c>
      <c r="N93" s="416">
        <v>0.5</v>
      </c>
      <c r="O93" s="546">
        <f t="shared" si="64"/>
        <v>0.23449498067596855</v>
      </c>
      <c r="P93" s="555">
        <f t="shared" si="65"/>
        <v>110.92845096222672</v>
      </c>
      <c r="Q93" s="556">
        <f t="shared" si="60"/>
        <v>66.42422213306989</v>
      </c>
      <c r="R93" s="561">
        <f t="shared" si="66"/>
        <v>261.71052631578948</v>
      </c>
      <c r="S93" s="583">
        <f t="shared" si="61"/>
        <v>17383.918134562635</v>
      </c>
      <c r="T93" s="555">
        <f t="shared" si="67"/>
        <v>4.5897218374291295</v>
      </c>
      <c r="U93" s="559">
        <f t="shared" si="68"/>
        <v>405.42115030277023</v>
      </c>
      <c r="V93" s="582">
        <f t="shared" si="69"/>
        <v>1860.7703069002619</v>
      </c>
      <c r="W93" s="555">
        <f t="shared" si="70"/>
        <v>2.2038845555488931</v>
      </c>
      <c r="X93" s="559">
        <f t="shared" si="71"/>
        <v>37.9060089869281</v>
      </c>
      <c r="Y93" s="582">
        <f t="shared" si="72"/>
        <v>83.540467768788389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59"/>
        <v>18761.19350746342</v>
      </c>
      <c r="I94" s="553">
        <f>ITECountywide!$B$9*E94</f>
        <v>284.21511603055654</v>
      </c>
      <c r="J94" s="562">
        <f t="shared" si="62"/>
        <v>1.67</v>
      </c>
      <c r="K94" s="416">
        <f t="shared" si="63"/>
        <v>0.8974131092322899</v>
      </c>
      <c r="L94" s="554">
        <f>Passby_Length_Adj!H89</f>
        <v>0.3846286671810874</v>
      </c>
      <c r="M94" s="554">
        <f>Passby_Length_Adj!J89</f>
        <v>0.28494260634706281</v>
      </c>
      <c r="N94" s="416">
        <v>0.5</v>
      </c>
      <c r="O94" s="546">
        <f t="shared" si="64"/>
        <v>5.4798547451188014E-2</v>
      </c>
      <c r="P94" s="555">
        <f t="shared" si="65"/>
        <v>107.674124916406</v>
      </c>
      <c r="Q94" s="556">
        <f t="shared" si="60"/>
        <v>64.475523902039527</v>
      </c>
      <c r="R94" s="561">
        <f t="shared" si="66"/>
        <v>261.71052631578948</v>
      </c>
      <c r="S94" s="583">
        <f t="shared" si="61"/>
        <v>16873.923294889028</v>
      </c>
      <c r="T94" s="555">
        <f t="shared" si="67"/>
        <v>4.4550724198175571</v>
      </c>
      <c r="U94" s="559">
        <f t="shared" si="68"/>
        <v>405.42115030277023</v>
      </c>
      <c r="V94" s="582">
        <f t="shared" si="69"/>
        <v>1806.1805851245801</v>
      </c>
      <c r="W94" s="555">
        <f t="shared" si="70"/>
        <v>2.1392288351373008</v>
      </c>
      <c r="X94" s="559">
        <f t="shared" si="71"/>
        <v>37.9060089869281</v>
      </c>
      <c r="Y94" s="582">
        <f t="shared" si="72"/>
        <v>81.089627449810251</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59"/>
        <v>10013.895205950861</v>
      </c>
      <c r="I95" s="553">
        <f>ITECountywide!$B$9*E95</f>
        <v>160.19124330117839</v>
      </c>
      <c r="J95" s="562">
        <f t="shared" si="62"/>
        <v>1.67</v>
      </c>
      <c r="K95" s="416">
        <f t="shared" si="63"/>
        <v>0.8974131092322899</v>
      </c>
      <c r="L95" s="554">
        <f>Passby_Length_Adj!H90</f>
        <v>0.3846286671810874</v>
      </c>
      <c r="M95" s="554">
        <f>Passby_Length_Adj!J90</f>
        <v>0.26984126984126988</v>
      </c>
      <c r="N95" s="416">
        <v>0.5</v>
      </c>
      <c r="O95" s="546">
        <f t="shared" si="64"/>
        <v>5.1894343984749895E-2</v>
      </c>
      <c r="P95" s="555">
        <f t="shared" si="65"/>
        <v>57.471684990425423</v>
      </c>
      <c r="Q95" s="556">
        <f t="shared" si="60"/>
        <v>34.41418262899726</v>
      </c>
      <c r="R95" s="561">
        <f t="shared" si="66"/>
        <v>261.71052631578948</v>
      </c>
      <c r="S95" s="583">
        <f t="shared" si="61"/>
        <v>9006.553848562573</v>
      </c>
      <c r="T95" s="555">
        <f t="shared" si="67"/>
        <v>2.3779205906717777</v>
      </c>
      <c r="U95" s="559">
        <f t="shared" si="68"/>
        <v>405.42115030277023</v>
      </c>
      <c r="V95" s="582">
        <f t="shared" si="69"/>
        <v>964.05930119879497</v>
      </c>
      <c r="W95" s="555">
        <f t="shared" si="70"/>
        <v>1.1418257248981167</v>
      </c>
      <c r="X95" s="559">
        <f t="shared" si="71"/>
        <v>37.9060089869281</v>
      </c>
      <c r="Y95" s="582">
        <f t="shared" si="72"/>
        <v>43.282056189493709</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59"/>
        <v>7468.9962171323123</v>
      </c>
      <c r="I96" s="553">
        <f>ITECountywide!$B$9*E96</f>
        <v>119.48075804939616</v>
      </c>
      <c r="J96" s="562">
        <f t="shared" si="62"/>
        <v>1.67</v>
      </c>
      <c r="K96" s="416">
        <f t="shared" si="63"/>
        <v>0.8974131092322899</v>
      </c>
      <c r="L96" s="554">
        <f>Passby_Length_Adj!H91</f>
        <v>0.3846286671810874</v>
      </c>
      <c r="M96" s="554">
        <f>Passby_Length_Adj!J91</f>
        <v>0.26984126984126988</v>
      </c>
      <c r="N96" s="416">
        <v>0.5</v>
      </c>
      <c r="O96" s="546">
        <f t="shared" si="64"/>
        <v>5.1894343984749895E-2</v>
      </c>
      <c r="P96" s="555">
        <f t="shared" si="65"/>
        <v>42.866016565723356</v>
      </c>
      <c r="Q96" s="556">
        <f t="shared" si="60"/>
        <v>25.668273392648718</v>
      </c>
      <c r="R96" s="561">
        <f t="shared" si="66"/>
        <v>261.71052631578948</v>
      </c>
      <c r="S96" s="583">
        <f t="shared" si="61"/>
        <v>6717.6573392076716</v>
      </c>
      <c r="T96" s="555">
        <f t="shared" si="67"/>
        <v>1.7736035310030078</v>
      </c>
      <c r="U96" s="559">
        <f t="shared" si="68"/>
        <v>405.42115030277023</v>
      </c>
      <c r="V96" s="582">
        <f t="shared" si="69"/>
        <v>719.05638372029443</v>
      </c>
      <c r="W96" s="555">
        <f t="shared" si="70"/>
        <v>0.85164582257864718</v>
      </c>
      <c r="X96" s="559">
        <f t="shared" si="71"/>
        <v>37.9060089869281</v>
      </c>
      <c r="Y96" s="582">
        <f t="shared" si="72"/>
        <v>32.282494204345973</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59"/>
        <v>27036.232079051435</v>
      </c>
      <c r="I97" s="553">
        <f>ITECountywide!$B$9*E97</f>
        <v>95.712436224945051</v>
      </c>
      <c r="J97" s="562">
        <f t="shared" si="62"/>
        <v>1.67</v>
      </c>
      <c r="K97" s="416">
        <f t="shared" si="63"/>
        <v>0.8974131092322899</v>
      </c>
      <c r="L97" s="554">
        <f>Passby_Length_Adj!H92</f>
        <v>0.4689899613519371</v>
      </c>
      <c r="M97" s="554">
        <f>Passby_Length_Adj!J92</f>
        <v>1</v>
      </c>
      <c r="N97" s="416">
        <v>0.5</v>
      </c>
      <c r="O97" s="546">
        <f t="shared" si="64"/>
        <v>0.23449498067596855</v>
      </c>
      <c r="P97" s="555">
        <f t="shared" si="65"/>
        <v>155.16617474206302</v>
      </c>
      <c r="Q97" s="556">
        <f t="shared" si="60"/>
        <v>92.91387709105571</v>
      </c>
      <c r="R97" s="561">
        <f t="shared" si="66"/>
        <v>261.71052631578948</v>
      </c>
      <c r="S97" s="583">
        <f t="shared" si="61"/>
        <v>24316.539675540764</v>
      </c>
      <c r="T97" s="555">
        <f t="shared" si="67"/>
        <v>6.4200804614723976</v>
      </c>
      <c r="U97" s="559">
        <f t="shared" si="68"/>
        <v>405.42115030277023</v>
      </c>
      <c r="V97" s="582">
        <f t="shared" si="69"/>
        <v>2602.8364057264794</v>
      </c>
      <c r="W97" s="555">
        <f t="shared" si="70"/>
        <v>3.0827829388339718</v>
      </c>
      <c r="X97" s="559">
        <f t="shared" si="71"/>
        <v>37.9060089869281</v>
      </c>
      <c r="Y97" s="582">
        <f t="shared" si="72"/>
        <v>116.85599778418916</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59"/>
        <v>22959.08447033984</v>
      </c>
      <c r="I98" s="553">
        <f>ITECountywide!$B$9*E98</f>
        <v>81.278704137667205</v>
      </c>
      <c r="J98" s="562">
        <f t="shared" si="62"/>
        <v>1.67</v>
      </c>
      <c r="K98" s="416">
        <f t="shared" si="63"/>
        <v>0.8974131092322899</v>
      </c>
      <c r="L98" s="554">
        <f>Passby_Length_Adj!H93</f>
        <v>0.4689899613519371</v>
      </c>
      <c r="M98" s="554">
        <f>Passby_Length_Adj!J93</f>
        <v>1</v>
      </c>
      <c r="N98" s="416">
        <v>0.5</v>
      </c>
      <c r="O98" s="546">
        <f t="shared" si="64"/>
        <v>0.23449498067596855</v>
      </c>
      <c r="P98" s="555">
        <f t="shared" si="65"/>
        <v>131.76663458229666</v>
      </c>
      <c r="Q98" s="556">
        <f t="shared" si="60"/>
        <v>78.902176396584835</v>
      </c>
      <c r="R98" s="561">
        <f t="shared" si="66"/>
        <v>261.71052631578948</v>
      </c>
      <c r="S98" s="583">
        <f t="shared" si="61"/>
        <v>20649.53011221148</v>
      </c>
      <c r="T98" s="555">
        <f t="shared" si="67"/>
        <v>5.4519124259009786</v>
      </c>
      <c r="U98" s="559">
        <f t="shared" si="68"/>
        <v>405.42115030277023</v>
      </c>
      <c r="V98" s="582">
        <f t="shared" si="69"/>
        <v>2210.3206070587412</v>
      </c>
      <c r="W98" s="555">
        <f t="shared" si="70"/>
        <v>2.6178897151594098</v>
      </c>
      <c r="X98" s="559">
        <f t="shared" si="71"/>
        <v>37.9060089869281</v>
      </c>
      <c r="Y98" s="582">
        <f t="shared" si="72"/>
        <v>99.233751069619231</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59"/>
        <v>20615.486804100368</v>
      </c>
      <c r="I99" s="553">
        <f>ITECountywide!$B$9*E99</f>
        <v>72.982006524219813</v>
      </c>
      <c r="J99" s="562">
        <f t="shared" si="62"/>
        <v>1.67</v>
      </c>
      <c r="K99" s="416">
        <f t="shared" si="63"/>
        <v>0.8974131092322899</v>
      </c>
      <c r="L99" s="554">
        <f>Passby_Length_Adj!H94</f>
        <v>0.4689899613519371</v>
      </c>
      <c r="M99" s="554">
        <f>Passby_Length_Adj!J94</f>
        <v>1</v>
      </c>
      <c r="N99" s="416">
        <v>0.5</v>
      </c>
      <c r="O99" s="546">
        <f t="shared" si="64"/>
        <v>0.23449498067596855</v>
      </c>
      <c r="P99" s="555">
        <f t="shared" si="65"/>
        <v>118.3162734542543</v>
      </c>
      <c r="Q99" s="556">
        <f t="shared" si="60"/>
        <v>70.848067936679229</v>
      </c>
      <c r="R99" s="561">
        <f t="shared" si="66"/>
        <v>261.71052631578948</v>
      </c>
      <c r="S99" s="583">
        <f t="shared" si="61"/>
        <v>18541.685148165132</v>
      </c>
      <c r="T99" s="555">
        <f t="shared" si="67"/>
        <v>4.8953968011429509</v>
      </c>
      <c r="U99" s="559">
        <f t="shared" si="68"/>
        <v>405.42115030277023</v>
      </c>
      <c r="V99" s="582">
        <f t="shared" si="69"/>
        <v>1984.6974023078769</v>
      </c>
      <c r="W99" s="555">
        <f t="shared" si="70"/>
        <v>2.3506630217411293</v>
      </c>
      <c r="X99" s="559">
        <f t="shared" si="71"/>
        <v>37.9060089869281</v>
      </c>
      <c r="Y99" s="582">
        <f t="shared" si="72"/>
        <v>89.104253627358815</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59"/>
        <v>19022.489991008337</v>
      </c>
      <c r="I100" s="553">
        <f>ITECountywide!$B$9*E100</f>
        <v>67.342551831206222</v>
      </c>
      <c r="J100" s="562">
        <f t="shared" si="62"/>
        <v>1.67</v>
      </c>
      <c r="K100" s="416">
        <f t="shared" si="63"/>
        <v>0.8974131092322899</v>
      </c>
      <c r="L100" s="554">
        <f>Passby_Length_Adj!H95</f>
        <v>0.4689899613519371</v>
      </c>
      <c r="M100" s="554">
        <f>Passby_Length_Adj!J95</f>
        <v>1</v>
      </c>
      <c r="N100" s="416">
        <v>0.5</v>
      </c>
      <c r="O100" s="546">
        <f t="shared" si="64"/>
        <v>0.23449498067596855</v>
      </c>
      <c r="P100" s="555">
        <f t="shared" si="65"/>
        <v>109.17375606717692</v>
      </c>
      <c r="Q100" s="556">
        <f t="shared" si="60"/>
        <v>65.373506627052052</v>
      </c>
      <c r="R100" s="561">
        <f t="shared" si="66"/>
        <v>261.71052631578948</v>
      </c>
      <c r="S100" s="583">
        <f t="shared" si="61"/>
        <v>17108.934826474542</v>
      </c>
      <c r="T100" s="555">
        <f t="shared" si="67"/>
        <v>4.5171204316763545</v>
      </c>
      <c r="U100" s="559">
        <f t="shared" si="68"/>
        <v>405.42115030277023</v>
      </c>
      <c r="V100" s="582">
        <f t="shared" si="69"/>
        <v>1831.3361614663736</v>
      </c>
      <c r="W100" s="555">
        <f t="shared" si="70"/>
        <v>2.1690229402882819</v>
      </c>
      <c r="X100" s="559">
        <f t="shared" si="71"/>
        <v>37.9060089869281</v>
      </c>
      <c r="Y100" s="582">
        <f t="shared" si="72"/>
        <v>82.219003067420829</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59"/>
        <v>17839.361574959981</v>
      </c>
      <c r="I101" s="553">
        <f>ITECountywide!$B$9*E101</f>
        <v>63.154094551514092</v>
      </c>
      <c r="J101" s="562">
        <f t="shared" si="62"/>
        <v>1.67</v>
      </c>
      <c r="K101" s="416">
        <f t="shared" si="63"/>
        <v>0.8974131092322899</v>
      </c>
      <c r="L101" s="554">
        <f>Passby_Length_Adj!H96</f>
        <v>0.4689899613519371</v>
      </c>
      <c r="M101" s="554">
        <f>Passby_Length_Adj!J96</f>
        <v>1</v>
      </c>
      <c r="N101" s="416">
        <v>0.5</v>
      </c>
      <c r="O101" s="546">
        <f t="shared" si="64"/>
        <v>0.23449498067596855</v>
      </c>
      <c r="P101" s="555">
        <f t="shared" si="65"/>
        <v>102.38355283138266</v>
      </c>
      <c r="Q101" s="556">
        <f t="shared" si="60"/>
        <v>61.307516665498603</v>
      </c>
      <c r="R101" s="561">
        <f t="shared" si="66"/>
        <v>261.71052631578948</v>
      </c>
      <c r="S101" s="583">
        <f t="shared" si="61"/>
        <v>16044.822453641675</v>
      </c>
      <c r="T101" s="555">
        <f t="shared" si="67"/>
        <v>4.2361722727363249</v>
      </c>
      <c r="U101" s="559">
        <f t="shared" si="68"/>
        <v>405.42115030277023</v>
      </c>
      <c r="V101" s="582">
        <f t="shared" si="69"/>
        <v>1717.4338356934613</v>
      </c>
      <c r="W101" s="555">
        <f t="shared" si="70"/>
        <v>2.0341177477015671</v>
      </c>
      <c r="X101" s="559">
        <f t="shared" si="71"/>
        <v>37.9060089869281</v>
      </c>
      <c r="Y101" s="582">
        <f t="shared" si="72"/>
        <v>77.10528562484555</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59"/>
        <v>16514.445490611153</v>
      </c>
      <c r="I102" s="553">
        <f>ITECountywide!$B$9*E102</f>
        <v>58.463687032601783</v>
      </c>
      <c r="J102" s="562">
        <f t="shared" si="62"/>
        <v>1.67</v>
      </c>
      <c r="K102" s="416">
        <f t="shared" si="63"/>
        <v>0.8974131092322899</v>
      </c>
      <c r="L102" s="554">
        <f>Passby_Length_Adj!H97</f>
        <v>0.4689899613519371</v>
      </c>
      <c r="M102" s="554">
        <f>Passby_Length_Adj!J97</f>
        <v>1</v>
      </c>
      <c r="N102" s="416">
        <v>0.5</v>
      </c>
      <c r="O102" s="546">
        <f t="shared" si="64"/>
        <v>0.23449498067596855</v>
      </c>
      <c r="P102" s="555">
        <f t="shared" si="65"/>
        <v>94.779602692859768</v>
      </c>
      <c r="Q102" s="556">
        <f t="shared" si="60"/>
        <v>56.754253109496872</v>
      </c>
      <c r="R102" s="561">
        <f t="shared" si="66"/>
        <v>261.71052631578948</v>
      </c>
      <c r="S102" s="583">
        <f t="shared" si="61"/>
        <v>14853.185451945958</v>
      </c>
      <c r="T102" s="555">
        <f t="shared" si="67"/>
        <v>3.921554916244212</v>
      </c>
      <c r="U102" s="559">
        <f t="shared" si="68"/>
        <v>405.42115030277023</v>
      </c>
      <c r="V102" s="582">
        <f t="shared" si="69"/>
        <v>1589.8813051192121</v>
      </c>
      <c r="W102" s="555">
        <f t="shared" si="70"/>
        <v>1.8830453390806181</v>
      </c>
      <c r="X102" s="559">
        <f t="shared" si="71"/>
        <v>37.9060089869281</v>
      </c>
      <c r="Y102" s="582">
        <f t="shared" si="72"/>
        <v>71.378733545982982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59"/>
        <v>15238.34372854687</v>
      </c>
      <c r="I103" s="553">
        <f>ITECountywide!$B$9*E103</f>
        <v>53.946089751997178</v>
      </c>
      <c r="J103" s="562">
        <f t="shared" si="62"/>
        <v>1.67</v>
      </c>
      <c r="K103" s="416">
        <f t="shared" si="63"/>
        <v>0.8974131092322899</v>
      </c>
      <c r="L103" s="554">
        <f>Passby_Length_Adj!H98</f>
        <v>0.4689899613519371</v>
      </c>
      <c r="M103" s="554">
        <f>Passby_Length_Adj!J98</f>
        <v>1</v>
      </c>
      <c r="N103" s="416">
        <v>0.5</v>
      </c>
      <c r="O103" s="546">
        <f t="shared" si="64"/>
        <v>0.23449498067596855</v>
      </c>
      <c r="P103" s="555">
        <f t="shared" si="65"/>
        <v>87.455807408732724</v>
      </c>
      <c r="Q103" s="556">
        <f t="shared" si="60"/>
        <v>52.368746951336966</v>
      </c>
      <c r="R103" s="561">
        <f t="shared" si="66"/>
        <v>261.71052631578948</v>
      </c>
      <c r="S103" s="583">
        <f t="shared" si="61"/>
        <v>13705.452327132793</v>
      </c>
      <c r="T103" s="555">
        <f t="shared" si="67"/>
        <v>3.6185291112605595</v>
      </c>
      <c r="U103" s="559">
        <f t="shared" si="68"/>
        <v>405.42115030277023</v>
      </c>
      <c r="V103" s="582">
        <f t="shared" si="69"/>
        <v>1467.0282346913168</v>
      </c>
      <c r="W103" s="555">
        <f t="shared" si="70"/>
        <v>1.7375389412658169</v>
      </c>
      <c r="X103" s="559">
        <f t="shared" si="71"/>
        <v>37.9060089869281</v>
      </c>
      <c r="Y103" s="582">
        <f t="shared" si="72"/>
        <v>65.863166722759587</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59"/>
        <v>14290.5751931302</v>
      </c>
      <c r="I104" s="553">
        <f>ITECountywide!$B$9*E104</f>
        <v>50.590842791664826</v>
      </c>
      <c r="J104" s="562">
        <f t="shared" si="62"/>
        <v>1.67</v>
      </c>
      <c r="K104" s="416">
        <f t="shared" si="63"/>
        <v>0.8974131092322899</v>
      </c>
      <c r="L104" s="554">
        <f>Passby_Length_Adj!H99</f>
        <v>0.4689899613519371</v>
      </c>
      <c r="M104" s="554">
        <f>Passby_Length_Adj!J99</f>
        <v>1</v>
      </c>
      <c r="N104" s="416">
        <v>0.5</v>
      </c>
      <c r="O104" s="546">
        <f t="shared" si="64"/>
        <v>0.23449498067596855</v>
      </c>
      <c r="P104" s="555">
        <f t="shared" si="65"/>
        <v>82.016380133826317</v>
      </c>
      <c r="Q104" s="556">
        <f t="shared" si="60"/>
        <v>49.111604870554686</v>
      </c>
      <c r="R104" s="561">
        <f t="shared" si="66"/>
        <v>261.71052631578948</v>
      </c>
      <c r="S104" s="583">
        <f t="shared" si="61"/>
        <v>12853.023958885957</v>
      </c>
      <c r="T104" s="555">
        <f t="shared" si="67"/>
        <v>3.3934700039694401</v>
      </c>
      <c r="U104" s="559">
        <f t="shared" si="68"/>
        <v>405.42115030277023</v>
      </c>
      <c r="V104" s="582">
        <f t="shared" si="69"/>
        <v>1375.7845125272368</v>
      </c>
      <c r="W104" s="555">
        <f t="shared" si="70"/>
        <v>1.6294704551541725</v>
      </c>
      <c r="X104" s="559">
        <f t="shared" si="71"/>
        <v>37.9060089869281</v>
      </c>
      <c r="Y104" s="582">
        <f t="shared" si="72"/>
        <v>61.766721717007883</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59"/>
        <v>13546.699461575112</v>
      </c>
      <c r="I105" s="553">
        <f>ITECountywide!$B$9*E105</f>
        <v>47.957407840094127</v>
      </c>
      <c r="J105" s="562">
        <f t="shared" si="62"/>
        <v>1.67</v>
      </c>
      <c r="K105" s="416">
        <f t="shared" si="63"/>
        <v>0.8974131092322899</v>
      </c>
      <c r="L105" s="554">
        <f>Passby_Length_Adj!H100</f>
        <v>0.4689899613519371</v>
      </c>
      <c r="M105" s="554">
        <f>Passby_Length_Adj!J100</f>
        <v>1</v>
      </c>
      <c r="N105" s="416">
        <v>0.5</v>
      </c>
      <c r="O105" s="546">
        <f t="shared" si="64"/>
        <v>0.23449498067596855</v>
      </c>
      <c r="P105" s="555">
        <f t="shared" si="65"/>
        <v>77.747133168814074</v>
      </c>
      <c r="Q105" s="556">
        <f t="shared" si="60"/>
        <v>46.555169562164117</v>
      </c>
      <c r="R105" s="561">
        <f t="shared" si="66"/>
        <v>261.71052631578948</v>
      </c>
      <c r="S105" s="583">
        <f t="shared" si="61"/>
        <v>12183.977928834795</v>
      </c>
      <c r="T105" s="555">
        <f t="shared" si="67"/>
        <v>3.216827710178038</v>
      </c>
      <c r="U105" s="559">
        <f t="shared" si="68"/>
        <v>405.42115030277023</v>
      </c>
      <c r="V105" s="582">
        <f t="shared" si="69"/>
        <v>1304.1699905862065</v>
      </c>
      <c r="W105" s="555">
        <f t="shared" si="70"/>
        <v>1.5446506693517152</v>
      </c>
      <c r="X105" s="559">
        <f t="shared" si="71"/>
        <v>37.9060089869281</v>
      </c>
      <c r="Y105" s="582">
        <f t="shared" si="72"/>
        <v>58.551542154110621</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59"/>
        <v>13614.241236992597</v>
      </c>
      <c r="I106" s="553">
        <f>ITECountywide!$B$9*E106</f>
        <v>48.196516154198832</v>
      </c>
      <c r="J106" s="562">
        <f t="shared" si="62"/>
        <v>1.67</v>
      </c>
      <c r="K106" s="416">
        <f t="shared" si="63"/>
        <v>0.8974131092322899</v>
      </c>
      <c r="L106" s="554">
        <f>Passby_Length_Adj!H101</f>
        <v>0.4689899613519371</v>
      </c>
      <c r="M106" s="554">
        <f>Passby_Length_Adj!J101</f>
        <v>1</v>
      </c>
      <c r="N106" s="416">
        <v>0.5</v>
      </c>
      <c r="O106" s="546">
        <f t="shared" si="64"/>
        <v>0.23449498067596855</v>
      </c>
      <c r="P106" s="555">
        <f t="shared" si="65"/>
        <v>78.134768505579032</v>
      </c>
      <c r="Q106" s="556">
        <f t="shared" si="60"/>
        <v>46.787286530286849</v>
      </c>
      <c r="R106" s="561">
        <f t="shared" si="66"/>
        <v>261.71052631578948</v>
      </c>
      <c r="S106" s="583">
        <f t="shared" si="61"/>
        <v>12244.725382729019</v>
      </c>
      <c r="T106" s="555">
        <f t="shared" si="67"/>
        <v>3.2328663220461076</v>
      </c>
      <c r="U106" s="559">
        <f t="shared" si="68"/>
        <v>405.42115030277023</v>
      </c>
      <c r="V106" s="582">
        <f t="shared" si="69"/>
        <v>1310.672383059019</v>
      </c>
      <c r="W106" s="555">
        <f t="shared" si="70"/>
        <v>1.5523520617760282</v>
      </c>
      <c r="X106" s="559">
        <f t="shared" si="71"/>
        <v>37.9060089869281</v>
      </c>
      <c r="Y106" s="582">
        <f t="shared" si="72"/>
        <v>58.84347120455849</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59"/>
        <v>14254.248816768479</v>
      </c>
      <c r="I107" s="553">
        <f>ITECountywide!$B$9*E107</f>
        <v>50.462241810187869</v>
      </c>
      <c r="J107" s="562">
        <f t="shared" si="62"/>
        <v>1.67</v>
      </c>
      <c r="K107" s="416">
        <f t="shared" si="63"/>
        <v>0.8974131092322899</v>
      </c>
      <c r="L107" s="554">
        <f>Passby_Length_Adj!H102</f>
        <v>0.4689899613519371</v>
      </c>
      <c r="M107" s="554">
        <f>Passby_Length_Adj!J102</f>
        <v>1</v>
      </c>
      <c r="N107" s="416">
        <v>0.5</v>
      </c>
      <c r="O107" s="546">
        <f t="shared" si="64"/>
        <v>0.23449498067596855</v>
      </c>
      <c r="P107" s="555">
        <f t="shared" si="65"/>
        <v>81.807896020884556</v>
      </c>
      <c r="Q107" s="556">
        <f t="shared" si="60"/>
        <v>48.986764084362008</v>
      </c>
      <c r="R107" s="561">
        <f t="shared" si="66"/>
        <v>261.71052631578948</v>
      </c>
      <c r="S107" s="583">
        <f t="shared" si="61"/>
        <v>12820.351811025794</v>
      </c>
      <c r="T107" s="555">
        <f t="shared" si="67"/>
        <v>3.3848438663318396</v>
      </c>
      <c r="U107" s="559">
        <f t="shared" si="68"/>
        <v>405.42115030277023</v>
      </c>
      <c r="V107" s="582">
        <f t="shared" si="69"/>
        <v>1372.2872938835308</v>
      </c>
      <c r="W107" s="555">
        <f t="shared" si="70"/>
        <v>1.6253283715624154</v>
      </c>
      <c r="X107" s="559">
        <f t="shared" si="71"/>
        <v>37.9060089869281</v>
      </c>
      <c r="Y107" s="582">
        <f t="shared" si="72"/>
        <v>61.609711859154132</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59"/>
        <v>28334.415571837922</v>
      </c>
      <c r="I108" s="553">
        <f>ITECountywide!$B$9*E108</f>
        <v>100.30820624194673</v>
      </c>
      <c r="J108" s="562">
        <f t="shared" si="62"/>
        <v>1.67</v>
      </c>
      <c r="K108" s="416">
        <f t="shared" si="63"/>
        <v>0.8974131092322899</v>
      </c>
      <c r="L108" s="554">
        <f>Passby_Length_Adj!H103</f>
        <v>0.4689899613519371</v>
      </c>
      <c r="M108" s="554">
        <f>Passby_Length_Adj!J103</f>
        <v>1</v>
      </c>
      <c r="N108" s="416">
        <v>0.5</v>
      </c>
      <c r="O108" s="546">
        <f t="shared" si="64"/>
        <v>0.23449498067596855</v>
      </c>
      <c r="P108" s="555">
        <f t="shared" si="65"/>
        <v>162.61670135760602</v>
      </c>
      <c r="Q108" s="556">
        <f t="shared" si="60"/>
        <v>97.375270274015591</v>
      </c>
      <c r="R108" s="561">
        <f t="shared" si="66"/>
        <v>261.71052631578948</v>
      </c>
      <c r="S108" s="583">
        <f t="shared" si="61"/>
        <v>25484.133233554869</v>
      </c>
      <c r="T108" s="555">
        <f t="shared" si="67"/>
        <v>6.7283498406179616</v>
      </c>
      <c r="U108" s="559">
        <f t="shared" si="68"/>
        <v>405.42115030277023</v>
      </c>
      <c r="V108" s="582">
        <f t="shared" si="69"/>
        <v>2727.8153320227948</v>
      </c>
      <c r="W108" s="555">
        <f t="shared" si="70"/>
        <v>3.230807186862934</v>
      </c>
      <c r="X108" s="559">
        <f t="shared" si="71"/>
        <v>37.9060089869281</v>
      </c>
      <c r="Y108" s="582">
        <f t="shared" si="72"/>
        <v>122.46700626025827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59"/>
        <v>14602.412940166558</v>
      </c>
      <c r="I109" s="553">
        <f>ITECountywide!$B$9*E109</f>
        <v>51.694796567045906</v>
      </c>
      <c r="J109" s="562">
        <f t="shared" si="62"/>
        <v>1.67</v>
      </c>
      <c r="K109" s="416">
        <f t="shared" si="63"/>
        <v>0.8974131092322899</v>
      </c>
      <c r="L109" s="554">
        <f>Passby_Length_Adj!H104</f>
        <v>0.4689899613519371</v>
      </c>
      <c r="M109" s="554">
        <f>Passby_Length_Adj!J104</f>
        <v>1</v>
      </c>
      <c r="N109" s="416">
        <v>0.5</v>
      </c>
      <c r="O109" s="546">
        <f t="shared" si="64"/>
        <v>0.23449498067596855</v>
      </c>
      <c r="P109" s="555">
        <f t="shared" si="65"/>
        <v>83.806077389210742</v>
      </c>
      <c r="Q109" s="556">
        <f t="shared" si="60"/>
        <v>50.183279873778886</v>
      </c>
      <c r="R109" s="561">
        <f t="shared" si="66"/>
        <v>261.71052631578948</v>
      </c>
      <c r="S109" s="583">
        <f t="shared" si="61"/>
        <v>13133.492588019239</v>
      </c>
      <c r="T109" s="555">
        <f t="shared" si="67"/>
        <v>3.4675196504232786</v>
      </c>
      <c r="U109" s="559">
        <f t="shared" si="68"/>
        <v>405.42115030277023</v>
      </c>
      <c r="V109" s="582">
        <f t="shared" si="69"/>
        <v>1405.8058053720654</v>
      </c>
      <c r="W109" s="555">
        <f t="shared" si="70"/>
        <v>1.6650274840862098</v>
      </c>
      <c r="X109" s="559">
        <f t="shared" si="71"/>
        <v>37.9060089869281</v>
      </c>
      <c r="Y109" s="582">
        <f t="shared" si="72"/>
        <v>63.114546775254155</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59"/>
        <v>12099.056257375321</v>
      </c>
      <c r="I110" s="553">
        <f>ITECountywide!$B$9*E110</f>
        <v>193.54734843720766</v>
      </c>
      <c r="J110" s="562">
        <f t="shared" si="62"/>
        <v>1.67</v>
      </c>
      <c r="K110" s="416">
        <f t="shared" si="63"/>
        <v>0.8974131092322899</v>
      </c>
      <c r="L110" s="554">
        <f>Passby_Length_Adj!H105</f>
        <v>0.3846286671810874</v>
      </c>
      <c r="M110" s="554">
        <f>Passby_Length_Adj!J105</f>
        <v>0.26984126984126988</v>
      </c>
      <c r="N110" s="416">
        <v>0.5</v>
      </c>
      <c r="O110" s="546">
        <f t="shared" si="64"/>
        <v>5.1894343984749895E-2</v>
      </c>
      <c r="P110" s="555">
        <f t="shared" si="65"/>
        <v>69.438828308497691</v>
      </c>
      <c r="Q110" s="556">
        <f t="shared" si="60"/>
        <v>41.580136711675266</v>
      </c>
      <c r="R110" s="561">
        <f t="shared" si="66"/>
        <v>261.71052631578948</v>
      </c>
      <c r="S110" s="583">
        <f t="shared" si="61"/>
        <v>10881.959463095014</v>
      </c>
      <c r="T110" s="555">
        <f t="shared" si="67"/>
        <v>2.8730673140070175</v>
      </c>
      <c r="U110" s="559">
        <f t="shared" si="68"/>
        <v>405.42115030277023</v>
      </c>
      <c r="V110" s="582">
        <f t="shared" si="69"/>
        <v>1164.8022553420153</v>
      </c>
      <c r="W110" s="555">
        <f t="shared" si="70"/>
        <v>1.3795844072195758</v>
      </c>
      <c r="X110" s="559">
        <f t="shared" si="71"/>
        <v>37.9060089869281</v>
      </c>
      <c r="Y110" s="582">
        <f t="shared" si="72"/>
        <v>52.294538938291112</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59"/>
        <v>91206.360374260126</v>
      </c>
      <c r="I111" s="553">
        <f>ITECountywide!$B$9*E111</f>
        <v>1381.6938824378594</v>
      </c>
      <c r="J111" s="562">
        <f t="shared" si="62"/>
        <v>1.67</v>
      </c>
      <c r="K111" s="416">
        <f t="shared" si="63"/>
        <v>0.8974131092322899</v>
      </c>
      <c r="L111" s="554">
        <f>Passby_Length_Adj!H106</f>
        <v>0.3846286671810874</v>
      </c>
      <c r="M111" s="554">
        <f>Passby_Length_Adj!J106</f>
        <v>0.28494260634706281</v>
      </c>
      <c r="N111" s="416">
        <v>0.5</v>
      </c>
      <c r="O111" s="546">
        <f t="shared" si="64"/>
        <v>5.4798547451188014E-2</v>
      </c>
      <c r="P111" s="555">
        <f t="shared" si="65"/>
        <v>523.45097534451065</v>
      </c>
      <c r="Q111" s="556">
        <f t="shared" si="60"/>
        <v>313.44369781108423</v>
      </c>
      <c r="R111" s="561">
        <f t="shared" si="66"/>
        <v>261.71052631578948</v>
      </c>
      <c r="S111" s="583">
        <f t="shared" si="61"/>
        <v>82031.515124506128</v>
      </c>
      <c r="T111" s="555">
        <f t="shared" si="67"/>
        <v>21.658053921445035</v>
      </c>
      <c r="U111" s="559">
        <f t="shared" si="68"/>
        <v>405.42115030277023</v>
      </c>
      <c r="V111" s="582">
        <f t="shared" si="69"/>
        <v>8780.6331341516689</v>
      </c>
      <c r="W111" s="555">
        <f t="shared" si="70"/>
        <v>10.399726221198232</v>
      </c>
      <c r="X111" s="559">
        <f t="shared" si="71"/>
        <v>37.9060089869281</v>
      </c>
      <c r="Y111" s="582">
        <f t="shared" si="72"/>
        <v>394.21211560233201</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59"/>
        <v>74685.168370694737</v>
      </c>
      <c r="I112" s="553">
        <f>ITECountywide!$B$9*E112</f>
        <v>1131.4127635746866</v>
      </c>
      <c r="J112" s="562">
        <f t="shared" si="62"/>
        <v>1.67</v>
      </c>
      <c r="K112" s="416">
        <f t="shared" si="63"/>
        <v>0.8974131092322899</v>
      </c>
      <c r="L112" s="554">
        <f>Passby_Length_Adj!H107</f>
        <v>0.3846286671810874</v>
      </c>
      <c r="M112" s="554">
        <f>Passby_Length_Adj!J107</f>
        <v>0.28494260634706281</v>
      </c>
      <c r="N112" s="416">
        <v>0.5</v>
      </c>
      <c r="O112" s="546">
        <f t="shared" si="64"/>
        <v>5.4798547451188014E-2</v>
      </c>
      <c r="P112" s="555">
        <f t="shared" si="65"/>
        <v>428.63265310652724</v>
      </c>
      <c r="Q112" s="556">
        <f t="shared" si="60"/>
        <v>256.66625934522591</v>
      </c>
      <c r="R112" s="561">
        <f t="shared" si="66"/>
        <v>261.71052631578948</v>
      </c>
      <c r="S112" s="583">
        <f t="shared" si="61"/>
        <v>67172.261820743995</v>
      </c>
      <c r="T112" s="555">
        <f t="shared" si="67"/>
        <v>17.734896964063065</v>
      </c>
      <c r="U112" s="559">
        <f t="shared" si="68"/>
        <v>405.42115030277023</v>
      </c>
      <c r="V112" s="582">
        <f t="shared" si="69"/>
        <v>7190.102327671555</v>
      </c>
      <c r="W112" s="555">
        <f t="shared" si="70"/>
        <v>8.5159116168231339</v>
      </c>
      <c r="X112" s="559">
        <f t="shared" si="71"/>
        <v>37.9060089869281</v>
      </c>
      <c r="Y112" s="582">
        <f t="shared" si="72"/>
        <v>322.80422227918314</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59"/>
        <v>21401.853467705547</v>
      </c>
      <c r="I113" s="553">
        <f>ITECountywide!$B$9*E113</f>
        <v>75.765865936273457</v>
      </c>
      <c r="J113" s="562">
        <f t="shared" si="62"/>
        <v>1.67</v>
      </c>
      <c r="K113" s="416">
        <f t="shared" si="63"/>
        <v>0.8974131092322899</v>
      </c>
      <c r="L113" s="554">
        <f>Passby_Length_Adj!H108</f>
        <v>0.4689899613519371</v>
      </c>
      <c r="M113" s="554">
        <f>Passby_Length_Adj!J108</f>
        <v>1</v>
      </c>
      <c r="N113" s="416">
        <v>0.5</v>
      </c>
      <c r="O113" s="546">
        <f t="shared" si="64"/>
        <v>0.23449498067596855</v>
      </c>
      <c r="P113" s="555">
        <f t="shared" si="65"/>
        <v>122.82938411181661</v>
      </c>
      <c r="Q113" s="556">
        <f t="shared" si="60"/>
        <v>73.55052940827342</v>
      </c>
      <c r="R113" s="561">
        <f t="shared" si="66"/>
        <v>261.71052631578948</v>
      </c>
      <c r="S113" s="583">
        <f t="shared" si="61"/>
        <v>19248.947762244188</v>
      </c>
      <c r="T113" s="555">
        <f t="shared" si="67"/>
        <v>5.0821290809149042</v>
      </c>
      <c r="U113" s="559">
        <f t="shared" si="68"/>
        <v>405.42115030277023</v>
      </c>
      <c r="V113" s="582">
        <f t="shared" si="69"/>
        <v>2060.4026179716811</v>
      </c>
      <c r="W113" s="555">
        <f t="shared" si="70"/>
        <v>2.4403277992567878</v>
      </c>
      <c r="X113" s="559">
        <f t="shared" si="71"/>
        <v>37.9060089869281</v>
      </c>
      <c r="Y113" s="582">
        <f t="shared" si="72"/>
        <v>92.503087489678265</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59"/>
        <v>14720.174334845322</v>
      </c>
      <c r="I114" s="553">
        <f>ITECountywide!$B$9*E114</f>
        <v>52.111690087747888</v>
      </c>
      <c r="J114" s="562">
        <f t="shared" si="62"/>
        <v>1.67</v>
      </c>
      <c r="K114" s="416">
        <f t="shared" si="63"/>
        <v>0.8974131092322899</v>
      </c>
      <c r="L114" s="554">
        <f>Passby_Length_Adj!H109</f>
        <v>0.4689899613519371</v>
      </c>
      <c r="M114" s="554">
        <f>Passby_Length_Adj!J109</f>
        <v>1</v>
      </c>
      <c r="N114" s="416">
        <v>0.5</v>
      </c>
      <c r="O114" s="546">
        <f t="shared" si="64"/>
        <v>0.23449498067596855</v>
      </c>
      <c r="P114" s="555">
        <f t="shared" si="65"/>
        <v>84.481932852026958</v>
      </c>
      <c r="Q114" s="556">
        <f t="shared" si="60"/>
        <v>50.587983743728721</v>
      </c>
      <c r="R114" s="561">
        <f t="shared" si="66"/>
        <v>261.71052631578948</v>
      </c>
      <c r="S114" s="583">
        <f t="shared" si="61"/>
        <v>13239.407850825846</v>
      </c>
      <c r="T114" s="555">
        <f t="shared" si="67"/>
        <v>3.4954835185718536</v>
      </c>
      <c r="U114" s="559">
        <f t="shared" si="68"/>
        <v>405.42115030277023</v>
      </c>
      <c r="V114" s="582">
        <f t="shared" si="69"/>
        <v>1417.1429489637756</v>
      </c>
      <c r="W114" s="555">
        <f t="shared" si="70"/>
        <v>1.6784551250869051</v>
      </c>
      <c r="X114" s="559">
        <f t="shared" si="71"/>
        <v>37.9060089869281</v>
      </c>
      <c r="Y114" s="582">
        <f t="shared" si="72"/>
        <v>63.623535055699755</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59"/>
        <v>15739.066401848529</v>
      </c>
      <c r="I115" s="553">
        <f>ITECountywide!$B$9*E115</f>
        <v>55.718725332082435</v>
      </c>
      <c r="J115" s="562">
        <f t="shared" si="62"/>
        <v>1.67</v>
      </c>
      <c r="K115" s="416">
        <f t="shared" si="63"/>
        <v>0.8974131092322899</v>
      </c>
      <c r="L115" s="554">
        <f>Passby_Length_Adj!H110</f>
        <v>0.4689899613519371</v>
      </c>
      <c r="M115" s="554">
        <f>Passby_Length_Adj!J110</f>
        <v>1</v>
      </c>
      <c r="N115" s="416">
        <v>0.5</v>
      </c>
      <c r="O115" s="546">
        <f t="shared" si="64"/>
        <v>0.23449498067596855</v>
      </c>
      <c r="P115" s="555">
        <f t="shared" si="65"/>
        <v>90.329551856393351</v>
      </c>
      <c r="Q115" s="556">
        <f t="shared" si="60"/>
        <v>54.08955200981638</v>
      </c>
      <c r="R115" s="561">
        <f t="shared" si="66"/>
        <v>261.71052631578948</v>
      </c>
      <c r="S115" s="583">
        <f t="shared" si="61"/>
        <v>14155.805124674314</v>
      </c>
      <c r="T115" s="555">
        <f t="shared" si="67"/>
        <v>3.7374317690747398</v>
      </c>
      <c r="U115" s="559">
        <f t="shared" si="68"/>
        <v>405.42115030277023</v>
      </c>
      <c r="V115" s="582">
        <f t="shared" si="69"/>
        <v>1515.2338869963985</v>
      </c>
      <c r="W115" s="555">
        <f t="shared" si="70"/>
        <v>1.7946334102668335</v>
      </c>
      <c r="X115" s="559">
        <f t="shared" si="71"/>
        <v>37.9060089869281</v>
      </c>
      <c r="Y115" s="582">
        <f t="shared" si="72"/>
        <v>68.027390177816017</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59"/>
        <v>21017.848919840017</v>
      </c>
      <c r="I116" s="553">
        <f>ITECountywide!$B$9*E116</f>
        <v>74.406430542680027</v>
      </c>
      <c r="J116" s="562">
        <f t="shared" si="62"/>
        <v>1.67</v>
      </c>
      <c r="K116" s="416">
        <f t="shared" si="63"/>
        <v>0.8974131092322899</v>
      </c>
      <c r="L116" s="554">
        <f>Passby_Length_Adj!H111</f>
        <v>0.4689899613519371</v>
      </c>
      <c r="M116" s="554">
        <f>Passby_Length_Adj!J111</f>
        <v>1</v>
      </c>
      <c r="N116" s="416">
        <v>0.5</v>
      </c>
      <c r="O116" s="546">
        <f t="shared" si="64"/>
        <v>0.23449498067596855</v>
      </c>
      <c r="P116" s="555">
        <f t="shared" si="65"/>
        <v>120.62550760263329</v>
      </c>
      <c r="Q116" s="556">
        <f t="shared" si="60"/>
        <v>72.230842875828316</v>
      </c>
      <c r="R116" s="561">
        <f t="shared" si="66"/>
        <v>261.71052631578948</v>
      </c>
      <c r="S116" s="583">
        <f t="shared" si="61"/>
        <v>18903.571905266122</v>
      </c>
      <c r="T116" s="555">
        <f t="shared" si="67"/>
        <v>4.990942554343464</v>
      </c>
      <c r="U116" s="559">
        <f t="shared" si="68"/>
        <v>405.42115030277023</v>
      </c>
      <c r="V116" s="582">
        <f t="shared" si="69"/>
        <v>2023.4336714769736</v>
      </c>
      <c r="W116" s="555">
        <f t="shared" si="70"/>
        <v>2.3965420133849551</v>
      </c>
      <c r="X116" s="559">
        <f t="shared" si="71"/>
        <v>37.9060089869281</v>
      </c>
      <c r="Y116" s="582">
        <f t="shared" si="72"/>
        <v>90.843343096920876</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59"/>
        <v>73524.070764653501</v>
      </c>
      <c r="I117" s="553">
        <f>ITECountywide!$B$9*E117</f>
        <v>260.28656336002075</v>
      </c>
      <c r="J117" s="562">
        <f t="shared" si="62"/>
        <v>1.67</v>
      </c>
      <c r="K117" s="416">
        <f t="shared" si="63"/>
        <v>0.8974131092322899</v>
      </c>
      <c r="L117" s="554">
        <f>Passby_Length_Adj!H112</f>
        <v>0.4689899613519371</v>
      </c>
      <c r="M117" s="554">
        <f>Passby_Length_Adj!J112</f>
        <v>1</v>
      </c>
      <c r="N117" s="416">
        <v>0.5</v>
      </c>
      <c r="O117" s="546">
        <f t="shared" si="64"/>
        <v>0.23449498067596855</v>
      </c>
      <c r="P117" s="555">
        <f t="shared" si="65"/>
        <v>421.96888895829812</v>
      </c>
      <c r="Q117" s="556">
        <f t="shared" si="60"/>
        <v>252.67598141215458</v>
      </c>
      <c r="R117" s="561">
        <f t="shared" si="66"/>
        <v>261.71052631578948</v>
      </c>
      <c r="S117" s="583">
        <f t="shared" si="61"/>
        <v>66127.964082733612</v>
      </c>
      <c r="T117" s="555">
        <f t="shared" si="67"/>
        <v>17.459180287544978</v>
      </c>
      <c r="U117" s="559">
        <f t="shared" si="68"/>
        <v>405.42115030277023</v>
      </c>
      <c r="V117" s="582">
        <f t="shared" si="69"/>
        <v>7078.3209555199355</v>
      </c>
      <c r="W117" s="555">
        <f t="shared" si="70"/>
        <v>8.3835184682601582</v>
      </c>
      <c r="X117" s="559">
        <f t="shared" si="71"/>
        <v>37.9060089869281</v>
      </c>
      <c r="Y117" s="582">
        <f t="shared" si="72"/>
        <v>317.78572639994724</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59"/>
        <v>10240.121276414138</v>
      </c>
      <c r="I118" s="553">
        <f>ITECountywide!$B$9*E118</f>
        <v>36.251610495824622</v>
      </c>
      <c r="J118" s="562">
        <f t="shared" si="62"/>
        <v>1.67</v>
      </c>
      <c r="K118" s="416">
        <f t="shared" si="63"/>
        <v>0.8974131092322899</v>
      </c>
      <c r="L118" s="554">
        <f>Passby_Length_Adj!H113</f>
        <v>0.4689899613519371</v>
      </c>
      <c r="M118" s="554">
        <f>Passby_Length_Adj!J113</f>
        <v>1</v>
      </c>
      <c r="N118" s="416">
        <v>0.5</v>
      </c>
      <c r="O118" s="546">
        <f t="shared" si="64"/>
        <v>0.23449498067596855</v>
      </c>
      <c r="P118" s="555">
        <f t="shared" si="65"/>
        <v>58.770040244888328</v>
      </c>
      <c r="Q118" s="556">
        <f t="shared" si="60"/>
        <v>35.191640865202594</v>
      </c>
      <c r="R118" s="561">
        <f t="shared" si="66"/>
        <v>261.71052631578948</v>
      </c>
      <c r="S118" s="583">
        <f t="shared" si="61"/>
        <v>9210.022852748416</v>
      </c>
      <c r="T118" s="555">
        <f t="shared" si="67"/>
        <v>2.4316407085717238</v>
      </c>
      <c r="U118" s="559">
        <f t="shared" si="68"/>
        <v>405.42115030277023</v>
      </c>
      <c r="V118" s="582">
        <f t="shared" si="69"/>
        <v>985.83857319219157</v>
      </c>
      <c r="W118" s="555">
        <f t="shared" si="70"/>
        <v>1.1676209565821949</v>
      </c>
      <c r="X118" s="559">
        <f t="shared" si="71"/>
        <v>37.9060089869281</v>
      </c>
      <c r="Y118" s="582">
        <f t="shared" si="72"/>
        <v>44.259850473530264</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59"/>
        <v>11714.698740217775</v>
      </c>
      <c r="I119" s="553">
        <f>ITECountywide!$B$9*E119</f>
        <v>41.471842407223363</v>
      </c>
      <c r="J119" s="562">
        <f t="shared" si="62"/>
        <v>1.67</v>
      </c>
      <c r="K119" s="416">
        <f t="shared" si="63"/>
        <v>0.8974131092322899</v>
      </c>
      <c r="L119" s="554">
        <f>Passby_Length_Adj!H114</f>
        <v>0.4689899613519371</v>
      </c>
      <c r="M119" s="554">
        <f>Passby_Length_Adj!J114</f>
        <v>1</v>
      </c>
      <c r="N119" s="416">
        <v>0.5</v>
      </c>
      <c r="O119" s="546">
        <f t="shared" si="64"/>
        <v>0.23449498067596855</v>
      </c>
      <c r="P119" s="555">
        <f t="shared" si="65"/>
        <v>67.23292604015225</v>
      </c>
      <c r="Q119" s="556">
        <f t="shared" si="60"/>
        <v>40.259237149791765</v>
      </c>
      <c r="R119" s="561">
        <f t="shared" si="66"/>
        <v>261.71052631578948</v>
      </c>
      <c r="S119" s="583">
        <f t="shared" si="61"/>
        <v>10536.266143544188</v>
      </c>
      <c r="T119" s="555">
        <f t="shared" si="67"/>
        <v>2.7817969706060524</v>
      </c>
      <c r="U119" s="559">
        <f t="shared" si="68"/>
        <v>405.42115030277023</v>
      </c>
      <c r="V119" s="582">
        <f t="shared" si="69"/>
        <v>1127.7993277318672</v>
      </c>
      <c r="W119" s="555">
        <f t="shared" si="70"/>
        <v>1.335758374330031</v>
      </c>
      <c r="X119" s="559">
        <f t="shared" si="71"/>
        <v>37.9060089869281</v>
      </c>
      <c r="Y119" s="582">
        <f t="shared" si="72"/>
        <v>50.633268941718626</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59"/>
        <v>33997.202637694943</v>
      </c>
      <c r="I120" s="553">
        <f>ITECountywide!$B$9*E120</f>
        <v>120.35534684613775</v>
      </c>
      <c r="J120" s="562">
        <f t="shared" si="62"/>
        <v>1.67</v>
      </c>
      <c r="K120" s="416">
        <f t="shared" si="63"/>
        <v>0.8974131092322899</v>
      </c>
      <c r="L120" s="554">
        <f>Passby_Length_Adj!H115</f>
        <v>0.4689899613519371</v>
      </c>
      <c r="M120" s="554">
        <f>Passby_Length_Adj!J115</f>
        <v>1</v>
      </c>
      <c r="N120" s="416">
        <v>0.5</v>
      </c>
      <c r="O120" s="546">
        <f t="shared" si="64"/>
        <v>0.23449498067596855</v>
      </c>
      <c r="P120" s="555">
        <f t="shared" si="65"/>
        <v>195.11653361302925</v>
      </c>
      <c r="Q120" s="556">
        <f t="shared" si="60"/>
        <v>116.83624767247261</v>
      </c>
      <c r="R120" s="561">
        <f t="shared" si="66"/>
        <v>261.71052631578948</v>
      </c>
      <c r="S120" s="583">
        <f t="shared" si="61"/>
        <v>30577.275871124741</v>
      </c>
      <c r="T120" s="555">
        <f t="shared" si="67"/>
        <v>8.0730471524581251</v>
      </c>
      <c r="U120" s="559">
        <f t="shared" si="68"/>
        <v>405.42115030277023</v>
      </c>
      <c r="V120" s="582">
        <f t="shared" si="69"/>
        <v>3272.9840629980768</v>
      </c>
      <c r="W120" s="555">
        <f t="shared" si="70"/>
        <v>3.8765015758528873</v>
      </c>
      <c r="X120" s="559">
        <f t="shared" si="71"/>
        <v>37.9060089869281</v>
      </c>
      <c r="Y120" s="582">
        <f t="shared" si="72"/>
        <v>146.94270357212048</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59"/>
        <v>28953.942909060966</v>
      </c>
      <c r="I121" s="553">
        <f>ITECountywide!$B$9*E121</f>
        <v>102.5014286769441</v>
      </c>
      <c r="J121" s="562">
        <f t="shared" si="62"/>
        <v>1.67</v>
      </c>
      <c r="K121" s="416">
        <f t="shared" si="63"/>
        <v>0.8974131092322899</v>
      </c>
      <c r="L121" s="554">
        <f>Passby_Length_Adj!H116</f>
        <v>0.4689899613519371</v>
      </c>
      <c r="M121" s="554">
        <f>Passby_Length_Adj!J116</f>
        <v>1</v>
      </c>
      <c r="N121" s="416">
        <v>0.5</v>
      </c>
      <c r="O121" s="546">
        <f t="shared" si="64"/>
        <v>0.23449498067596855</v>
      </c>
      <c r="P121" s="555">
        <f t="shared" si="65"/>
        <v>166.17228879242171</v>
      </c>
      <c r="Q121" s="556">
        <f t="shared" si="60"/>
        <v>99.504364546360307</v>
      </c>
      <c r="R121" s="561">
        <f t="shared" si="66"/>
        <v>261.71052631578948</v>
      </c>
      <c r="S121" s="583">
        <f t="shared" si="61"/>
        <v>26041.339616146139</v>
      </c>
      <c r="T121" s="555">
        <f t="shared" si="67"/>
        <v>6.8754641034865482</v>
      </c>
      <c r="U121" s="559">
        <f t="shared" si="68"/>
        <v>405.42115030277023</v>
      </c>
      <c r="V121" s="582">
        <f t="shared" si="69"/>
        <v>2787.4585657009211</v>
      </c>
      <c r="W121" s="555">
        <f t="shared" si="70"/>
        <v>3.3014482547361559</v>
      </c>
      <c r="X121" s="559">
        <f t="shared" si="71"/>
        <v>37.9060089869281</v>
      </c>
      <c r="Y121" s="582">
        <f t="shared" si="72"/>
        <v>125.14472721390682</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59"/>
        <v>10778.019812291221</v>
      </c>
      <c r="I122" s="553">
        <f>ITECountywide!$B$9*E122</f>
        <v>163.27725367319408</v>
      </c>
      <c r="J122" s="562">
        <f t="shared" si="62"/>
        <v>1.67</v>
      </c>
      <c r="K122" s="416">
        <f t="shared" si="63"/>
        <v>0.8974131092322899</v>
      </c>
      <c r="L122" s="554">
        <f>Passby_Length_Adj!H117</f>
        <v>0.3846286671810874</v>
      </c>
      <c r="M122" s="554">
        <f>Passby_Length_Adj!J117</f>
        <v>0.28494260634706281</v>
      </c>
      <c r="N122" s="416">
        <v>0.5</v>
      </c>
      <c r="O122" s="546">
        <f t="shared" si="64"/>
        <v>5.4798547451188014E-2</v>
      </c>
      <c r="P122" s="555">
        <f t="shared" si="65"/>
        <v>61.857144171477039</v>
      </c>
      <c r="Q122" s="556">
        <f t="shared" si="60"/>
        <v>37.040206090704814</v>
      </c>
      <c r="R122" s="561">
        <f t="shared" si="66"/>
        <v>261.71052631578948</v>
      </c>
      <c r="S122" s="583">
        <f t="shared" si="61"/>
        <v>9693.8118308436678</v>
      </c>
      <c r="T122" s="555">
        <f t="shared" si="67"/>
        <v>2.55937122480423</v>
      </c>
      <c r="U122" s="559">
        <f t="shared" si="68"/>
        <v>405.42115030277023</v>
      </c>
      <c r="V122" s="582">
        <f t="shared" si="69"/>
        <v>1037.6232260119409</v>
      </c>
      <c r="W122" s="555">
        <f t="shared" si="70"/>
        <v>1.2289543711044979</v>
      </c>
      <c r="X122" s="559">
        <f t="shared" si="71"/>
        <v>37.9060089869281</v>
      </c>
      <c r="Y122" s="582">
        <f t="shared" si="72"/>
        <v>46.584755435611669</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59"/>
        <v>13060.930758322707</v>
      </c>
      <c r="I123" s="553">
        <f>ITECountywide!$B$9*E123</f>
        <v>197.86129008621077</v>
      </c>
      <c r="J123" s="562">
        <f t="shared" si="62"/>
        <v>1.67</v>
      </c>
      <c r="K123" s="416">
        <f t="shared" si="63"/>
        <v>0.8974131092322899</v>
      </c>
      <c r="L123" s="554">
        <f>Passby_Length_Adj!H118</f>
        <v>0.3846286671810874</v>
      </c>
      <c r="M123" s="554">
        <f>Passby_Length_Adj!J118</f>
        <v>0.28494260634706281</v>
      </c>
      <c r="N123" s="416">
        <v>0.5</v>
      </c>
      <c r="O123" s="546">
        <f t="shared" si="64"/>
        <v>5.4798547451188014E-2</v>
      </c>
      <c r="P123" s="555">
        <f t="shared" si="65"/>
        <v>74.959212452913334</v>
      </c>
      <c r="Q123" s="556">
        <f t="shared" si="60"/>
        <v>44.885755959828344</v>
      </c>
      <c r="R123" s="561">
        <f t="shared" si="66"/>
        <v>261.71052631578948</v>
      </c>
      <c r="S123" s="583">
        <f t="shared" si="61"/>
        <v>11747.074816328761</v>
      </c>
      <c r="T123" s="555">
        <f t="shared" si="67"/>
        <v>3.101476053503883</v>
      </c>
      <c r="U123" s="559">
        <f t="shared" si="68"/>
        <v>405.42115030277023</v>
      </c>
      <c r="V123" s="582">
        <f t="shared" si="69"/>
        <v>1257.4039892480405</v>
      </c>
      <c r="W123" s="555">
        <f t="shared" si="70"/>
        <v>1.4892613138295625</v>
      </c>
      <c r="X123" s="559">
        <f t="shared" si="71"/>
        <v>37.9060089869281</v>
      </c>
      <c r="Y123" s="582">
        <f t="shared" si="72"/>
        <v>56.451952745907747</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59"/>
        <v>129383.9323274926</v>
      </c>
      <c r="I124" s="553">
        <f>ITECountywide!$B$9*E124</f>
        <v>458.03909861474403</v>
      </c>
      <c r="J124" s="562">
        <f t="shared" si="62"/>
        <v>1.67</v>
      </c>
      <c r="K124" s="416">
        <f t="shared" si="63"/>
        <v>0.8974131092322899</v>
      </c>
      <c r="L124" s="554">
        <f>Passby_Length_Adj!H119</f>
        <v>0.4689899613519371</v>
      </c>
      <c r="M124" s="554">
        <f>Passby_Length_Adj!J119</f>
        <v>1</v>
      </c>
      <c r="N124" s="416">
        <v>0.5</v>
      </c>
      <c r="O124" s="546">
        <f t="shared" si="64"/>
        <v>0.23449498067596855</v>
      </c>
      <c r="P124" s="555">
        <f t="shared" si="65"/>
        <v>742.55945849416389</v>
      </c>
      <c r="Q124" s="556">
        <f t="shared" si="60"/>
        <v>444.64638233183467</v>
      </c>
      <c r="R124" s="561">
        <f t="shared" si="66"/>
        <v>261.71052631578948</v>
      </c>
      <c r="S124" s="583">
        <f t="shared" si="61"/>
        <v>116368.63874447621</v>
      </c>
      <c r="T124" s="555">
        <f t="shared" si="67"/>
        <v>30.723780352803733</v>
      </c>
      <c r="U124" s="559">
        <f t="shared" si="68"/>
        <v>405.42115030277023</v>
      </c>
      <c r="V124" s="582">
        <f t="shared" si="69"/>
        <v>12456.07037228334</v>
      </c>
      <c r="W124" s="555">
        <f t="shared" si="70"/>
        <v>14.752890786416032</v>
      </c>
      <c r="X124" s="559">
        <f t="shared" si="71"/>
        <v>37.9060089869281</v>
      </c>
      <c r="Y124" s="582">
        <f t="shared" si="72"/>
        <v>559.22321073305488</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59"/>
        <v>3225.6382020704536</v>
      </c>
      <c r="I125" s="553">
        <f>ITECountywide!$B$9*E125</f>
        <v>11.419257306184756</v>
      </c>
      <c r="J125" s="562">
        <f t="shared" si="62"/>
        <v>1.67</v>
      </c>
      <c r="K125" s="416">
        <f t="shared" si="63"/>
        <v>0.8974131092322899</v>
      </c>
      <c r="L125" s="554">
        <f>Passby_Length_Adj!H120</f>
        <v>0.4689899613519371</v>
      </c>
      <c r="M125" s="554">
        <f>Passby_Length_Adj!J120</f>
        <v>1</v>
      </c>
      <c r="N125" s="416">
        <v>0.5</v>
      </c>
      <c r="O125" s="546">
        <f t="shared" si="64"/>
        <v>0.23449498067596855</v>
      </c>
      <c r="P125" s="555">
        <f t="shared" si="65"/>
        <v>18.512562677139826</v>
      </c>
      <c r="Q125" s="556">
        <f t="shared" si="60"/>
        <v>11.085366872538819</v>
      </c>
      <c r="R125" s="561">
        <f t="shared" si="66"/>
        <v>261.71052631578948</v>
      </c>
      <c r="S125" s="583">
        <f t="shared" si="61"/>
        <v>2901.1571986157514</v>
      </c>
      <c r="T125" s="555">
        <f t="shared" si="67"/>
        <v>0.76596682320009313</v>
      </c>
      <c r="U125" s="559">
        <f t="shared" si="68"/>
        <v>405.42115030277023</v>
      </c>
      <c r="V125" s="582">
        <f t="shared" si="69"/>
        <v>310.5391505555404</v>
      </c>
      <c r="W125" s="555">
        <f t="shared" si="70"/>
        <v>0.36780060132339143</v>
      </c>
      <c r="X125" s="559">
        <f t="shared" si="71"/>
        <v>37.9060089869281</v>
      </c>
      <c r="Y125" s="582">
        <f t="shared" si="72"/>
        <v>13.941852899162035</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59"/>
        <v>42616.370565287805</v>
      </c>
      <c r="I126" s="553">
        <f>ITECountywide!$B$9*E126</f>
        <v>183.95879746106203</v>
      </c>
      <c r="J126" s="562">
        <f t="shared" si="62"/>
        <v>1.67</v>
      </c>
      <c r="K126" s="416">
        <f t="shared" si="63"/>
        <v>0.8974131092322899</v>
      </c>
      <c r="L126" s="554">
        <f>Passby_Length_Adj!H121</f>
        <v>0.3846286671810874</v>
      </c>
      <c r="M126" s="554">
        <f>Passby_Length_Adj!J121</f>
        <v>1</v>
      </c>
      <c r="N126" s="416">
        <v>0.5</v>
      </c>
      <c r="O126" s="546">
        <f t="shared" si="64"/>
        <v>0.1923143335905437</v>
      </c>
      <c r="P126" s="555">
        <f t="shared" si="65"/>
        <v>244.58360849512144</v>
      </c>
      <c r="Q126" s="556">
        <f t="shared" si="60"/>
        <v>146.45725059588111</v>
      </c>
      <c r="R126" s="561">
        <f t="shared" si="66"/>
        <v>261.71052631578948</v>
      </c>
      <c r="S126" s="583">
        <f t="shared" si="61"/>
        <v>38329.404136211517</v>
      </c>
      <c r="T126" s="555">
        <f t="shared" si="67"/>
        <v>10.119772873863825</v>
      </c>
      <c r="U126" s="559">
        <f t="shared" si="68"/>
        <v>405.42115030277023</v>
      </c>
      <c r="V126" s="582">
        <f t="shared" si="69"/>
        <v>4102.7699593246425</v>
      </c>
      <c r="W126" s="555">
        <f t="shared" si="70"/>
        <v>4.8592947312170311</v>
      </c>
      <c r="X126" s="559">
        <f t="shared" si="71"/>
        <v>37.9060089869281</v>
      </c>
      <c r="Y126" s="582">
        <f t="shared" si="72"/>
        <v>184.19646975164514</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59"/>
        <v>1451.3474725032474</v>
      </c>
      <c r="I128" s="553">
        <f>ITECountywide!$B$9*E128</f>
        <v>21.986601765717634</v>
      </c>
      <c r="J128" s="562">
        <f t="shared" ref="J128:J137" si="73">IF(F128="Prod",$M$3,$M$4)</f>
        <v>1.67</v>
      </c>
      <c r="K128" s="416">
        <f t="shared" ref="K128:K137" si="74">IF(F128="Prod",$F$4,$F$5)</f>
        <v>0.8974131092322899</v>
      </c>
      <c r="L128" s="554">
        <f>Passby_Length_Adj!H123</f>
        <v>0.3846286671810874</v>
      </c>
      <c r="M128" s="554">
        <f>Passby_Length_Adj!J123</f>
        <v>0.28494260634706281</v>
      </c>
      <c r="N128" s="416">
        <v>0.5</v>
      </c>
      <c r="O128" s="546">
        <f t="shared" ref="O128:O137" si="75">L128*M128*N128</f>
        <v>5.4798547451188014E-2</v>
      </c>
      <c r="P128" s="555">
        <f t="shared" ref="P128:P137" si="76">IF($F128="Prod",$I128*$O128*$F$4*$F$6,$I128*O128*$F$5*$F$7)</f>
        <v>8.3295643738900598</v>
      </c>
      <c r="Q128" s="556">
        <f>+P128/J128</f>
        <v>4.9877630981377603</v>
      </c>
      <c r="R128" s="561">
        <f t="shared" ref="R128:R137" si="77">$Q$4</f>
        <v>261.71052631578948</v>
      </c>
      <c r="S128" s="583">
        <f t="shared" si="61"/>
        <v>1305.350105552106</v>
      </c>
      <c r="T128" s="555">
        <f t="shared" ref="T128:T137" si="78">IF($F128="Prod",$I128*$O128*$G$4*$G$6,$I128*$O128*$G$5*$G$7)</f>
        <v>0.34464001950350037</v>
      </c>
      <c r="U128" s="559">
        <f t="shared" ref="U128:U137" si="79">+$R$4</f>
        <v>405.42115030277023</v>
      </c>
      <c r="V128" s="582">
        <f t="shared" ref="V128:V137" si="80">+T128*U128</f>
        <v>139.7243531474783</v>
      </c>
      <c r="W128" s="555">
        <f t="shared" ref="W128:W137" si="81">IF($F128="Prod",$I128*$O128*$J$4*$J$6,$I128*$O128*$J$5*$J$7)</f>
        <v>0.16548863811609196</v>
      </c>
      <c r="X128" s="559">
        <f t="shared" ref="X128:X137" si="82">+$S$4</f>
        <v>37.9060089869281</v>
      </c>
      <c r="Y128" s="582">
        <f t="shared" ref="Y128:Y137" si="83">+W128*X128</f>
        <v>6.2730138036630745</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59"/>
        <v>11968.531547774102</v>
      </c>
      <c r="I129" s="553">
        <f>ITECountywide!$B$9*E129</f>
        <v>181.31242989486685</v>
      </c>
      <c r="J129" s="562">
        <f t="shared" si="73"/>
        <v>1.67</v>
      </c>
      <c r="K129" s="416">
        <f t="shared" si="74"/>
        <v>0.8974131092322899</v>
      </c>
      <c r="L129" s="554">
        <f>Passby_Length_Adj!H124</f>
        <v>0.3846286671810874</v>
      </c>
      <c r="M129" s="554">
        <f>Passby_Length_Adj!J124</f>
        <v>0.28494260634706281</v>
      </c>
      <c r="N129" s="416">
        <v>0.5</v>
      </c>
      <c r="O129" s="546">
        <f t="shared" si="75"/>
        <v>5.4798547451188014E-2</v>
      </c>
      <c r="P129" s="555">
        <f t="shared" si="76"/>
        <v>68.689721708179945</v>
      </c>
      <c r="Q129" s="556">
        <f t="shared" si="60"/>
        <v>41.131569885137694</v>
      </c>
      <c r="R129" s="557">
        <f t="shared" si="77"/>
        <v>261.71052631578948</v>
      </c>
      <c r="S129" s="582">
        <f t="shared" si="61"/>
        <v>10764.564802834062</v>
      </c>
      <c r="T129" s="555">
        <f t="shared" si="78"/>
        <v>2.8420726422864919</v>
      </c>
      <c r="U129" s="559">
        <f t="shared" si="79"/>
        <v>405.42115030277023</v>
      </c>
      <c r="V129" s="582">
        <f t="shared" si="80"/>
        <v>1152.2363598798231</v>
      </c>
      <c r="W129" s="555">
        <f t="shared" si="81"/>
        <v>1.3647014402928836</v>
      </c>
      <c r="X129" s="559">
        <f t="shared" si="82"/>
        <v>37.9060089869281</v>
      </c>
      <c r="Y129" s="582">
        <f t="shared" si="83"/>
        <v>51.730385060215767</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59"/>
        <v>35205.010426581233</v>
      </c>
      <c r="I130" s="553">
        <f>ITECountywide!$B$9*E130</f>
        <v>151.96675119849681</v>
      </c>
      <c r="J130" s="562">
        <f t="shared" si="73"/>
        <v>1.67</v>
      </c>
      <c r="K130" s="416">
        <f t="shared" si="74"/>
        <v>0.8974131092322899</v>
      </c>
      <c r="L130" s="554">
        <f>Passby_Length_Adj!H125</f>
        <v>0.3846286671810874</v>
      </c>
      <c r="M130" s="554">
        <f>Passby_Length_Adj!J125</f>
        <v>1</v>
      </c>
      <c r="N130" s="416">
        <v>0.5</v>
      </c>
      <c r="O130" s="546">
        <f t="shared" si="75"/>
        <v>0.1923143335905437</v>
      </c>
      <c r="P130" s="555">
        <f t="shared" si="76"/>
        <v>202.04837655168961</v>
      </c>
      <c r="Q130" s="556">
        <f t="shared" si="60"/>
        <v>120.98705182735905</v>
      </c>
      <c r="R130" s="557">
        <f t="shared" si="77"/>
        <v>261.71052631578948</v>
      </c>
      <c r="S130" s="582">
        <f t="shared" si="61"/>
        <v>31663.585011133837</v>
      </c>
      <c r="T130" s="555">
        <f t="shared" si="78"/>
        <v>8.359855727113441</v>
      </c>
      <c r="U130" s="559">
        <f t="shared" si="79"/>
        <v>405.42115030277023</v>
      </c>
      <c r="V130" s="582">
        <f t="shared" si="80"/>
        <v>3389.2623252515327</v>
      </c>
      <c r="W130" s="555">
        <f t="shared" si="81"/>
        <v>4.0142208125454317</v>
      </c>
      <c r="X130" s="559">
        <f t="shared" si="82"/>
        <v>37.9060089869281</v>
      </c>
      <c r="Y130" s="582">
        <f t="shared" si="83"/>
        <v>152.16309019586095</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59"/>
        <v>1091.7584340304295</v>
      </c>
      <c r="I131" s="553">
        <f>ITECountywide!$B$9*E131</f>
        <v>4.7127093644572007</v>
      </c>
      <c r="J131" s="562">
        <f t="shared" si="73"/>
        <v>1.67</v>
      </c>
      <c r="K131" s="416">
        <f t="shared" si="74"/>
        <v>0.8974131092322899</v>
      </c>
      <c r="L131" s="554">
        <f>Passby_Length_Adj!H126</f>
        <v>0.3846286671810874</v>
      </c>
      <c r="M131" s="554">
        <f>Passby_Length_Adj!J126</f>
        <v>1</v>
      </c>
      <c r="N131" s="416">
        <v>0.5</v>
      </c>
      <c r="O131" s="546">
        <f t="shared" si="75"/>
        <v>0.1923143335905437</v>
      </c>
      <c r="P131" s="555">
        <f t="shared" si="76"/>
        <v>6.2658132041315957</v>
      </c>
      <c r="Q131" s="556">
        <f t="shared" si="60"/>
        <v>3.7519839545698179</v>
      </c>
      <c r="R131" s="557">
        <f t="shared" si="77"/>
        <v>261.71052631578948</v>
      </c>
      <c r="S131" s="582">
        <f t="shared" si="61"/>
        <v>981.93369547886425</v>
      </c>
      <c r="T131" s="555">
        <f t="shared" si="78"/>
        <v>0.25925125107937674</v>
      </c>
      <c r="U131" s="559">
        <f t="shared" si="79"/>
        <v>405.42115030277023</v>
      </c>
      <c r="V131" s="582">
        <f t="shared" si="80"/>
        <v>105.10594043003321</v>
      </c>
      <c r="W131" s="555">
        <f t="shared" si="81"/>
        <v>0.12448680954935738</v>
      </c>
      <c r="X131" s="559">
        <f t="shared" si="82"/>
        <v>37.9060089869281</v>
      </c>
      <c r="Y131" s="582">
        <f t="shared" si="83"/>
        <v>4.7187981215319477</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59"/>
        <v>13422.272008690377</v>
      </c>
      <c r="I132" s="553">
        <f>ITECountywide!$B$9*E132</f>
        <v>203.3352832710803</v>
      </c>
      <c r="J132" s="562">
        <f t="shared" si="73"/>
        <v>1.67</v>
      </c>
      <c r="K132" s="416">
        <f t="shared" si="74"/>
        <v>0.8974131092322899</v>
      </c>
      <c r="L132" s="554">
        <f>Passby_Length_Adj!H127</f>
        <v>0.3846286671810874</v>
      </c>
      <c r="M132" s="554">
        <f>Passby_Length_Adj!J127</f>
        <v>0.28494260634706281</v>
      </c>
      <c r="N132" s="416">
        <v>0.5</v>
      </c>
      <c r="O132" s="546">
        <f t="shared" si="75"/>
        <v>5.4798547451188014E-2</v>
      </c>
      <c r="P132" s="555">
        <f t="shared" si="76"/>
        <v>77.033019906264371</v>
      </c>
      <c r="Q132" s="556">
        <f t="shared" si="60"/>
        <v>46.127556830098428</v>
      </c>
      <c r="R132" s="557">
        <f t="shared" si="77"/>
        <v>261.71052631578948</v>
      </c>
      <c r="S132" s="582">
        <f t="shared" si="61"/>
        <v>12072.067175666549</v>
      </c>
      <c r="T132" s="555">
        <f t="shared" si="78"/>
        <v>3.187280905845232</v>
      </c>
      <c r="U132" s="559">
        <f t="shared" si="79"/>
        <v>405.42115030277023</v>
      </c>
      <c r="V132" s="582">
        <f t="shared" si="80"/>
        <v>1292.1910911858295</v>
      </c>
      <c r="W132" s="555">
        <f t="shared" si="81"/>
        <v>1.5304629368395049</v>
      </c>
      <c r="X132" s="559">
        <f t="shared" si="82"/>
        <v>37.9060089869281</v>
      </c>
      <c r="Y132" s="582">
        <f t="shared" si="83"/>
        <v>58.013741837998644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59"/>
        <v>522.867968247254</v>
      </c>
      <c r="I133" s="553">
        <f>ITECountywide!$B$9*E133</f>
        <v>7.9209768933376798</v>
      </c>
      <c r="J133" s="562">
        <f t="shared" si="73"/>
        <v>1.67</v>
      </c>
      <c r="K133" s="416">
        <f t="shared" si="74"/>
        <v>0.8974131092322899</v>
      </c>
      <c r="L133" s="554">
        <f>Passby_Length_Adj!H128</f>
        <v>0.3846286671810874</v>
      </c>
      <c r="M133" s="554">
        <f>Passby_Length_Adj!J128</f>
        <v>0.28494260634706281</v>
      </c>
      <c r="N133" s="416">
        <v>0.5</v>
      </c>
      <c r="O133" s="546">
        <f t="shared" si="75"/>
        <v>5.4798547451188014E-2</v>
      </c>
      <c r="P133" s="555">
        <f t="shared" si="76"/>
        <v>3.0008405864715217</v>
      </c>
      <c r="Q133" s="556">
        <f t="shared" si="60"/>
        <v>1.7969105308212705</v>
      </c>
      <c r="R133" s="557">
        <f t="shared" si="77"/>
        <v>261.71052631578948</v>
      </c>
      <c r="S133" s="582">
        <f t="shared" si="61"/>
        <v>470.27040076361936</v>
      </c>
      <c r="T133" s="555">
        <f t="shared" si="78"/>
        <v>0.12416132607009864</v>
      </c>
      <c r="U133" s="559">
        <f t="shared" si="79"/>
        <v>405.42115030277023</v>
      </c>
      <c r="V133" s="582">
        <f t="shared" si="80"/>
        <v>50.337627638456723</v>
      </c>
      <c r="W133" s="555">
        <f t="shared" si="81"/>
        <v>5.9619567070677802E-2</v>
      </c>
      <c r="X133" s="559">
        <f t="shared" si="82"/>
        <v>37.9060089869281</v>
      </c>
      <c r="Y133" s="582">
        <f t="shared" si="83"/>
        <v>2.2599398451778754</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59"/>
        <v>39230.719685250588</v>
      </c>
      <c r="I134" s="553">
        <f>ITECountywide!$B$9*E134</f>
        <v>627.56975509846791</v>
      </c>
      <c r="J134" s="562">
        <f t="shared" si="73"/>
        <v>1.67</v>
      </c>
      <c r="K134" s="416">
        <f t="shared" si="74"/>
        <v>0.8974131092322899</v>
      </c>
      <c r="L134" s="554">
        <f>Passby_Length_Adj!H129</f>
        <v>0.3846286671810874</v>
      </c>
      <c r="M134" s="554">
        <f>Passby_Length_Adj!J129</f>
        <v>0.26984126984126988</v>
      </c>
      <c r="N134" s="416">
        <v>0.5</v>
      </c>
      <c r="O134" s="546">
        <f t="shared" si="75"/>
        <v>5.1894343984749895E-2</v>
      </c>
      <c r="P134" s="555">
        <f t="shared" si="76"/>
        <v>225.15270205329796</v>
      </c>
      <c r="Q134" s="556">
        <f t="shared" si="60"/>
        <v>134.82197727742394</v>
      </c>
      <c r="R134" s="557">
        <f t="shared" si="77"/>
        <v>261.71052631578948</v>
      </c>
      <c r="S134" s="582">
        <f t="shared" si="61"/>
        <v>35284.330632210032</v>
      </c>
      <c r="T134" s="555">
        <f t="shared" si="78"/>
        <v>9.3158091040330557</v>
      </c>
      <c r="U134" s="559">
        <f t="shared" si="79"/>
        <v>405.42115030277023</v>
      </c>
      <c r="V134" s="582">
        <f t="shared" si="80"/>
        <v>3776.826042958101</v>
      </c>
      <c r="W134" s="555">
        <f t="shared" si="81"/>
        <v>4.4732488229222112</v>
      </c>
      <c r="X134" s="559">
        <f t="shared" si="82"/>
        <v>37.9060089869281</v>
      </c>
      <c r="Y134" s="582">
        <f t="shared" si="83"/>
        <v>169.56301008245489</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59"/>
        <v>53362.526169796845</v>
      </c>
      <c r="I135" s="553">
        <f>ITECountywide!$B$9*E135</f>
        <v>853.63479815043024</v>
      </c>
      <c r="J135" s="562">
        <f t="shared" si="73"/>
        <v>1.67</v>
      </c>
      <c r="K135" s="416">
        <f t="shared" si="74"/>
        <v>0.8974131092322899</v>
      </c>
      <c r="L135" s="554">
        <f>Passby_Length_Adj!H130</f>
        <v>0.3846286671810874</v>
      </c>
      <c r="M135" s="554">
        <f>Passby_Length_Adj!J130</f>
        <v>0.26984126984126988</v>
      </c>
      <c r="N135" s="416">
        <v>0.5</v>
      </c>
      <c r="O135" s="546">
        <f t="shared" si="75"/>
        <v>5.1894343984749895E-2</v>
      </c>
      <c r="P135" s="555">
        <f t="shared" si="76"/>
        <v>306.25787780377402</v>
      </c>
      <c r="Q135" s="556">
        <f t="shared" si="60"/>
        <v>183.38795078070302</v>
      </c>
      <c r="R135" s="557">
        <f t="shared" si="77"/>
        <v>261.71052631578948</v>
      </c>
      <c r="S135" s="582">
        <f t="shared" si="61"/>
        <v>47994.557118791883</v>
      </c>
      <c r="T135" s="555">
        <f t="shared" si="78"/>
        <v>12.671577556954533</v>
      </c>
      <c r="U135" s="559">
        <f t="shared" si="79"/>
        <v>405.42115030277023</v>
      </c>
      <c r="V135" s="582">
        <f t="shared" si="80"/>
        <v>5137.325549291274</v>
      </c>
      <c r="W135" s="555">
        <f t="shared" si="81"/>
        <v>6.0846158136360673</v>
      </c>
      <c r="X135" s="559">
        <f t="shared" si="82"/>
        <v>37.9060089869281</v>
      </c>
      <c r="Y135" s="582">
        <f t="shared" si="83"/>
        <v>230.64350171369361</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59"/>
        <v>92955.832294676598</v>
      </c>
      <c r="I136" s="553">
        <f>ITECountywide!$B$9*E136</f>
        <v>1487.00481092823</v>
      </c>
      <c r="J136" s="562">
        <f t="shared" si="73"/>
        <v>1.67</v>
      </c>
      <c r="K136" s="416">
        <f t="shared" si="74"/>
        <v>0.8974131092322899</v>
      </c>
      <c r="L136" s="554">
        <f>Passby_Length_Adj!H131</f>
        <v>0.3846286671810874</v>
      </c>
      <c r="M136" s="554">
        <f>Passby_Length_Adj!J131</f>
        <v>0.26984126984126988</v>
      </c>
      <c r="N136" s="416">
        <v>0.5</v>
      </c>
      <c r="O136" s="546">
        <f t="shared" si="75"/>
        <v>5.1894343984749895E-2</v>
      </c>
      <c r="P136" s="555">
        <f t="shared" si="76"/>
        <v>533.49153369287637</v>
      </c>
      <c r="Q136" s="556">
        <f t="shared" si="60"/>
        <v>319.45600819932719</v>
      </c>
      <c r="R136" s="557">
        <f t="shared" si="77"/>
        <v>261.71052631578948</v>
      </c>
      <c r="S136" s="582">
        <f t="shared" si="61"/>
        <v>83605.000040587081</v>
      </c>
      <c r="T136" s="555">
        <f t="shared" si="78"/>
        <v>22.073487198586601</v>
      </c>
      <c r="U136" s="559">
        <f t="shared" si="79"/>
        <v>405.42115030277023</v>
      </c>
      <c r="V136" s="582">
        <f t="shared" si="80"/>
        <v>8949.0585712444536</v>
      </c>
      <c r="W136" s="555">
        <f t="shared" si="81"/>
        <v>10.599208241194939</v>
      </c>
      <c r="X136" s="559">
        <f t="shared" si="82"/>
        <v>37.9060089869281</v>
      </c>
      <c r="Y136" s="582">
        <f t="shared" si="83"/>
        <v>401.77368284505775</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59"/>
        <v>19490.15421269085</v>
      </c>
      <c r="I137" s="566">
        <f>ITECountywide!$B$9*E137</f>
        <v>311.78197606933963</v>
      </c>
      <c r="J137" s="567">
        <f t="shared" si="73"/>
        <v>1.67</v>
      </c>
      <c r="K137" s="533">
        <f t="shared" si="74"/>
        <v>0.8974131092322899</v>
      </c>
      <c r="L137" s="568">
        <f>Passby_Length_Adj!H132</f>
        <v>0.3846286671810874</v>
      </c>
      <c r="M137" s="568">
        <f>Passby_Length_Adj!J132</f>
        <v>0.26984126984126988</v>
      </c>
      <c r="N137" s="533">
        <v>0.5</v>
      </c>
      <c r="O137" s="569">
        <f t="shared" si="75"/>
        <v>5.1894343984749895E-2</v>
      </c>
      <c r="P137" s="570">
        <f t="shared" si="76"/>
        <v>111.85777165522278</v>
      </c>
      <c r="Q137" s="571">
        <f t="shared" si="60"/>
        <v>66.980701589953767</v>
      </c>
      <c r="R137" s="572">
        <f t="shared" si="77"/>
        <v>261.71052631578948</v>
      </c>
      <c r="S137" s="585">
        <f t="shared" si="61"/>
        <v>17529.554666107637</v>
      </c>
      <c r="T137" s="570">
        <f t="shared" si="78"/>
        <v>4.6281729601268689</v>
      </c>
      <c r="U137" s="574">
        <f t="shared" si="79"/>
        <v>405.42115030277023</v>
      </c>
      <c r="V137" s="585">
        <f t="shared" si="80"/>
        <v>1876.3592052948122</v>
      </c>
      <c r="W137" s="570">
        <f t="shared" si="81"/>
        <v>2.2223479479850083</v>
      </c>
      <c r="X137" s="574">
        <f t="shared" si="82"/>
        <v>37.9060089869281</v>
      </c>
      <c r="Y137" s="585">
        <f t="shared" si="83"/>
        <v>84.240341288400941</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W9:Y9"/>
    <mergeCell ref="I9:O9"/>
    <mergeCell ref="P9:S9"/>
    <mergeCell ref="T9:V9"/>
  </mergeCell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4A271-F846-47AA-BA15-D0B425196C20}">
  <sheetPr>
    <tabColor theme="9" tint="0.79998168889431442"/>
  </sheetPr>
  <dimension ref="A1:AJ161"/>
  <sheetViews>
    <sheetView zoomScaleNormal="100" workbookViewId="0">
      <pane xSplit="3" ySplit="11" topLeftCell="D12" activePane="bottomRight" state="frozen"/>
      <selection pane="topRight" activeCell="AA24" sqref="AA24"/>
      <selection pane="bottomLeft" activeCell="AA24" sqref="AA24"/>
      <selection pane="bottomRight" activeCell="E24" sqref="E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0.5703125" style="11" customWidth="1"/>
    <col min="10" max="10" width="10.5703125" style="69" customWidth="1"/>
    <col min="11" max="11" width="10.5703125" style="12" customWidth="1"/>
    <col min="12" max="14" width="11" style="12" customWidth="1"/>
    <col min="15" max="15" width="8.5703125" style="412" customWidth="1"/>
    <col min="16" max="16" width="8.5703125" style="12" customWidth="1"/>
    <col min="17" max="17" width="8.5703125" style="11" customWidth="1"/>
    <col min="18" max="18" width="8.5703125" style="13" customWidth="1"/>
    <col min="19" max="19" width="10.1406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10" t="str">
        <f>+HYPERLINK(ContextAreas_Map!A1,"Context Area")</f>
        <v>Context Area</v>
      </c>
      <c r="C2" s="811"/>
      <c r="E2" s="814" t="s">
        <v>57</v>
      </c>
      <c r="F2" s="815"/>
      <c r="G2" s="815"/>
      <c r="H2" s="815"/>
      <c r="I2" s="815"/>
      <c r="J2" s="816"/>
      <c r="L2" s="439" t="s">
        <v>65</v>
      </c>
      <c r="M2" s="440"/>
      <c r="O2" s="817" t="s">
        <v>58</v>
      </c>
      <c r="P2" s="818"/>
      <c r="Q2" s="818"/>
      <c r="R2" s="818"/>
      <c r="S2" s="819"/>
    </row>
    <row r="3" spans="1:36" ht="17.100000000000001" customHeight="1" thickBot="1" x14ac:dyDescent="0.3">
      <c r="A3" s="10"/>
      <c r="B3" s="812"/>
      <c r="C3" s="813"/>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07" t="s">
        <v>53</v>
      </c>
      <c r="C4" s="809">
        <v>3</v>
      </c>
      <c r="E4" s="445" t="s">
        <v>67</v>
      </c>
      <c r="F4" s="518">
        <f>'2045_24hr_all_productions'!$Q$41</f>
        <v>0.8872444414531403</v>
      </c>
      <c r="G4" s="518">
        <f>'2045_24hr_all_productions'!$S$41</f>
        <v>5.6634624520951443E-2</v>
      </c>
      <c r="H4" s="519">
        <f>'2045_24hr_all_productions'!$T$41</f>
        <v>3.5328841098406866E-2</v>
      </c>
      <c r="I4" s="518">
        <f>'2045_24hr_all_productions'!$R$41</f>
        <v>2.0792092927501345E-2</v>
      </c>
      <c r="J4" s="520">
        <f>+H4+I4</f>
        <v>5.612093402590821E-2</v>
      </c>
      <c r="K4" s="69"/>
      <c r="L4" s="444" t="s">
        <v>71</v>
      </c>
      <c r="M4" s="442">
        <f>ITECountywide!B4</f>
        <v>1.67</v>
      </c>
      <c r="O4" s="692" t="s">
        <v>120</v>
      </c>
      <c r="P4" s="680"/>
      <c r="Q4" s="693">
        <f>+RoadCapCost!P15</f>
        <v>254.27556818181819</v>
      </c>
      <c r="R4" s="693">
        <f>+TransitCapCost!AD13</f>
        <v>154.50490219883392</v>
      </c>
      <c r="S4" s="665">
        <f>+WalkBikeCapCost!$Z$7</f>
        <v>37.9060089869281</v>
      </c>
      <c r="T4" s="11"/>
    </row>
    <row r="5" spans="1:36" ht="17.100000000000001" customHeight="1" thickBot="1" x14ac:dyDescent="0.3">
      <c r="B5" s="808"/>
      <c r="C5" s="806"/>
      <c r="E5" s="445" t="s">
        <v>70</v>
      </c>
      <c r="F5" s="518">
        <f>'2045_24hr_all_attractions'!$Q$41</f>
        <v>0.8872439567052266</v>
      </c>
      <c r="G5" s="518">
        <f>'2045_24hr_all_attractions'!$S$41</f>
        <v>5.6632382400215363E-2</v>
      </c>
      <c r="H5" s="519">
        <f>'2045_24hr_all_attractions'!$T$41</f>
        <v>3.5330411648732747E-2</v>
      </c>
      <c r="I5" s="518">
        <f>'2045_24hr_all_attractions'!$R$41</f>
        <v>2.0793249245825318E-2</v>
      </c>
      <c r="J5" s="520">
        <f>+H5+I5</f>
        <v>5.6123660894558065E-2</v>
      </c>
      <c r="K5" s="69"/>
      <c r="S5" s="429"/>
      <c r="T5" s="11"/>
    </row>
    <row r="6" spans="1:36" ht="17.100000000000001" customHeight="1" x14ac:dyDescent="0.25">
      <c r="B6" s="803" t="s">
        <v>54</v>
      </c>
      <c r="C6" s="805" t="s">
        <v>124</v>
      </c>
      <c r="E6" s="445" t="s">
        <v>72</v>
      </c>
      <c r="F6" s="434">
        <f>'2045_24hr_all_productions'!$M$41</f>
        <v>8.2090280394683273</v>
      </c>
      <c r="G6" s="434">
        <f>'2045_24hr_all_productions'!$O$41</f>
        <v>5.7353428871024112</v>
      </c>
      <c r="H6" s="435">
        <f>'2045_24hr_all_productions'!$P$41</f>
        <v>0.87787443267776089</v>
      </c>
      <c r="I6" s="434">
        <f>'2045_24hr_all_productions'!$N$41</f>
        <v>4.615774741752749</v>
      </c>
      <c r="J6" s="447">
        <f>+((H4/J4)*H6)+(I4/J4*I6)</f>
        <v>2.2627189996649086</v>
      </c>
      <c r="K6" s="69"/>
      <c r="O6" s="69"/>
      <c r="P6" s="11"/>
      <c r="S6" s="429"/>
      <c r="U6" s="20"/>
      <c r="V6" s="422"/>
      <c r="W6" s="20"/>
      <c r="X6" s="20"/>
    </row>
    <row r="7" spans="1:36" ht="17.100000000000001" customHeight="1" thickBot="1" x14ac:dyDescent="0.3">
      <c r="B7" s="804"/>
      <c r="C7" s="806"/>
      <c r="E7" s="448" t="s">
        <v>73</v>
      </c>
      <c r="F7" s="449">
        <f>'2045_24hr_all_attractions'!$M$41</f>
        <v>8.2107668246974175</v>
      </c>
      <c r="G7" s="449">
        <f>'2045_24hr_all_attractions'!$O$41</f>
        <v>5.7560426424327149</v>
      </c>
      <c r="H7" s="451">
        <f>'2045_24hr_all_attractions'!$P$41</f>
        <v>0.8782247807939042</v>
      </c>
      <c r="I7" s="449">
        <f>'2045_24hr_all_attractions'!$N$41</f>
        <v>4.6073354276738545</v>
      </c>
      <c r="J7" s="450">
        <f>+((H5/J5)*H7)+(I5/J5*I7)</f>
        <v>2.259822593729059</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2" t="s">
        <v>121</v>
      </c>
      <c r="C9" s="793"/>
      <c r="D9" s="793"/>
      <c r="E9" s="793"/>
      <c r="F9" s="793"/>
      <c r="G9" s="793"/>
      <c r="H9" s="793"/>
      <c r="I9" s="797" t="s">
        <v>74</v>
      </c>
      <c r="J9" s="798"/>
      <c r="K9" s="798"/>
      <c r="L9" s="798"/>
      <c r="M9" s="798"/>
      <c r="N9" s="798"/>
      <c r="O9" s="799"/>
      <c r="P9" s="794" t="s">
        <v>75</v>
      </c>
      <c r="Q9" s="795"/>
      <c r="R9" s="795"/>
      <c r="S9" s="796"/>
      <c r="T9" s="794" t="s">
        <v>61</v>
      </c>
      <c r="U9" s="795"/>
      <c r="V9" s="796"/>
      <c r="W9" s="794" t="s">
        <v>64</v>
      </c>
      <c r="X9" s="795"/>
      <c r="Y9" s="796"/>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10394.424505198176</v>
      </c>
      <c r="I12" s="553">
        <f>ITECountywide!$B$9*E12</f>
        <v>17.853918169193626</v>
      </c>
      <c r="J12" s="554">
        <f>IF(F12="Prod",$M$3,$M$4)</f>
        <v>1.67</v>
      </c>
      <c r="K12" s="416">
        <f>IF(F12="Prod",$F$4,$F$5)</f>
        <v>0.8872439567052266</v>
      </c>
      <c r="L12" s="554">
        <f>Passby_Length_Adj!H7</f>
        <v>1</v>
      </c>
      <c r="M12" s="554">
        <f>Passby_Length_Adj!J7</f>
        <v>1</v>
      </c>
      <c r="N12" s="416">
        <v>0.5</v>
      </c>
      <c r="O12" s="546">
        <f>L12*M12*N12</f>
        <v>0.5</v>
      </c>
      <c r="P12" s="555">
        <f>IF($F12="Prod",$I12*$O12*$F$4*$F$6,$I12*O12*$F$5*$F$7)</f>
        <v>65.032479552463315</v>
      </c>
      <c r="Q12" s="556">
        <f>+P12/J12</f>
        <v>38.941604522433124</v>
      </c>
      <c r="R12" s="557">
        <f>+$Q$4</f>
        <v>254.27556818181819</v>
      </c>
      <c r="S12" s="582">
        <f>+Q12*R12</f>
        <v>9901.8986158533426</v>
      </c>
      <c r="T12" s="555">
        <f>IF($F12="Prod",$I12*$O12*$G$4*$G$6,$I12*$O12*$G$5*$G$7)</f>
        <v>2.909995911018977</v>
      </c>
      <c r="U12" s="559">
        <f>+$R$4</f>
        <v>154.50490219883392</v>
      </c>
      <c r="V12" s="582">
        <f>+T12*U12</f>
        <v>449.60863363099367</v>
      </c>
      <c r="W12" s="555">
        <f>IF($F12="Prod",$I12*$O12*$J$4*$J$6,$I12*$O12*$J$5*$J$7)</f>
        <v>1.1322019083739134</v>
      </c>
      <c r="X12" s="559">
        <f>$S$4</f>
        <v>37.9060089869281</v>
      </c>
      <c r="Y12" s="582">
        <f>+W12*X12</f>
        <v>42.917255713838706</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5234.1467559170515</v>
      </c>
      <c r="I14" s="553">
        <f>ITECountywide!$B$9*E14</f>
        <v>8.9903994029645062</v>
      </c>
      <c r="J14" s="554">
        <f t="shared" ref="J14:J20" si="1">IF(F14="Prod",$M$3,$M$4)</f>
        <v>1.67</v>
      </c>
      <c r="K14" s="416">
        <f t="shared" ref="K14:K20" si="2">IF(F14="Prod",$F$4,$F$5)</f>
        <v>0.8872439567052266</v>
      </c>
      <c r="L14" s="554">
        <f>Passby_Length_Adj!H9</f>
        <v>1</v>
      </c>
      <c r="M14" s="554">
        <f>Passby_Length_Adj!J9</f>
        <v>1</v>
      </c>
      <c r="N14" s="416">
        <v>0.5</v>
      </c>
      <c r="O14" s="546">
        <f t="shared" ref="O14:O20" si="3">L14*M14*N14</f>
        <v>0.5</v>
      </c>
      <c r="P14" s="555">
        <f t="shared" ref="P14:P20" si="4">IF($F14="Prod",$I14*$O14*$F$4*$F$6,$I14*O14*$F$5*$F$7)</f>
        <v>32.747319652814014</v>
      </c>
      <c r="Q14" s="556">
        <f t="shared" ref="Q14:Q20" si="5">+P14/J14</f>
        <v>19.609173444798813</v>
      </c>
      <c r="R14" s="561">
        <f t="shared" ref="R14:R20" si="6">+$Q$4</f>
        <v>254.27556818181819</v>
      </c>
      <c r="S14" s="582">
        <f t="shared" ref="S14:S20" si="7">+Q14*R14</f>
        <v>4986.1337192520396</v>
      </c>
      <c r="T14" s="555">
        <f t="shared" ref="T14:T20" si="8">IF($F14="Prod",$I14*$O14*$G$4*$G$6,$I14*$O14*$G$5*$G$7)</f>
        <v>1.465338042502957</v>
      </c>
      <c r="U14" s="559">
        <f t="shared" ref="U14:U20" si="9">+$R$4</f>
        <v>154.50490219883392</v>
      </c>
      <c r="V14" s="582">
        <f t="shared" ref="V14:V20" si="10">+T14*U14</f>
        <v>226.40191094515009</v>
      </c>
      <c r="W14" s="555">
        <f t="shared" ref="W14:W20" si="11">IF($F14="Prod",$I14*$O14*$J$4*$J$6,$I14*$O14*$J$5*$J$7)</f>
        <v>0.57012400665326002</v>
      </c>
      <c r="X14" s="559">
        <f t="shared" ref="X14:X20" si="12">$S$4</f>
        <v>37.9060089869281</v>
      </c>
      <c r="Y14" s="582">
        <f t="shared" ref="Y14:Y20" si="13">+W14*X14</f>
        <v>21.611125719861931</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3556.2650337581572</v>
      </c>
      <c r="I15" s="553">
        <f>ITECountywide!$B$9*E15</f>
        <v>6.1083963685464484</v>
      </c>
      <c r="J15" s="554">
        <f t="shared" si="1"/>
        <v>1.67</v>
      </c>
      <c r="K15" s="416">
        <f t="shared" si="2"/>
        <v>0.8872439567052266</v>
      </c>
      <c r="L15" s="554">
        <f>Passby_Length_Adj!H10</f>
        <v>1</v>
      </c>
      <c r="M15" s="554">
        <f>Passby_Length_Adj!J10</f>
        <v>1</v>
      </c>
      <c r="N15" s="416">
        <v>0.5</v>
      </c>
      <c r="O15" s="546">
        <f t="shared" si="3"/>
        <v>0.5</v>
      </c>
      <c r="P15" s="555">
        <f t="shared" si="4"/>
        <v>22.24969097378694</v>
      </c>
      <c r="Q15" s="556">
        <f t="shared" si="5"/>
        <v>13.323168247776611</v>
      </c>
      <c r="R15" s="561">
        <f t="shared" si="6"/>
        <v>254.27556818181819</v>
      </c>
      <c r="S15" s="582">
        <f t="shared" si="7"/>
        <v>3387.7561761853567</v>
      </c>
      <c r="T15" s="555">
        <f t="shared" si="8"/>
        <v>0.99560266194253333</v>
      </c>
      <c r="U15" s="559">
        <f t="shared" si="9"/>
        <v>154.50490219883392</v>
      </c>
      <c r="V15" s="582">
        <f t="shared" si="10"/>
        <v>153.82549191232982</v>
      </c>
      <c r="W15" s="555">
        <f t="shared" si="11"/>
        <v>0.38736248032691245</v>
      </c>
      <c r="X15" s="559">
        <f t="shared" si="12"/>
        <v>37.9060089869281</v>
      </c>
      <c r="Y15" s="582">
        <f t="shared" si="13"/>
        <v>14.683365660470702</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4147.217086845566</v>
      </c>
      <c r="I16" s="553">
        <f>ITECountywide!$B$9*E16</f>
        <v>7.1234414624295379</v>
      </c>
      <c r="J16" s="554">
        <f t="shared" si="1"/>
        <v>1.67</v>
      </c>
      <c r="K16" s="416">
        <f t="shared" si="2"/>
        <v>0.8872439567052266</v>
      </c>
      <c r="L16" s="554">
        <f>Passby_Length_Adj!H11</f>
        <v>1</v>
      </c>
      <c r="M16" s="554">
        <f>Passby_Length_Adj!J11</f>
        <v>1</v>
      </c>
      <c r="N16" s="416">
        <v>0.5</v>
      </c>
      <c r="O16" s="546">
        <f t="shared" si="3"/>
        <v>0.5</v>
      </c>
      <c r="P16" s="555">
        <f t="shared" si="4"/>
        <v>25.946968999104651</v>
      </c>
      <c r="Q16" s="556">
        <f t="shared" si="5"/>
        <v>15.537107185092607</v>
      </c>
      <c r="R16" s="561">
        <f t="shared" si="6"/>
        <v>254.27556818181819</v>
      </c>
      <c r="S16" s="582">
        <f t="shared" si="7"/>
        <v>3950.7067573912323</v>
      </c>
      <c r="T16" s="555">
        <f t="shared" si="8"/>
        <v>1.1610440538380284</v>
      </c>
      <c r="U16" s="559">
        <f t="shared" si="9"/>
        <v>154.50490219883392</v>
      </c>
      <c r="V16" s="582">
        <f t="shared" si="10"/>
        <v>179.38699798678223</v>
      </c>
      <c r="W16" s="555">
        <f t="shared" si="11"/>
        <v>0.45173131978776443</v>
      </c>
      <c r="X16" s="559">
        <f t="shared" si="12"/>
        <v>37.9060089869281</v>
      </c>
      <c r="Y16" s="582">
        <f t="shared" si="13"/>
        <v>17.123331467551889</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1836.1724506644491</v>
      </c>
      <c r="I17" s="553">
        <f>ITECountywide!$B$9*E17</f>
        <v>3.1538901131367418</v>
      </c>
      <c r="J17" s="554">
        <f t="shared" si="1"/>
        <v>1.67</v>
      </c>
      <c r="K17" s="416">
        <f t="shared" si="2"/>
        <v>0.8872439567052266</v>
      </c>
      <c r="L17" s="554">
        <f>Passby_Length_Adj!H12</f>
        <v>1</v>
      </c>
      <c r="M17" s="554">
        <f>Passby_Length_Adj!J12</f>
        <v>1</v>
      </c>
      <c r="N17" s="416">
        <v>0.5</v>
      </c>
      <c r="O17" s="546">
        <f t="shared" si="3"/>
        <v>0.5</v>
      </c>
      <c r="P17" s="555">
        <f t="shared" si="4"/>
        <v>11.487971007237173</v>
      </c>
      <c r="Q17" s="556">
        <f t="shared" si="5"/>
        <v>6.8790245552318403</v>
      </c>
      <c r="R17" s="561">
        <f t="shared" si="6"/>
        <v>254.27556818181819</v>
      </c>
      <c r="S17" s="582">
        <f t="shared" si="7"/>
        <v>1749.1678773182553</v>
      </c>
      <c r="T17" s="555">
        <f t="shared" si="8"/>
        <v>0.51405003910385993</v>
      </c>
      <c r="U17" s="559">
        <f t="shared" si="9"/>
        <v>154.50490219883392</v>
      </c>
      <c r="V17" s="582">
        <f t="shared" si="10"/>
        <v>79.423251017048628</v>
      </c>
      <c r="W17" s="555">
        <f t="shared" si="11"/>
        <v>0.20000317975336135</v>
      </c>
      <c r="X17" s="559">
        <f t="shared" si="12"/>
        <v>37.9060089869281</v>
      </c>
      <c r="Y17" s="582">
        <f t="shared" si="13"/>
        <v>7.5813223291451113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1593.4600002892635</v>
      </c>
      <c r="I18" s="553">
        <f>ITECountywide!$B$9*E18</f>
        <v>2.736996592434759</v>
      </c>
      <c r="J18" s="562">
        <f t="shared" si="1"/>
        <v>1.67</v>
      </c>
      <c r="K18" s="416">
        <f t="shared" si="2"/>
        <v>0.8872439567052266</v>
      </c>
      <c r="L18" s="554">
        <f>Passby_Length_Adj!H13</f>
        <v>1</v>
      </c>
      <c r="M18" s="554">
        <f>Passby_Length_Adj!J13</f>
        <v>1</v>
      </c>
      <c r="N18" s="416">
        <v>0.5</v>
      </c>
      <c r="O18" s="546">
        <f t="shared" si="3"/>
        <v>0.5</v>
      </c>
      <c r="P18" s="555">
        <f t="shared" si="4"/>
        <v>9.9694461039816851</v>
      </c>
      <c r="Q18" s="556">
        <f t="shared" si="5"/>
        <v>5.9697282059770576</v>
      </c>
      <c r="R18" s="561">
        <f t="shared" si="6"/>
        <v>254.27556818181819</v>
      </c>
      <c r="S18" s="582">
        <f t="shared" si="7"/>
        <v>1517.9560314658424</v>
      </c>
      <c r="T18" s="555">
        <f t="shared" si="8"/>
        <v>0.44610089600392444</v>
      </c>
      <c r="U18" s="559">
        <f t="shared" si="9"/>
        <v>154.50490219883392</v>
      </c>
      <c r="V18" s="582">
        <f t="shared" si="10"/>
        <v>68.924775307898528</v>
      </c>
      <c r="W18" s="555">
        <f t="shared" si="11"/>
        <v>0.17356597783194</v>
      </c>
      <c r="X18" s="559">
        <f t="shared" si="12"/>
        <v>37.9060089869281</v>
      </c>
      <c r="Y18" s="582">
        <f t="shared" si="13"/>
        <v>6.5791935155224808</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1044.7188081366694</v>
      </c>
      <c r="I19" s="553">
        <f>ITECountywide!$B$9*E19</f>
        <v>1.7944547195433187</v>
      </c>
      <c r="J19" s="554">
        <f t="shared" si="1"/>
        <v>1.67</v>
      </c>
      <c r="K19" s="416">
        <f t="shared" si="2"/>
        <v>0.8872439567052266</v>
      </c>
      <c r="L19" s="554">
        <f>Passby_Length_Adj!H14</f>
        <v>1</v>
      </c>
      <c r="M19" s="554">
        <f>Passby_Length_Adj!J14</f>
        <v>1</v>
      </c>
      <c r="N19" s="416">
        <v>0.5</v>
      </c>
      <c r="O19" s="546">
        <f t="shared" si="3"/>
        <v>0.5</v>
      </c>
      <c r="P19" s="555">
        <f t="shared" si="4"/>
        <v>6.5362593661866679</v>
      </c>
      <c r="Q19" s="556">
        <f t="shared" si="5"/>
        <v>3.9139277641836339</v>
      </c>
      <c r="R19" s="561">
        <f t="shared" si="6"/>
        <v>254.27556818181819</v>
      </c>
      <c r="S19" s="582">
        <f t="shared" si="7"/>
        <v>995.21620606038675</v>
      </c>
      <c r="T19" s="555">
        <f t="shared" si="8"/>
        <v>0.29247674638667892</v>
      </c>
      <c r="U19" s="559">
        <f t="shared" si="9"/>
        <v>154.50490219883392</v>
      </c>
      <c r="V19" s="582">
        <f t="shared" si="10"/>
        <v>45.189091095906981</v>
      </c>
      <c r="W19" s="555">
        <f t="shared" si="11"/>
        <v>0.11379491261829179</v>
      </c>
      <c r="X19" s="559">
        <f t="shared" si="12"/>
        <v>37.9060089869281</v>
      </c>
      <c r="Y19" s="582">
        <f t="shared" si="13"/>
        <v>4.3135109803756668</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13971.794969423741</v>
      </c>
      <c r="I20" s="553">
        <f>ITECountywide!$B$9*E20</f>
        <v>23.998566148235899</v>
      </c>
      <c r="J20" s="554">
        <f t="shared" si="1"/>
        <v>1.67</v>
      </c>
      <c r="K20" s="416">
        <f t="shared" si="2"/>
        <v>0.8872439567052266</v>
      </c>
      <c r="L20" s="554">
        <f>Passby_Length_Adj!H15</f>
        <v>1</v>
      </c>
      <c r="M20" s="554">
        <f>Passby_Length_Adj!J15</f>
        <v>1</v>
      </c>
      <c r="N20" s="416">
        <v>0.5</v>
      </c>
      <c r="O20" s="546">
        <f t="shared" si="3"/>
        <v>0.5</v>
      </c>
      <c r="P20" s="555">
        <f t="shared" si="4"/>
        <v>87.414216170011599</v>
      </c>
      <c r="Q20" s="556">
        <f t="shared" si="5"/>
        <v>52.343842017971021</v>
      </c>
      <c r="R20" s="561">
        <f t="shared" si="6"/>
        <v>254.27556818181819</v>
      </c>
      <c r="S20" s="582">
        <f t="shared" si="7"/>
        <v>13309.760169938911</v>
      </c>
      <c r="T20" s="555">
        <f t="shared" si="8"/>
        <v>3.911507194100635</v>
      </c>
      <c r="U20" s="559">
        <f t="shared" si="9"/>
        <v>154.50490219883392</v>
      </c>
      <c r="V20" s="582">
        <f t="shared" si="10"/>
        <v>604.34703647455387</v>
      </c>
      <c r="W20" s="555">
        <f t="shared" si="11"/>
        <v>1.5218632758244277</v>
      </c>
      <c r="X20" s="559">
        <f t="shared" si="12"/>
        <v>37.9060089869281</v>
      </c>
      <c r="Y20" s="582">
        <f t="shared" si="13"/>
        <v>57.687763010276598</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9958.2768754851477</v>
      </c>
      <c r="I22" s="553">
        <f>ITECountywide!$B$9*E22</f>
        <v>17.110760154029219</v>
      </c>
      <c r="J22" s="554">
        <f t="shared" ref="J22:J35" si="14">IF(F22="Prod",$M$3,$M$4)</f>
        <v>1.67</v>
      </c>
      <c r="K22" s="416">
        <f t="shared" ref="K22:K35" si="15">IF(F22="Prod",$F$4,$F$5)</f>
        <v>0.8872444414531403</v>
      </c>
      <c r="L22" s="554">
        <f>Passby_Length_Adj!H17</f>
        <v>1</v>
      </c>
      <c r="M22" s="554">
        <f>Passby_Length_Adj!J17</f>
        <v>1</v>
      </c>
      <c r="N22" s="416">
        <v>0.5</v>
      </c>
      <c r="O22" s="546">
        <f t="shared" ref="O22:O35" si="16">L22*M22*N22</f>
        <v>0.5</v>
      </c>
      <c r="P22" s="555">
        <f t="shared" ref="P22:P35" si="17">IF($F22="Prod",$I22*$O22*$F$4*$F$6,$I22*O22*$F$5*$F$7)</f>
        <v>62.312379286700356</v>
      </c>
      <c r="Q22" s="556">
        <f t="shared" ref="Q22:Q35" si="18">+P22/J22</f>
        <v>37.312801968084045</v>
      </c>
      <c r="R22" s="561">
        <f t="shared" ref="R22:R35" si="19">+$Q$4</f>
        <v>254.27556818181819</v>
      </c>
      <c r="S22" s="582">
        <f t="shared" ref="S22:S35" si="20">+Q22*R22</f>
        <v>9487.733920890234</v>
      </c>
      <c r="T22" s="555">
        <f t="shared" ref="T22:T35" si="21">IF($F22="Prod",$I22*$O22*$G$4*$G$6,$I22*$O22*$G$5*$G$7)</f>
        <v>2.7789499234670156</v>
      </c>
      <c r="U22" s="559">
        <f t="shared" ref="U22:U35" si="22">+$R$4</f>
        <v>154.50490219883392</v>
      </c>
      <c r="V22" s="582">
        <f t="shared" ref="V22:V35" si="23">+T22*U22</f>
        <v>429.36138614072826</v>
      </c>
      <c r="W22" s="555">
        <f t="shared" ref="W22:W35" si="24">IF($F22="Prod",$I22*$O22*$J$4*$J$6,$I22*$O22*$J$5*$J$7)</f>
        <v>1.0864126705712289</v>
      </c>
      <c r="X22" s="559">
        <f t="shared" ref="X22:X35" si="25">$S$4</f>
        <v>37.9060089869281</v>
      </c>
      <c r="Y22" s="582">
        <f t="shared" ref="Y22:Y35" si="26">+W22*X22</f>
        <v>41.181568454185559</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7721.8841873465353</v>
      </c>
      <c r="I23" s="553">
        <f>ITECountywide!$B$9*E23</f>
        <v>13.268089441471812</v>
      </c>
      <c r="J23" s="554">
        <f t="shared" si="14"/>
        <v>1.67</v>
      </c>
      <c r="K23" s="416">
        <f t="shared" si="15"/>
        <v>0.8872444414531403</v>
      </c>
      <c r="L23" s="554">
        <f>Passby_Length_Adj!H18</f>
        <v>1</v>
      </c>
      <c r="M23" s="554">
        <f>Passby_Length_Adj!J18</f>
        <v>1</v>
      </c>
      <c r="N23" s="416">
        <v>0.5</v>
      </c>
      <c r="O23" s="546">
        <f t="shared" si="16"/>
        <v>0.5</v>
      </c>
      <c r="P23" s="555">
        <f t="shared" si="17"/>
        <v>48.318497497737994</v>
      </c>
      <c r="Q23" s="556">
        <f t="shared" si="18"/>
        <v>28.933232034573649</v>
      </c>
      <c r="R23" s="557">
        <f t="shared" si="19"/>
        <v>254.27556818181819</v>
      </c>
      <c r="S23" s="582">
        <f t="shared" si="20"/>
        <v>7357.0140149275985</v>
      </c>
      <c r="T23" s="555">
        <f t="shared" si="21"/>
        <v>2.154863711840949</v>
      </c>
      <c r="U23" s="559">
        <f t="shared" si="22"/>
        <v>154.50490219883392</v>
      </c>
      <c r="V23" s="582">
        <f t="shared" si="23"/>
        <v>332.93700704980205</v>
      </c>
      <c r="W23" s="555">
        <f t="shared" si="24"/>
        <v>0.84243016404463955</v>
      </c>
      <c r="X23" s="559">
        <f t="shared" si="25"/>
        <v>37.9060089869281</v>
      </c>
      <c r="Y23" s="582">
        <f t="shared" si="26"/>
        <v>31.93316536913542</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5738.6680299405944</v>
      </c>
      <c r="I24" s="553">
        <f>ITECountywide!$B$9*E24</f>
        <v>9.8604380548642965</v>
      </c>
      <c r="J24" s="554">
        <f t="shared" si="14"/>
        <v>1.67</v>
      </c>
      <c r="K24" s="416">
        <f t="shared" si="15"/>
        <v>0.8872444414531403</v>
      </c>
      <c r="L24" s="554">
        <f>Passby_Length_Adj!H19</f>
        <v>1</v>
      </c>
      <c r="M24" s="554">
        <f>Passby_Length_Adj!J19</f>
        <v>1</v>
      </c>
      <c r="N24" s="416">
        <v>0.5</v>
      </c>
      <c r="O24" s="546">
        <f t="shared" si="16"/>
        <v>0.5</v>
      </c>
      <c r="P24" s="555">
        <f t="shared" si="17"/>
        <v>35.908828741488342</v>
      </c>
      <c r="Q24" s="556">
        <f t="shared" si="18"/>
        <v>21.502292659573857</v>
      </c>
      <c r="R24" s="561">
        <f t="shared" si="19"/>
        <v>254.27556818181819</v>
      </c>
      <c r="S24" s="582">
        <f t="shared" si="20"/>
        <v>5467.5076832248815</v>
      </c>
      <c r="T24" s="555">
        <f t="shared" si="21"/>
        <v>1.6014287694555684</v>
      </c>
      <c r="U24" s="559">
        <f t="shared" si="22"/>
        <v>154.50490219883392</v>
      </c>
      <c r="V24" s="582">
        <f t="shared" si="23"/>
        <v>247.42859540313154</v>
      </c>
      <c r="W24" s="555">
        <f t="shared" si="24"/>
        <v>0.6260683186342676</v>
      </c>
      <c r="X24" s="559">
        <f t="shared" si="25"/>
        <v>37.9060089869281</v>
      </c>
      <c r="Y24" s="582">
        <f t="shared" si="26"/>
        <v>23.731751312581512</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4694.3148406683185</v>
      </c>
      <c r="I25" s="553">
        <f>ITECountywide!$B$9*E25</f>
        <v>8.0659833353209791</v>
      </c>
      <c r="J25" s="554">
        <f t="shared" si="14"/>
        <v>1.67</v>
      </c>
      <c r="K25" s="416">
        <f t="shared" si="15"/>
        <v>0.8872444414531403</v>
      </c>
      <c r="L25" s="554">
        <f>Passby_Length_Adj!H20</f>
        <v>1</v>
      </c>
      <c r="M25" s="554">
        <f>Passby_Length_Adj!J20</f>
        <v>1</v>
      </c>
      <c r="N25" s="416">
        <v>0.5</v>
      </c>
      <c r="O25" s="546">
        <f t="shared" si="16"/>
        <v>0.5</v>
      </c>
      <c r="P25" s="555">
        <f t="shared" si="17"/>
        <v>29.373949981548375</v>
      </c>
      <c r="Q25" s="556">
        <f t="shared" si="18"/>
        <v>17.589191605717591</v>
      </c>
      <c r="R25" s="561">
        <f t="shared" si="19"/>
        <v>254.27556818181819</v>
      </c>
      <c r="S25" s="582">
        <f t="shared" si="20"/>
        <v>4472.5016894027076</v>
      </c>
      <c r="T25" s="555">
        <f t="shared" si="21"/>
        <v>1.3099922838377356</v>
      </c>
      <c r="U25" s="559">
        <f t="shared" si="22"/>
        <v>154.50490219883392</v>
      </c>
      <c r="V25" s="582">
        <f t="shared" si="23"/>
        <v>202.40022969557643</v>
      </c>
      <c r="W25" s="555">
        <f t="shared" si="24"/>
        <v>0.51213309152986974</v>
      </c>
      <c r="X25" s="559">
        <f t="shared" si="25"/>
        <v>37.9060089869281</v>
      </c>
      <c r="Y25" s="582">
        <f t="shared" si="26"/>
        <v>19.412921570034513</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6181.7269587227729</v>
      </c>
      <c r="I26" s="553">
        <f>ITECountywide!$B$9*E26</f>
        <v>10.621721875276615</v>
      </c>
      <c r="J26" s="554">
        <f t="shared" si="14"/>
        <v>1.67</v>
      </c>
      <c r="K26" s="416">
        <f t="shared" si="15"/>
        <v>0.8872444414531403</v>
      </c>
      <c r="L26" s="554">
        <f>Passby_Length_Adj!H22</f>
        <v>1</v>
      </c>
      <c r="M26" s="554">
        <f>Passby_Length_Adj!J22</f>
        <v>1</v>
      </c>
      <c r="N26" s="416">
        <v>0.5</v>
      </c>
      <c r="O26" s="546">
        <f t="shared" si="16"/>
        <v>0.5</v>
      </c>
      <c r="P26" s="555">
        <f t="shared" si="17"/>
        <v>38.681201548735608</v>
      </c>
      <c r="Q26" s="556">
        <f t="shared" si="18"/>
        <v>23.16239613696743</v>
      </c>
      <c r="R26" s="561">
        <f t="shared" si="19"/>
        <v>254.27556818181819</v>
      </c>
      <c r="S26" s="582">
        <f t="shared" si="20"/>
        <v>5889.6314381797438</v>
      </c>
      <c r="T26" s="555">
        <f t="shared" si="21"/>
        <v>1.7250684906267708</v>
      </c>
      <c r="U26" s="559">
        <f t="shared" si="22"/>
        <v>154.50490219883392</v>
      </c>
      <c r="V26" s="582">
        <f t="shared" si="23"/>
        <v>266.53153843057925</v>
      </c>
      <c r="W26" s="555">
        <f t="shared" si="24"/>
        <v>0.67440447558764871</v>
      </c>
      <c r="X26" s="559">
        <f t="shared" si="25"/>
        <v>37.9060089869281</v>
      </c>
      <c r="Y26" s="582">
        <f t="shared" si="26"/>
        <v>25.563982112449946</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3628.8636071683177</v>
      </c>
      <c r="I27" s="553">
        <f>ITECountywide!$B$9*E27</f>
        <v>6.2352770052818345</v>
      </c>
      <c r="J27" s="554">
        <f t="shared" si="14"/>
        <v>1.67</v>
      </c>
      <c r="K27" s="416">
        <f t="shared" si="15"/>
        <v>0.8872444414531403</v>
      </c>
      <c r="L27" s="554">
        <f>Passby_Length_Adj!H22</f>
        <v>1</v>
      </c>
      <c r="M27" s="554">
        <f>Passby_Length_Adj!J22</f>
        <v>1</v>
      </c>
      <c r="N27" s="416">
        <v>0.5</v>
      </c>
      <c r="O27" s="546">
        <f t="shared" si="16"/>
        <v>0.5</v>
      </c>
      <c r="P27" s="555">
        <f t="shared" si="17"/>
        <v>22.707053468882336</v>
      </c>
      <c r="Q27" s="556">
        <f t="shared" si="18"/>
        <v>13.597038005318765</v>
      </c>
      <c r="R27" s="561">
        <f t="shared" si="19"/>
        <v>254.27556818181819</v>
      </c>
      <c r="S27" s="582">
        <f t="shared" si="20"/>
        <v>3457.3945643922048</v>
      </c>
      <c r="T27" s="555">
        <f t="shared" si="21"/>
        <v>1.0126681924498449</v>
      </c>
      <c r="U27" s="559">
        <f t="shared" si="22"/>
        <v>154.50490219883392</v>
      </c>
      <c r="V27" s="582">
        <f t="shared" si="23"/>
        <v>156.46220003433319</v>
      </c>
      <c r="W27" s="555">
        <f t="shared" si="24"/>
        <v>0.39589614266578688</v>
      </c>
      <c r="X27" s="559">
        <f t="shared" si="25"/>
        <v>37.9060089869281</v>
      </c>
      <c r="Y27" s="582">
        <f t="shared" si="26"/>
        <v>15.006842741779487</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5274.5110569306944</v>
      </c>
      <c r="I28" s="553">
        <f>ITECountywide!$B$9*E28</f>
        <v>9.0629026239561554</v>
      </c>
      <c r="J28" s="554">
        <f t="shared" si="14"/>
        <v>1.67</v>
      </c>
      <c r="K28" s="416">
        <f t="shared" si="15"/>
        <v>0.8872444414531403</v>
      </c>
      <c r="L28" s="554">
        <f>Passby_Length_Adj!H23</f>
        <v>1</v>
      </c>
      <c r="M28" s="554">
        <f>Passby_Length_Adj!J23</f>
        <v>1</v>
      </c>
      <c r="N28" s="416">
        <v>0.5</v>
      </c>
      <c r="O28" s="546">
        <f t="shared" si="16"/>
        <v>0.5</v>
      </c>
      <c r="P28" s="555">
        <f t="shared" si="17"/>
        <v>33.004438181515027</v>
      </c>
      <c r="Q28" s="556">
        <f t="shared" si="18"/>
        <v>19.763136635637743</v>
      </c>
      <c r="R28" s="561">
        <f t="shared" si="19"/>
        <v>254.27556818181819</v>
      </c>
      <c r="S28" s="582">
        <f t="shared" si="20"/>
        <v>5025.2827970816934</v>
      </c>
      <c r="T28" s="555">
        <f t="shared" si="21"/>
        <v>1.4719014425143095</v>
      </c>
      <c r="U28" s="559">
        <f t="shared" si="22"/>
        <v>154.50490219883392</v>
      </c>
      <c r="V28" s="582">
        <f t="shared" si="23"/>
        <v>227.41598842199596</v>
      </c>
      <c r="W28" s="555">
        <f t="shared" si="24"/>
        <v>0.57543043992120191</v>
      </c>
      <c r="X28" s="559">
        <f t="shared" si="25"/>
        <v>37.9060089869281</v>
      </c>
      <c r="Y28" s="582">
        <f t="shared" si="26"/>
        <v>21.812271427005069</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4504.4324426188114</v>
      </c>
      <c r="I29" s="553">
        <f>ITECountywide!$B$9*E29</f>
        <v>7.739718840858556</v>
      </c>
      <c r="J29" s="554">
        <f t="shared" si="14"/>
        <v>1.67</v>
      </c>
      <c r="K29" s="416">
        <f t="shared" si="15"/>
        <v>0.8872444414531403</v>
      </c>
      <c r="L29" s="554">
        <f>Passby_Length_Adj!H24</f>
        <v>1</v>
      </c>
      <c r="M29" s="554">
        <f>Passby_Length_Adj!J24</f>
        <v>1</v>
      </c>
      <c r="N29" s="416">
        <v>0.5</v>
      </c>
      <c r="O29" s="546">
        <f t="shared" si="16"/>
        <v>0.5</v>
      </c>
      <c r="P29" s="555">
        <f t="shared" si="17"/>
        <v>28.185790207013827</v>
      </c>
      <c r="Q29" s="556">
        <f t="shared" si="18"/>
        <v>16.877718686834626</v>
      </c>
      <c r="R29" s="561">
        <f t="shared" si="19"/>
        <v>254.27556818181819</v>
      </c>
      <c r="S29" s="582">
        <f t="shared" si="20"/>
        <v>4291.5915087077647</v>
      </c>
      <c r="T29" s="555">
        <f t="shared" si="21"/>
        <v>1.2570038319072201</v>
      </c>
      <c r="U29" s="559">
        <f t="shared" si="22"/>
        <v>154.50490219883392</v>
      </c>
      <c r="V29" s="582">
        <f t="shared" si="23"/>
        <v>194.2132541123845</v>
      </c>
      <c r="W29" s="555">
        <f t="shared" si="24"/>
        <v>0.49141759569270643</v>
      </c>
      <c r="X29" s="559">
        <f t="shared" si="25"/>
        <v>37.9060089869281</v>
      </c>
      <c r="Y29" s="582">
        <f t="shared" si="26"/>
        <v>18.627679798662328</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3903.1381821287137</v>
      </c>
      <c r="I30" s="553">
        <f>ITECountywide!$B$9*E30</f>
        <v>6.7065479417275551</v>
      </c>
      <c r="J30" s="554">
        <f t="shared" si="14"/>
        <v>1.67</v>
      </c>
      <c r="K30" s="416">
        <f t="shared" si="15"/>
        <v>0.8872444414531403</v>
      </c>
      <c r="L30" s="554">
        <f>Passby_Length_Adj!H25</f>
        <v>1</v>
      </c>
      <c r="M30" s="554">
        <f>Passby_Length_Adj!J25</f>
        <v>1</v>
      </c>
      <c r="N30" s="416">
        <v>0.5</v>
      </c>
      <c r="O30" s="546">
        <f t="shared" si="16"/>
        <v>0.5</v>
      </c>
      <c r="P30" s="555">
        <f t="shared" si="17"/>
        <v>24.423284254321118</v>
      </c>
      <c r="Q30" s="556">
        <f t="shared" si="18"/>
        <v>14.624721110371928</v>
      </c>
      <c r="R30" s="561">
        <f t="shared" si="19"/>
        <v>254.27556818181819</v>
      </c>
      <c r="S30" s="582">
        <f t="shared" si="20"/>
        <v>3718.7092698404531</v>
      </c>
      <c r="T30" s="555">
        <f t="shared" si="21"/>
        <v>1.0892070674605889</v>
      </c>
      <c r="U30" s="559">
        <f t="shared" si="22"/>
        <v>154.50490219883392</v>
      </c>
      <c r="V30" s="582">
        <f t="shared" si="23"/>
        <v>168.28783143227699</v>
      </c>
      <c r="W30" s="555">
        <f t="shared" si="24"/>
        <v>0.42581852554168947</v>
      </c>
      <c r="X30" s="559">
        <f t="shared" si="25"/>
        <v>37.9060089869281</v>
      </c>
      <c r="Y30" s="582">
        <f t="shared" si="26"/>
        <v>16.141080855983756</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2130.9024670000003</v>
      </c>
      <c r="I31" s="553">
        <f>ITECountywide!$B$9*E31</f>
        <v>3.6614126600782866</v>
      </c>
      <c r="J31" s="554">
        <f t="shared" si="14"/>
        <v>1.67</v>
      </c>
      <c r="K31" s="416">
        <f t="shared" si="15"/>
        <v>0.8872444414531403</v>
      </c>
      <c r="L31" s="554">
        <f>Passby_Length_Adj!H26</f>
        <v>1</v>
      </c>
      <c r="M31" s="554">
        <f>Passby_Length_Adj!J26</f>
        <v>1</v>
      </c>
      <c r="N31" s="416">
        <v>0.5</v>
      </c>
      <c r="O31" s="546">
        <f t="shared" si="16"/>
        <v>0.5</v>
      </c>
      <c r="P31" s="555">
        <f t="shared" si="17"/>
        <v>13.333793025332069</v>
      </c>
      <c r="Q31" s="556">
        <f t="shared" si="18"/>
        <v>7.9843072007976463</v>
      </c>
      <c r="R31" s="557">
        <f t="shared" si="19"/>
        <v>254.27556818181819</v>
      </c>
      <c r="S31" s="582">
        <f t="shared" si="20"/>
        <v>2030.2142500210039</v>
      </c>
      <c r="T31" s="555">
        <f t="shared" si="21"/>
        <v>0.59464818277578102</v>
      </c>
      <c r="U31" s="559">
        <f t="shared" si="22"/>
        <v>154.50490219883392</v>
      </c>
      <c r="V31" s="582">
        <f t="shared" si="23"/>
        <v>91.876059322486356</v>
      </c>
      <c r="W31" s="555">
        <f t="shared" si="24"/>
        <v>0.23247389772816557</v>
      </c>
      <c r="X31" s="559">
        <f t="shared" si="25"/>
        <v>37.9060089869281</v>
      </c>
      <c r="Y31" s="582">
        <f t="shared" si="26"/>
        <v>8.8121576565100472</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2742.7457496039606</v>
      </c>
      <c r="I32" s="553">
        <f>ITECountywide!$B$9*E32</f>
        <v>4.7127093644572007</v>
      </c>
      <c r="J32" s="562">
        <f t="shared" si="14"/>
        <v>1.67</v>
      </c>
      <c r="K32" s="416">
        <f t="shared" si="15"/>
        <v>0.8872444414531403</v>
      </c>
      <c r="L32" s="554">
        <f>Passby_Length_Adj!H27</f>
        <v>1</v>
      </c>
      <c r="M32" s="554">
        <f>Passby_Length_Adj!J27</f>
        <v>1</v>
      </c>
      <c r="N32" s="416">
        <v>0.5</v>
      </c>
      <c r="O32" s="546">
        <f t="shared" si="16"/>
        <v>0.5</v>
      </c>
      <c r="P32" s="555">
        <f t="shared" si="17"/>
        <v>17.162307854387812</v>
      </c>
      <c r="Q32" s="556">
        <f t="shared" si="18"/>
        <v>10.276831050531625</v>
      </c>
      <c r="R32" s="557">
        <f t="shared" si="19"/>
        <v>254.27556818181819</v>
      </c>
      <c r="S32" s="582">
        <f t="shared" si="20"/>
        <v>2613.1470544824801</v>
      </c>
      <c r="T32" s="555">
        <f t="shared" si="21"/>
        <v>0.7653887501074409</v>
      </c>
      <c r="U32" s="563">
        <f t="shared" si="22"/>
        <v>154.50490219883392</v>
      </c>
      <c r="V32" s="583">
        <f t="shared" si="23"/>
        <v>118.25631397943789</v>
      </c>
      <c r="W32" s="555">
        <f t="shared" si="24"/>
        <v>0.29922382875902503</v>
      </c>
      <c r="X32" s="563">
        <f t="shared" si="25"/>
        <v>37.9060089869281</v>
      </c>
      <c r="Y32" s="583">
        <f t="shared" si="26"/>
        <v>11.342381142042639</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2531.7653073267325</v>
      </c>
      <c r="I33" s="553">
        <f>ITECountywide!$B$9*E33</f>
        <v>4.3501932594989539</v>
      </c>
      <c r="J33" s="562">
        <f t="shared" si="14"/>
        <v>1.67</v>
      </c>
      <c r="K33" s="416">
        <f t="shared" si="15"/>
        <v>0.8872444414531403</v>
      </c>
      <c r="L33" s="554">
        <f>Passby_Length_Adj!H28</f>
        <v>1</v>
      </c>
      <c r="M33" s="554">
        <f>Passby_Length_Adj!J28</f>
        <v>1</v>
      </c>
      <c r="N33" s="416">
        <v>0.5</v>
      </c>
      <c r="O33" s="546">
        <f t="shared" si="16"/>
        <v>0.5</v>
      </c>
      <c r="P33" s="555">
        <f t="shared" si="17"/>
        <v>15.84213032712721</v>
      </c>
      <c r="Q33" s="556">
        <f t="shared" si="18"/>
        <v>9.4863055851061144</v>
      </c>
      <c r="R33" s="557">
        <f t="shared" si="19"/>
        <v>254.27556818181819</v>
      </c>
      <c r="S33" s="582">
        <f t="shared" si="20"/>
        <v>2412.1357425992123</v>
      </c>
      <c r="T33" s="555">
        <f t="shared" si="21"/>
        <v>0.70651269240686831</v>
      </c>
      <c r="U33" s="559">
        <f t="shared" si="22"/>
        <v>154.50490219883392</v>
      </c>
      <c r="V33" s="582">
        <f t="shared" si="23"/>
        <v>109.15967444255801</v>
      </c>
      <c r="W33" s="555">
        <f t="shared" si="24"/>
        <v>0.27620661116217687</v>
      </c>
      <c r="X33" s="559">
        <f t="shared" si="25"/>
        <v>37.9060089869281</v>
      </c>
      <c r="Y33" s="582">
        <f t="shared" si="26"/>
        <v>10.469890284962432</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9103.8060842623781</v>
      </c>
      <c r="I34" s="553">
        <f>ITECountywide!$B$9*E34</f>
        <v>15.642569928948324</v>
      </c>
      <c r="J34" s="562">
        <f t="shared" si="14"/>
        <v>1.67</v>
      </c>
      <c r="K34" s="416">
        <f t="shared" si="15"/>
        <v>0.8872444414531403</v>
      </c>
      <c r="L34" s="554">
        <f>Passby_Length_Adj!H29</f>
        <v>1</v>
      </c>
      <c r="M34" s="554">
        <f>Passby_Length_Adj!J29</f>
        <v>1</v>
      </c>
      <c r="N34" s="416">
        <v>0.5</v>
      </c>
      <c r="O34" s="546">
        <f t="shared" si="16"/>
        <v>0.5</v>
      </c>
      <c r="P34" s="555">
        <f t="shared" si="17"/>
        <v>56.965660301294932</v>
      </c>
      <c r="Q34" s="556">
        <f t="shared" si="18"/>
        <v>34.11117383311074</v>
      </c>
      <c r="R34" s="557">
        <f t="shared" si="19"/>
        <v>254.27556818181819</v>
      </c>
      <c r="S34" s="582">
        <f t="shared" si="20"/>
        <v>8673.6381077630031</v>
      </c>
      <c r="T34" s="555">
        <f t="shared" si="21"/>
        <v>2.5405018897796978</v>
      </c>
      <c r="U34" s="559">
        <f t="shared" si="22"/>
        <v>154.50490219883392</v>
      </c>
      <c r="V34" s="582">
        <f t="shared" si="23"/>
        <v>392.51999601636498</v>
      </c>
      <c r="W34" s="555">
        <f t="shared" si="24"/>
        <v>0.99319293930399455</v>
      </c>
      <c r="X34" s="559">
        <f t="shared" si="25"/>
        <v>37.9060089869281</v>
      </c>
      <c r="Y34" s="582">
        <f t="shared" si="26"/>
        <v>37.647980483010755</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8259.8843151534656</v>
      </c>
      <c r="I35" s="553">
        <f>ITECountywide!$B$9*E35</f>
        <v>14.192505509115339</v>
      </c>
      <c r="J35" s="562">
        <f t="shared" si="14"/>
        <v>1.67</v>
      </c>
      <c r="K35" s="416">
        <f t="shared" si="15"/>
        <v>0.8872444414531403</v>
      </c>
      <c r="L35" s="554">
        <f>Passby_Length_Adj!H30</f>
        <v>1</v>
      </c>
      <c r="M35" s="554">
        <f>Passby_Length_Adj!J30</f>
        <v>1</v>
      </c>
      <c r="N35" s="416">
        <v>0.5</v>
      </c>
      <c r="O35" s="546">
        <f t="shared" si="16"/>
        <v>0.5</v>
      </c>
      <c r="P35" s="555">
        <f t="shared" si="17"/>
        <v>51.684950192252522</v>
      </c>
      <c r="Q35" s="556">
        <f t="shared" si="18"/>
        <v>30.949071971408696</v>
      </c>
      <c r="R35" s="561">
        <f t="shared" si="19"/>
        <v>254.27556818181819</v>
      </c>
      <c r="S35" s="582">
        <f t="shared" si="20"/>
        <v>7869.59286022993</v>
      </c>
      <c r="T35" s="555">
        <f t="shared" si="21"/>
        <v>2.3049976589774084</v>
      </c>
      <c r="U35" s="559">
        <f t="shared" si="22"/>
        <v>154.50490219883392</v>
      </c>
      <c r="V35" s="582">
        <f t="shared" si="23"/>
        <v>356.13343786884559</v>
      </c>
      <c r="W35" s="555">
        <f t="shared" si="24"/>
        <v>0.90112406891660224</v>
      </c>
      <c r="X35" s="559">
        <f t="shared" si="25"/>
        <v>37.9060089869281</v>
      </c>
      <c r="Y35" s="582">
        <f t="shared" si="26"/>
        <v>34.158017054689942</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8818.982487188121</v>
      </c>
      <c r="I37" s="553">
        <f>ITECountywide!$B$9*E37</f>
        <v>15.153173187254691</v>
      </c>
      <c r="J37" s="562">
        <f>IF(F37="Prod",$M$3,$M$4)</f>
        <v>1.67</v>
      </c>
      <c r="K37" s="416">
        <f>IF(F37="Prod",$F$4,$F$5)</f>
        <v>0.8872444414531403</v>
      </c>
      <c r="L37" s="554">
        <f>Passby_Length_Adj!H32</f>
        <v>1</v>
      </c>
      <c r="M37" s="554">
        <f>Passby_Length_Adj!J32</f>
        <v>1</v>
      </c>
      <c r="N37" s="416">
        <v>0.5</v>
      </c>
      <c r="O37" s="546">
        <f>L37*M37*N37</f>
        <v>0.5</v>
      </c>
      <c r="P37" s="555">
        <f>IF($F37="Prod",$I37*$O37*$F$4*$F$6,$I37*O37*$F$5*$F$7)</f>
        <v>55.183420639493114</v>
      </c>
      <c r="Q37" s="556">
        <f>+P37/J37</f>
        <v>33.043964454786298</v>
      </c>
      <c r="R37" s="561">
        <f>+$Q$4</f>
        <v>254.27556818181819</v>
      </c>
      <c r="S37" s="582">
        <f>+Q37*R37</f>
        <v>8402.2728367205909</v>
      </c>
      <c r="T37" s="555">
        <f>IF($F37="Prod",$I37*$O37*$G$4*$G$6,$I37*$O37*$G$5*$G$7)</f>
        <v>2.4610192118839249</v>
      </c>
      <c r="U37" s="559">
        <f>+$R$4</f>
        <v>154.50490219883392</v>
      </c>
      <c r="V37" s="582">
        <f>+T37*U37</f>
        <v>380.23953264157717</v>
      </c>
      <c r="W37" s="555">
        <f>IF($F37="Prod",$I37*$O37*$J$4*$J$6,$I37*$O37*$J$5*$J$7)</f>
        <v>0.96211969554824961</v>
      </c>
      <c r="X37" s="559">
        <f>$S$4</f>
        <v>37.9060089869281</v>
      </c>
      <c r="Y37" s="582">
        <f>+W37*X37</f>
        <v>36.470117825952478</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4704.8638627821792</v>
      </c>
      <c r="I38" s="553">
        <f>ITECountywide!$B$9*E38</f>
        <v>8.0841091405688896</v>
      </c>
      <c r="J38" s="562">
        <f>IF(F38="Prod",$M$3,$M$4)</f>
        <v>1.67</v>
      </c>
      <c r="K38" s="416">
        <f>IF(F38="Prod",$F$4,$F$5)</f>
        <v>0.8872444414531403</v>
      </c>
      <c r="L38" s="554">
        <f>Passby_Length_Adj!H33</f>
        <v>1</v>
      </c>
      <c r="M38" s="554">
        <f>Passby_Length_Adj!J33</f>
        <v>1</v>
      </c>
      <c r="N38" s="416">
        <v>0.5</v>
      </c>
      <c r="O38" s="546">
        <f>L38*M38*N38</f>
        <v>0.5</v>
      </c>
      <c r="P38" s="555">
        <f>IF($F38="Prod",$I38*$O38*$F$4*$F$6,$I38*O38*$F$5*$F$7)</f>
        <v>29.4399588579114</v>
      </c>
      <c r="Q38" s="556">
        <f>+P38/J38</f>
        <v>17.628717878988862</v>
      </c>
      <c r="R38" s="561">
        <f>+$Q$4</f>
        <v>254.27556818181819</v>
      </c>
      <c r="S38" s="582">
        <f>+Q38*R38</f>
        <v>4482.55225499687</v>
      </c>
      <c r="T38" s="555">
        <f>IF($F38="Prod",$I38*$O38*$G$4*$G$6,$I38*$O38*$G$5*$G$7)</f>
        <v>1.3129360867227637</v>
      </c>
      <c r="U38" s="559">
        <f>+$R$4</f>
        <v>154.50490219883392</v>
      </c>
      <c r="V38" s="582">
        <f>+T38*U38</f>
        <v>202.85506167242033</v>
      </c>
      <c r="W38" s="555">
        <f>IF($F38="Prod",$I38*$O38*$J$4*$J$6,$I38*$O38*$J$5*$J$7)</f>
        <v>0.51328395240971203</v>
      </c>
      <c r="X38" s="559">
        <f>$S$4</f>
        <v>37.9060089869281</v>
      </c>
      <c r="Y38" s="582">
        <f>+W38*X38</f>
        <v>19.456546112888521</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3533.922408143565</v>
      </c>
      <c r="I39" s="553">
        <f>ITECountywide!$B$9*E39</f>
        <v>6.0721447580506238</v>
      </c>
      <c r="J39" s="562">
        <f>IF(F39="Prod",$M$3,$M$4)</f>
        <v>1.67</v>
      </c>
      <c r="K39" s="416">
        <f>IF(F39="Prod",$F$4,$F$5)</f>
        <v>0.8872444414531403</v>
      </c>
      <c r="L39" s="554">
        <f>Passby_Length_Adj!H34</f>
        <v>1</v>
      </c>
      <c r="M39" s="554">
        <f>Passby_Length_Adj!J34</f>
        <v>1</v>
      </c>
      <c r="N39" s="416">
        <v>0.5</v>
      </c>
      <c r="O39" s="546">
        <f>L39*M39*N39</f>
        <v>0.5</v>
      </c>
      <c r="P39" s="555">
        <f>IF($F39="Prod",$I39*$O39*$F$4*$F$6,$I39*O39*$F$5*$F$7)</f>
        <v>22.112973581615066</v>
      </c>
      <c r="Q39" s="556">
        <f>+P39/J39</f>
        <v>13.241301545877285</v>
      </c>
      <c r="R39" s="561">
        <f>+$Q$4</f>
        <v>254.27556818181819</v>
      </c>
      <c r="S39" s="582">
        <f>+Q39*R39</f>
        <v>3366.9394740447342</v>
      </c>
      <c r="T39" s="555">
        <f>IF($F39="Prod",$I39*$O39*$G$4*$G$6,$I39*$O39*$G$5*$G$7)</f>
        <v>0.98617396648458722</v>
      </c>
      <c r="U39" s="559">
        <f>+$R$4</f>
        <v>154.50490219883392</v>
      </c>
      <c r="V39" s="582">
        <f>+T39*U39</f>
        <v>152.36871224273727</v>
      </c>
      <c r="W39" s="555">
        <f>IF($F39="Prod",$I39*$O39*$J$4*$J$6,$I39*$O39*$J$5*$J$7)</f>
        <v>0.38553839474720525</v>
      </c>
      <c r="X39" s="559">
        <f>$S$4</f>
        <v>37.9060089869281</v>
      </c>
      <c r="Y39" s="582">
        <f>+W39*X39</f>
        <v>14.614221856093396</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4240.7068897722775</v>
      </c>
      <c r="I40" s="553">
        <f>ITECountywide!$B$9*E40</f>
        <v>7.2865737096607477</v>
      </c>
      <c r="J40" s="562">
        <f>IF(F40="Prod",$M$3,$M$4)</f>
        <v>1.67</v>
      </c>
      <c r="K40" s="416">
        <f>IF(F40="Prod",$F$4,$F$5)</f>
        <v>0.8872444414531403</v>
      </c>
      <c r="L40" s="554">
        <f>Passby_Length_Adj!H35</f>
        <v>1</v>
      </c>
      <c r="M40" s="554">
        <f>Passby_Length_Adj!J35</f>
        <v>1</v>
      </c>
      <c r="N40" s="416">
        <v>0.5</v>
      </c>
      <c r="O40" s="546">
        <f>L40*M40*N40</f>
        <v>0.5</v>
      </c>
      <c r="P40" s="555">
        <f>IF($F40="Prod",$I40*$O40*$F$4*$F$6,$I40*O40*$F$5*$F$7)</f>
        <v>26.535568297938077</v>
      </c>
      <c r="Q40" s="556">
        <f>+P40/J40</f>
        <v>15.889561855052742</v>
      </c>
      <c r="R40" s="561">
        <f>+$Q$4</f>
        <v>254.27556818181819</v>
      </c>
      <c r="S40" s="582">
        <f>+Q40*R40</f>
        <v>4040.327368853681</v>
      </c>
      <c r="T40" s="555">
        <f>IF($F40="Prod",$I40*$O40*$G$4*$G$6,$I40*$O40*$G$5*$G$7)</f>
        <v>1.1834087597815046</v>
      </c>
      <c r="U40" s="559">
        <f>+$R$4</f>
        <v>154.50490219883392</v>
      </c>
      <c r="V40" s="582">
        <f>+T40*U40</f>
        <v>182.8424546912847</v>
      </c>
      <c r="W40" s="555">
        <f>IF($F40="Prod",$I40*$O40*$J$4*$J$6,$I40*$O40*$J$5*$J$7)</f>
        <v>0.46264607369664629</v>
      </c>
      <c r="X40" s="559">
        <f>$S$4</f>
        <v>37.9060089869281</v>
      </c>
      <c r="Y40" s="582">
        <f>+W40*X40</f>
        <v>17.537066227312074</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1120.27643908199</v>
      </c>
      <c r="I42" s="553">
        <f>ITECountywide!$B$9*E42</f>
        <v>4.368319064746867</v>
      </c>
      <c r="J42" s="562">
        <f t="shared" ref="J42:J50" si="27">IF(F42="Prod",$M$3,$M$4)</f>
        <v>1.67</v>
      </c>
      <c r="K42" s="416">
        <f t="shared" ref="K42:K50" si="28">IF(F42="Prod",$F$4,$F$5)</f>
        <v>0.8872439567052266</v>
      </c>
      <c r="L42" s="554">
        <f>Passby_Length_Adj!H37</f>
        <v>0.4404979999697734</v>
      </c>
      <c r="M42" s="554">
        <f>Passby_Length_Adj!J37</f>
        <v>1</v>
      </c>
      <c r="N42" s="416">
        <v>0.5</v>
      </c>
      <c r="O42" s="546">
        <f t="shared" ref="O42:O50" si="29">L42*M42*N42</f>
        <v>0.2202489999848867</v>
      </c>
      <c r="P42" s="555">
        <f t="shared" ref="P42:P50" si="30">IF($F42="Prod",$I42*$O42*$F$4*$F$6,$I42*O42*$F$5*$F$7)</f>
        <v>7.0089839587821334</v>
      </c>
      <c r="Q42" s="556">
        <f t="shared" ref="Q42:Q50" si="31">+P42/J42</f>
        <v>4.1969963825042713</v>
      </c>
      <c r="R42" s="557">
        <f t="shared" ref="R42:R50" si="32">+$Q$4</f>
        <v>254.27556818181819</v>
      </c>
      <c r="S42" s="582">
        <f t="shared" ref="S42:S50" si="33">+Q42*R42</f>
        <v>1067.1936398183091</v>
      </c>
      <c r="T42" s="555">
        <f t="shared" ref="T42:T50" si="34">IF($F42="Prod",$I42*$O42*$G$4*$G$6,$I42*$O42*$G$5*$G$7)</f>
        <v>0.31362966322081504</v>
      </c>
      <c r="U42" s="559">
        <f t="shared" ref="U42:U50" si="35">+$R$4</f>
        <v>154.50490219883392</v>
      </c>
      <c r="V42" s="583">
        <f t="shared" ref="V42:V50" si="36">+T42*U42</f>
        <v>48.45732044258525</v>
      </c>
      <c r="W42" s="555">
        <f t="shared" ref="W42:W50" si="37">IF($F42="Prod",$I42*$O42*$J$4*$J$6,$I42*$O42*$J$5*$J$7)</f>
        <v>0.12202494920239731</v>
      </c>
      <c r="X42" s="563">
        <f t="shared" ref="X42:X50" si="38">$S$4</f>
        <v>37.9060089869281</v>
      </c>
      <c r="Y42" s="583">
        <f t="shared" ref="Y42:Y50" si="39">+W42*X42</f>
        <v>4.6254788210955171</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14121.990962369646</v>
      </c>
      <c r="I43" s="553">
        <f>ITECountywide!$B$9*E43</f>
        <v>55.066196343157593</v>
      </c>
      <c r="J43" s="562">
        <f t="shared" si="27"/>
        <v>1.67</v>
      </c>
      <c r="K43" s="416">
        <f t="shared" si="28"/>
        <v>0.8872439567052266</v>
      </c>
      <c r="L43" s="554">
        <f>Passby_Length_Adj!H38</f>
        <v>0.4404979999697734</v>
      </c>
      <c r="M43" s="554">
        <f>Passby_Length_Adj!J38</f>
        <v>1</v>
      </c>
      <c r="N43" s="416">
        <v>0.5</v>
      </c>
      <c r="O43" s="546">
        <f t="shared" si="29"/>
        <v>0.2202489999848867</v>
      </c>
      <c r="P43" s="555">
        <f t="shared" si="30"/>
        <v>88.353913970041972</v>
      </c>
      <c r="Q43" s="556">
        <f t="shared" si="31"/>
        <v>52.906535311402379</v>
      </c>
      <c r="R43" s="557">
        <f t="shared" si="32"/>
        <v>254.27556818181819</v>
      </c>
      <c r="S43" s="582">
        <f t="shared" si="33"/>
        <v>13452.839326838268</v>
      </c>
      <c r="T43" s="555">
        <f t="shared" si="34"/>
        <v>3.9535556716383233</v>
      </c>
      <c r="U43" s="559">
        <f t="shared" si="35"/>
        <v>154.50490219883392</v>
      </c>
      <c r="V43" s="583">
        <f t="shared" si="36"/>
        <v>610.84373238412434</v>
      </c>
      <c r="W43" s="555">
        <f t="shared" si="37"/>
        <v>1.5382232185762776</v>
      </c>
      <c r="X43" s="563">
        <f t="shared" si="38"/>
        <v>37.9060089869281</v>
      </c>
      <c r="Y43" s="583">
        <f t="shared" si="39"/>
        <v>58.307903147253846</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36299.745696229293</v>
      </c>
      <c r="I44" s="553">
        <f>ITECountywide!$B$9*E44</f>
        <v>141.54441318094723</v>
      </c>
      <c r="J44" s="562">
        <f t="shared" si="27"/>
        <v>1.67</v>
      </c>
      <c r="K44" s="416">
        <f t="shared" si="28"/>
        <v>0.8872439567052266</v>
      </c>
      <c r="L44" s="554">
        <f>Passby_Length_Adj!H39</f>
        <v>0.4404979999697734</v>
      </c>
      <c r="M44" s="554">
        <f>Passby_Length_Adj!J39</f>
        <v>1</v>
      </c>
      <c r="N44" s="416">
        <v>0.5</v>
      </c>
      <c r="O44" s="546">
        <f t="shared" si="29"/>
        <v>0.2202489999848867</v>
      </c>
      <c r="P44" s="555">
        <f t="shared" si="30"/>
        <v>227.10853001713556</v>
      </c>
      <c r="Q44" s="556">
        <f t="shared" si="31"/>
        <v>135.99313174678778</v>
      </c>
      <c r="R44" s="557">
        <f t="shared" si="32"/>
        <v>254.27556818181819</v>
      </c>
      <c r="S44" s="582">
        <f t="shared" si="33"/>
        <v>34579.730843739322</v>
      </c>
      <c r="T44" s="555">
        <f t="shared" si="34"/>
        <v>10.162381909092717</v>
      </c>
      <c r="U44" s="559">
        <f t="shared" si="35"/>
        <v>154.50490219883392</v>
      </c>
      <c r="V44" s="582">
        <f t="shared" si="36"/>
        <v>1570.1378229715694</v>
      </c>
      <c r="W44" s="555">
        <f t="shared" si="37"/>
        <v>3.9539121507117034</v>
      </c>
      <c r="X44" s="559">
        <f t="shared" si="38"/>
        <v>37.9060089869281</v>
      </c>
      <c r="Y44" s="582">
        <f t="shared" si="39"/>
        <v>149.87702951840205</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102265.89900333516</v>
      </c>
      <c r="I45" s="553">
        <f>ITECountywide!$B$9*E45</f>
        <v>398.76771545407081</v>
      </c>
      <c r="J45" s="562">
        <f t="shared" si="27"/>
        <v>1.67</v>
      </c>
      <c r="K45" s="416">
        <f t="shared" si="28"/>
        <v>0.8872439567052266</v>
      </c>
      <c r="L45" s="554">
        <f>Passby_Length_Adj!H40</f>
        <v>0.4404979999697734</v>
      </c>
      <c r="M45" s="554">
        <f>Passby_Length_Adj!J40</f>
        <v>1</v>
      </c>
      <c r="N45" s="416">
        <v>0.5</v>
      </c>
      <c r="O45" s="546">
        <f t="shared" si="29"/>
        <v>0.2202489999848867</v>
      </c>
      <c r="P45" s="555">
        <f t="shared" si="30"/>
        <v>639.82426179753907</v>
      </c>
      <c r="Q45" s="556">
        <f t="shared" si="31"/>
        <v>383.1283004775683</v>
      </c>
      <c r="R45" s="557">
        <f t="shared" si="32"/>
        <v>254.27556818181819</v>
      </c>
      <c r="S45" s="582">
        <f t="shared" si="33"/>
        <v>97420.166290468042</v>
      </c>
      <c r="T45" s="555">
        <f t="shared" si="34"/>
        <v>28.630093737999712</v>
      </c>
      <c r="U45" s="559">
        <f t="shared" si="35"/>
        <v>154.50490219883392</v>
      </c>
      <c r="V45" s="583">
        <f t="shared" si="36"/>
        <v>4423.4898329330927</v>
      </c>
      <c r="W45" s="555">
        <f t="shared" si="37"/>
        <v>11.139206981131704</v>
      </c>
      <c r="X45" s="563">
        <f t="shared" si="38"/>
        <v>37.9060089869281</v>
      </c>
      <c r="Y45" s="583">
        <f t="shared" si="39"/>
        <v>422.24287993403061</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24827.371208036962</v>
      </c>
      <c r="I46" s="553">
        <f>ITECountywide!$B$9*E46</f>
        <v>96.80992582909964</v>
      </c>
      <c r="J46" s="562">
        <f t="shared" si="27"/>
        <v>1.67</v>
      </c>
      <c r="K46" s="416">
        <f t="shared" si="28"/>
        <v>0.8872439567052266</v>
      </c>
      <c r="L46" s="554">
        <f>Passby_Length_Adj!H41</f>
        <v>0.4404979999697734</v>
      </c>
      <c r="M46" s="554">
        <f>Passby_Length_Adj!J41</f>
        <v>1</v>
      </c>
      <c r="N46" s="416">
        <v>0.5</v>
      </c>
      <c r="O46" s="546">
        <f t="shared" si="29"/>
        <v>0.2202489999848867</v>
      </c>
      <c r="P46" s="555">
        <f t="shared" si="30"/>
        <v>155.331881011848</v>
      </c>
      <c r="Q46" s="556">
        <f t="shared" si="31"/>
        <v>93.013102402304199</v>
      </c>
      <c r="R46" s="557">
        <f t="shared" si="32"/>
        <v>254.27556818181819</v>
      </c>
      <c r="S46" s="582">
        <f t="shared" si="33"/>
        <v>23650.959461699538</v>
      </c>
      <c r="T46" s="555">
        <f t="shared" si="34"/>
        <v>6.950605938848021</v>
      </c>
      <c r="U46" s="559">
        <f t="shared" si="35"/>
        <v>154.50490219883392</v>
      </c>
      <c r="V46" s="583">
        <f t="shared" si="36"/>
        <v>1073.9026908043477</v>
      </c>
      <c r="W46" s="555">
        <f t="shared" si="37"/>
        <v>2.7042956584647464</v>
      </c>
      <c r="X46" s="563">
        <f t="shared" si="38"/>
        <v>37.9060089869281</v>
      </c>
      <c r="Y46" s="583">
        <f t="shared" si="39"/>
        <v>102.50905553307533</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14094.100262641467</v>
      </c>
      <c r="I47" s="553">
        <f>ITECountywide!$B$9*E47</f>
        <v>54.957441511670126</v>
      </c>
      <c r="J47" s="562">
        <f t="shared" si="27"/>
        <v>1.67</v>
      </c>
      <c r="K47" s="416">
        <f t="shared" si="28"/>
        <v>0.8872439567052266</v>
      </c>
      <c r="L47" s="554">
        <f>Passby_Length_Adj!H42</f>
        <v>0.4404979999697734</v>
      </c>
      <c r="M47" s="554">
        <f>Passby_Length_Adj!J42</f>
        <v>1</v>
      </c>
      <c r="N47" s="416">
        <v>0.5</v>
      </c>
      <c r="O47" s="546">
        <f t="shared" si="29"/>
        <v>0.2202489999848867</v>
      </c>
      <c r="P47" s="555">
        <f t="shared" si="30"/>
        <v>88.1794164440972</v>
      </c>
      <c r="Q47" s="556">
        <f t="shared" si="31"/>
        <v>52.802045774908507</v>
      </c>
      <c r="R47" s="557">
        <f t="shared" si="32"/>
        <v>254.27556818181819</v>
      </c>
      <c r="S47" s="582">
        <f t="shared" si="33"/>
        <v>13426.270190577234</v>
      </c>
      <c r="T47" s="555">
        <f t="shared" si="34"/>
        <v>3.9457474642552333</v>
      </c>
      <c r="U47" s="559">
        <f t="shared" si="35"/>
        <v>154.50490219883392</v>
      </c>
      <c r="V47" s="583">
        <f t="shared" si="36"/>
        <v>609.63732606605174</v>
      </c>
      <c r="W47" s="555">
        <f t="shared" si="37"/>
        <v>1.5351852530359693</v>
      </c>
      <c r="X47" s="563">
        <f t="shared" si="38"/>
        <v>37.9060089869281</v>
      </c>
      <c r="Y47" s="583">
        <f t="shared" si="39"/>
        <v>58.192745998180939</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17989.501324677596</v>
      </c>
      <c r="I48" s="553">
        <f>ITECountywide!$B$9*E48</f>
        <v>70.146866309420645</v>
      </c>
      <c r="J48" s="562">
        <f t="shared" si="27"/>
        <v>1.67</v>
      </c>
      <c r="K48" s="416">
        <f t="shared" si="28"/>
        <v>0.8872439567052266</v>
      </c>
      <c r="L48" s="554">
        <f>Passby_Length_Adj!H43</f>
        <v>0.4404979999697734</v>
      </c>
      <c r="M48" s="554">
        <f>Passby_Length_Adj!J43</f>
        <v>1</v>
      </c>
      <c r="N48" s="416">
        <v>0.5</v>
      </c>
      <c r="O48" s="546">
        <f t="shared" si="29"/>
        <v>0.2202489999848867</v>
      </c>
      <c r="P48" s="555">
        <f t="shared" si="30"/>
        <v>112.55090423438529</v>
      </c>
      <c r="Q48" s="556">
        <f t="shared" si="31"/>
        <v>67.395751038554067</v>
      </c>
      <c r="R48" s="557">
        <f t="shared" si="32"/>
        <v>254.27556818181819</v>
      </c>
      <c r="S48" s="582">
        <f t="shared" si="33"/>
        <v>17137.092888368697</v>
      </c>
      <c r="T48" s="555">
        <f t="shared" si="34"/>
        <v>5.0362937620935861</v>
      </c>
      <c r="U48" s="559">
        <f t="shared" si="35"/>
        <v>154.50490219883392</v>
      </c>
      <c r="V48" s="583">
        <f t="shared" si="36"/>
        <v>778.1320751568669</v>
      </c>
      <c r="W48" s="555">
        <f t="shared" si="37"/>
        <v>1.959487773499077</v>
      </c>
      <c r="X48" s="563">
        <f t="shared" si="38"/>
        <v>37.9060089869281</v>
      </c>
      <c r="Y48" s="583">
        <f t="shared" si="39"/>
        <v>74.27636115203174</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1868.676881788215</v>
      </c>
      <c r="I49" s="553">
        <f>ITECountywide!$B$9*E49</f>
        <v>7.2865737096607477</v>
      </c>
      <c r="J49" s="562">
        <f t="shared" si="27"/>
        <v>1.67</v>
      </c>
      <c r="K49" s="416">
        <f t="shared" si="28"/>
        <v>0.8872439567052266</v>
      </c>
      <c r="L49" s="554">
        <f>Passby_Length_Adj!H44</f>
        <v>0.4404979999697734</v>
      </c>
      <c r="M49" s="554">
        <f>Passby_Length_Adj!J44</f>
        <v>1</v>
      </c>
      <c r="N49" s="416">
        <v>0.5</v>
      </c>
      <c r="O49" s="546">
        <f t="shared" si="29"/>
        <v>0.2202489999848867</v>
      </c>
      <c r="P49" s="555">
        <f t="shared" si="30"/>
        <v>11.691334238300485</v>
      </c>
      <c r="Q49" s="556">
        <f t="shared" si="31"/>
        <v>7.0007989450901107</v>
      </c>
      <c r="R49" s="561">
        <f t="shared" si="32"/>
        <v>254.27556818181819</v>
      </c>
      <c r="S49" s="583">
        <f t="shared" si="33"/>
        <v>1780.1321294894612</v>
      </c>
      <c r="T49" s="555">
        <f t="shared" si="34"/>
        <v>0.5231498946670855</v>
      </c>
      <c r="U49" s="559">
        <f t="shared" si="35"/>
        <v>154.50490219883392</v>
      </c>
      <c r="V49" s="582">
        <f t="shared" si="36"/>
        <v>80.829223310868315</v>
      </c>
      <c r="W49" s="555">
        <f t="shared" si="37"/>
        <v>0.20354369120067928</v>
      </c>
      <c r="X49" s="559">
        <f t="shared" si="38"/>
        <v>37.9060089869281</v>
      </c>
      <c r="Y49" s="582">
        <f t="shared" si="39"/>
        <v>7.7155289878854667</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13396.832769436907</v>
      </c>
      <c r="I50" s="553">
        <f>ITECountywide!$B$9*E50</f>
        <v>52.238570724483274</v>
      </c>
      <c r="J50" s="562">
        <f t="shared" si="27"/>
        <v>1.67</v>
      </c>
      <c r="K50" s="416">
        <f t="shared" si="28"/>
        <v>0.8872439567052266</v>
      </c>
      <c r="L50" s="554">
        <f>Passby_Length_Adj!H45</f>
        <v>0.4404979999697734</v>
      </c>
      <c r="M50" s="554">
        <f>Passby_Length_Adj!J45</f>
        <v>1</v>
      </c>
      <c r="N50" s="416">
        <v>0.5</v>
      </c>
      <c r="O50" s="546">
        <f t="shared" si="29"/>
        <v>0.2202489999848867</v>
      </c>
      <c r="P50" s="555">
        <f t="shared" si="30"/>
        <v>83.816978295477611</v>
      </c>
      <c r="Q50" s="556">
        <f t="shared" si="31"/>
        <v>50.189807362561446</v>
      </c>
      <c r="R50" s="561">
        <f t="shared" si="32"/>
        <v>254.27556818181819</v>
      </c>
      <c r="S50" s="583">
        <f t="shared" si="33"/>
        <v>12762.041784051313</v>
      </c>
      <c r="T50" s="555">
        <f t="shared" si="34"/>
        <v>3.7505422796779619</v>
      </c>
      <c r="U50" s="559">
        <f t="shared" si="35"/>
        <v>154.50490219883392</v>
      </c>
      <c r="V50" s="582">
        <f t="shared" si="36"/>
        <v>579.47716811423516</v>
      </c>
      <c r="W50" s="555">
        <f t="shared" si="37"/>
        <v>1.4592361145282531</v>
      </c>
      <c r="X50" s="559">
        <f t="shared" si="38"/>
        <v>37.9060089869281</v>
      </c>
      <c r="Y50" s="582">
        <f t="shared" si="39"/>
        <v>55.313817271358005</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1994.4631791700051</v>
      </c>
      <c r="I52" s="553">
        <f>ITECountywide!$B$9*E52</f>
        <v>3.4257771918554263</v>
      </c>
      <c r="J52" s="562">
        <f t="shared" ref="J52:J60" si="40">IF(F52="Prod",$M$3,$M$4)</f>
        <v>1.67</v>
      </c>
      <c r="K52" s="416">
        <f t="shared" ref="K52:K60" si="41">IF(F52="Prod",$F$4,$F$5)</f>
        <v>0.8872439567052266</v>
      </c>
      <c r="L52" s="554">
        <f>Passby_Length_Adj!H47</f>
        <v>1</v>
      </c>
      <c r="M52" s="554">
        <f>Passby_Length_Adj!J47</f>
        <v>1</v>
      </c>
      <c r="N52" s="416">
        <v>0.5</v>
      </c>
      <c r="O52" s="546">
        <f t="shared" ref="O52:O60" si="42">L52*M52*N52</f>
        <v>0.5</v>
      </c>
      <c r="P52" s="555">
        <f t="shared" ref="P52:P60" si="43">IF($F52="Prod",$I52*$O52*$F$4*$F$6,$I52*O52*$F$5*$F$7)</f>
        <v>12.478313335447274</v>
      </c>
      <c r="Q52" s="556">
        <f t="shared" ref="Q52:Q60" si="44">+P52/J52</f>
        <v>7.4720439134414818</v>
      </c>
      <c r="R52" s="557">
        <f t="shared" ref="R52:R60" si="45">+$Q$4</f>
        <v>254.27556818181819</v>
      </c>
      <c r="S52" s="582">
        <f t="shared" ref="S52:S60" si="46">+Q52*R52</f>
        <v>1899.958211569829</v>
      </c>
      <c r="T52" s="555">
        <f t="shared" ref="T52:T60" si="47">IF($F52="Prod",$I52*$O52*$G$4*$G$6,$I52*$O52*$G$5*$G$7)</f>
        <v>0.55836469764729613</v>
      </c>
      <c r="U52" s="563">
        <f t="shared" ref="U52:U60" si="48">+$R$4</f>
        <v>154.50490219883392</v>
      </c>
      <c r="V52" s="583">
        <f t="shared" ref="V52:V60" si="49">+T52*U52</f>
        <v>86.270083001276959</v>
      </c>
      <c r="W52" s="555">
        <f t="shared" ref="W52:W60" si="50">IF($F52="Prod",$I52*$O52*$J$4*$J$6,$I52*$O52*$J$5*$J$7)</f>
        <v>0.21724483318037524</v>
      </c>
      <c r="X52" s="563">
        <f t="shared" ref="X52:X60" si="51">$S$4</f>
        <v>37.9060089869281</v>
      </c>
      <c r="Y52" s="583">
        <f t="shared" ref="Y52:Y60" si="52">+W52*X52</f>
        <v>8.2348845988989989</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2142.2011924418566</v>
      </c>
      <c r="I53" s="553">
        <f>ITECountywide!$B$9*E53</f>
        <v>3.6795384653261984</v>
      </c>
      <c r="J53" s="562">
        <f t="shared" si="40"/>
        <v>1.67</v>
      </c>
      <c r="K53" s="416">
        <f t="shared" si="41"/>
        <v>0.8872439567052266</v>
      </c>
      <c r="L53" s="554">
        <f>Passby_Length_Adj!H48</f>
        <v>1</v>
      </c>
      <c r="M53" s="554">
        <f>Passby_Length_Adj!J48</f>
        <v>1</v>
      </c>
      <c r="N53" s="416">
        <v>0.5</v>
      </c>
      <c r="O53" s="546">
        <f t="shared" si="42"/>
        <v>0.5</v>
      </c>
      <c r="P53" s="555">
        <f t="shared" si="43"/>
        <v>13.402632841776699</v>
      </c>
      <c r="Q53" s="556">
        <f t="shared" si="44"/>
        <v>8.0255286477704786</v>
      </c>
      <c r="R53" s="557">
        <f t="shared" si="45"/>
        <v>254.27556818181819</v>
      </c>
      <c r="S53" s="582">
        <f t="shared" si="46"/>
        <v>2040.6958568712973</v>
      </c>
      <c r="T53" s="555">
        <f t="shared" si="47"/>
        <v>0.59972504562116979</v>
      </c>
      <c r="U53" s="563">
        <f t="shared" si="48"/>
        <v>154.50490219883392</v>
      </c>
      <c r="V53" s="583">
        <f t="shared" si="49"/>
        <v>92.660459519890054</v>
      </c>
      <c r="W53" s="555">
        <f t="shared" si="50"/>
        <v>0.23333704304558822</v>
      </c>
      <c r="X53" s="563">
        <f t="shared" si="51"/>
        <v>37.9060089869281</v>
      </c>
      <c r="Y53" s="583">
        <f t="shared" si="52"/>
        <v>8.8448760506692956</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2231.1495139547183</v>
      </c>
      <c r="I54" s="553">
        <f>ITECountywide!$B$9*E54</f>
        <v>7.4497059568919601</v>
      </c>
      <c r="J54" s="562">
        <f t="shared" si="40"/>
        <v>1.67</v>
      </c>
      <c r="K54" s="416">
        <f t="shared" si="41"/>
        <v>0.8872439567052266</v>
      </c>
      <c r="L54" s="554">
        <f>Passby_Length_Adj!H49</f>
        <v>0.51442567196884992</v>
      </c>
      <c r="M54" s="554">
        <f>Passby_Length_Adj!J49</f>
        <v>1</v>
      </c>
      <c r="N54" s="416">
        <v>0.5</v>
      </c>
      <c r="O54" s="546">
        <f t="shared" si="42"/>
        <v>0.25721283598442496</v>
      </c>
      <c r="P54" s="555">
        <f t="shared" si="43"/>
        <v>13.95913598412174</v>
      </c>
      <c r="Q54" s="556">
        <f t="shared" si="44"/>
        <v>8.3587640623483477</v>
      </c>
      <c r="R54" s="557">
        <f t="shared" si="45"/>
        <v>254.27556818181819</v>
      </c>
      <c r="S54" s="582">
        <f t="shared" si="46"/>
        <v>2125.429481251389</v>
      </c>
      <c r="T54" s="555">
        <f t="shared" si="47"/>
        <v>0.62462678518019821</v>
      </c>
      <c r="U54" s="563">
        <f t="shared" si="48"/>
        <v>154.50490219883392</v>
      </c>
      <c r="V54" s="583">
        <f t="shared" si="49"/>
        <v>96.507900355038572</v>
      </c>
      <c r="W54" s="555">
        <f t="shared" si="50"/>
        <v>0.24302564671125093</v>
      </c>
      <c r="X54" s="563">
        <f t="shared" si="51"/>
        <v>37.9060089869281</v>
      </c>
      <c r="Y54" s="583">
        <f t="shared" si="52"/>
        <v>9.2121323482906909</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1346.2897310481023</v>
      </c>
      <c r="I55" s="553">
        <f>ITECountywide!$B$9*E55</f>
        <v>4.4951997014822531</v>
      </c>
      <c r="J55" s="562">
        <f t="shared" si="40"/>
        <v>1.67</v>
      </c>
      <c r="K55" s="416">
        <f t="shared" si="41"/>
        <v>0.8872439567052266</v>
      </c>
      <c r="L55" s="554">
        <f>Passby_Length_Adj!H50</f>
        <v>0.51442567196884992</v>
      </c>
      <c r="M55" s="554">
        <f>Passby_Length_Adj!J50</f>
        <v>1</v>
      </c>
      <c r="N55" s="416">
        <v>0.5</v>
      </c>
      <c r="O55" s="546">
        <f t="shared" si="42"/>
        <v>0.25721283598442496</v>
      </c>
      <c r="P55" s="555">
        <f t="shared" si="43"/>
        <v>8.4230309587887859</v>
      </c>
      <c r="Q55" s="556">
        <f t="shared" si="44"/>
        <v>5.0437311130471771</v>
      </c>
      <c r="R55" s="557">
        <f t="shared" si="45"/>
        <v>254.27556818181819</v>
      </c>
      <c r="S55" s="582">
        <f t="shared" si="46"/>
        <v>1282.4975945263852</v>
      </c>
      <c r="T55" s="555">
        <f t="shared" si="47"/>
        <v>0.37690375358805139</v>
      </c>
      <c r="U55" s="563">
        <f t="shared" si="48"/>
        <v>154.50490219883392</v>
      </c>
      <c r="V55" s="583">
        <f t="shared" si="49"/>
        <v>58.233477586495276</v>
      </c>
      <c r="W55" s="555">
        <f t="shared" si="50"/>
        <v>0.14664321261408814</v>
      </c>
      <c r="X55" s="563">
        <f t="shared" si="51"/>
        <v>37.9060089869281</v>
      </c>
      <c r="Y55" s="583">
        <f t="shared" si="52"/>
        <v>5.5586589352216329</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1952.2523182351904</v>
      </c>
      <c r="I56" s="553">
        <f>ITECountywide!$B$9*E56</f>
        <v>3.3532739708637775</v>
      </c>
      <c r="J56" s="562">
        <f t="shared" si="40"/>
        <v>1.67</v>
      </c>
      <c r="K56" s="416">
        <f t="shared" si="41"/>
        <v>0.8872439567052266</v>
      </c>
      <c r="L56" s="554">
        <f>Passby_Length_Adj!H51</f>
        <v>1</v>
      </c>
      <c r="M56" s="554">
        <f>Passby_Length_Adj!J51</f>
        <v>1</v>
      </c>
      <c r="N56" s="416">
        <v>0.5</v>
      </c>
      <c r="O56" s="546">
        <f t="shared" si="42"/>
        <v>0.5</v>
      </c>
      <c r="P56" s="555">
        <f t="shared" si="43"/>
        <v>12.214222047924583</v>
      </c>
      <c r="Q56" s="556">
        <f t="shared" si="44"/>
        <v>7.313905417918912</v>
      </c>
      <c r="R56" s="557">
        <f t="shared" si="45"/>
        <v>254.27556818181819</v>
      </c>
      <c r="S56" s="582">
        <f t="shared" si="46"/>
        <v>1859.7474557694097</v>
      </c>
      <c r="T56" s="555">
        <f t="shared" si="47"/>
        <v>0.54654745536904648</v>
      </c>
      <c r="U56" s="563">
        <f t="shared" si="48"/>
        <v>154.50490219883392</v>
      </c>
      <c r="V56" s="583">
        <f t="shared" si="49"/>
        <v>84.444261138816074</v>
      </c>
      <c r="W56" s="555">
        <f t="shared" si="50"/>
        <v>0.21264705893317157</v>
      </c>
      <c r="X56" s="563">
        <f t="shared" si="51"/>
        <v>37.9060089869281</v>
      </c>
      <c r="Y56" s="583">
        <f t="shared" si="52"/>
        <v>8.0606013269646315</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624.28757689730537</v>
      </c>
      <c r="I57" s="553">
        <f>ITECountywide!$B$9*E57</f>
        <v>2.0844676035099154</v>
      </c>
      <c r="J57" s="562">
        <f t="shared" si="40"/>
        <v>1.67</v>
      </c>
      <c r="K57" s="416">
        <f t="shared" si="41"/>
        <v>0.8872439567052266</v>
      </c>
      <c r="L57" s="554">
        <f>Passby_Length_Adj!H52</f>
        <v>0.51442567196884992</v>
      </c>
      <c r="M57" s="554">
        <f>Passby_Length_Adj!J52</f>
        <v>1</v>
      </c>
      <c r="N57" s="416">
        <v>0.5</v>
      </c>
      <c r="O57" s="546">
        <f t="shared" si="42"/>
        <v>0.25721283598442496</v>
      </c>
      <c r="P57" s="555">
        <f t="shared" si="43"/>
        <v>3.9058409687931865</v>
      </c>
      <c r="Q57" s="556">
        <f t="shared" si="44"/>
        <v>2.3388269274210698</v>
      </c>
      <c r="R57" s="557">
        <f t="shared" si="45"/>
        <v>254.27556818181819</v>
      </c>
      <c r="S57" s="582">
        <f t="shared" si="46"/>
        <v>594.70654584892861</v>
      </c>
      <c r="T57" s="555">
        <f t="shared" si="47"/>
        <v>0.17477391799445929</v>
      </c>
      <c r="U57" s="563">
        <f t="shared" si="48"/>
        <v>154.50490219883392</v>
      </c>
      <c r="V57" s="583">
        <f t="shared" si="49"/>
        <v>27.003427106640952</v>
      </c>
      <c r="W57" s="555">
        <f t="shared" si="50"/>
        <v>6.7999876817016677E-2</v>
      </c>
      <c r="X57" s="563">
        <f t="shared" si="51"/>
        <v>37.9060089869281</v>
      </c>
      <c r="Y57" s="583">
        <f t="shared" si="52"/>
        <v>2.5776039417358381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846.85966953025797</v>
      </c>
      <c r="I58" s="553">
        <f>ITECountywide!$B$9*E58</f>
        <v>2.8276256186743205</v>
      </c>
      <c r="J58" s="562">
        <f t="shared" si="40"/>
        <v>1.67</v>
      </c>
      <c r="K58" s="416">
        <f t="shared" si="41"/>
        <v>0.8872439567052266</v>
      </c>
      <c r="L58" s="554">
        <f>Passby_Length_Adj!H53</f>
        <v>0.51442567196884992</v>
      </c>
      <c r="M58" s="554">
        <f>Passby_Length_Adj!J53</f>
        <v>1</v>
      </c>
      <c r="N58" s="416">
        <v>0.5</v>
      </c>
      <c r="O58" s="546">
        <f t="shared" si="42"/>
        <v>0.25721283598442496</v>
      </c>
      <c r="P58" s="555">
        <f t="shared" si="43"/>
        <v>5.2983581837542371</v>
      </c>
      <c r="Q58" s="556">
        <f t="shared" si="44"/>
        <v>3.1726695711103217</v>
      </c>
      <c r="R58" s="557">
        <f t="shared" si="45"/>
        <v>254.27556818181819</v>
      </c>
      <c r="S58" s="582">
        <f t="shared" si="46"/>
        <v>806.7323578472425</v>
      </c>
      <c r="T58" s="555">
        <f t="shared" si="47"/>
        <v>0.23708461919248394</v>
      </c>
      <c r="U58" s="563">
        <f t="shared" si="48"/>
        <v>154.50490219883392</v>
      </c>
      <c r="V58" s="583">
        <f t="shared" si="49"/>
        <v>36.630735901182511</v>
      </c>
      <c r="W58" s="555">
        <f t="shared" si="50"/>
        <v>9.2243311160474795E-2</v>
      </c>
      <c r="X58" s="563">
        <f t="shared" si="51"/>
        <v>37.9060089869281</v>
      </c>
      <c r="Y58" s="583">
        <f t="shared" si="52"/>
        <v>3.4965757818329628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3197.6934575789305</v>
      </c>
      <c r="I59" s="553">
        <f>ITECountywide!$B$9*E59</f>
        <v>12.597434647299055</v>
      </c>
      <c r="J59" s="562">
        <f t="shared" si="40"/>
        <v>1.67</v>
      </c>
      <c r="K59" s="416">
        <f t="shared" si="41"/>
        <v>0.8872439567052266</v>
      </c>
      <c r="L59" s="554">
        <f>Passby_Length_Adj!H54</f>
        <v>0.4360013208727776</v>
      </c>
      <c r="M59" s="554">
        <f>Passby_Length_Adj!J54</f>
        <v>1</v>
      </c>
      <c r="N59" s="416">
        <v>0.5</v>
      </c>
      <c r="O59" s="546">
        <f t="shared" si="42"/>
        <v>0.2180006604363888</v>
      </c>
      <c r="P59" s="555">
        <f t="shared" si="43"/>
        <v>20.006296095666602</v>
      </c>
      <c r="Q59" s="556">
        <f t="shared" si="44"/>
        <v>11.979818021357248</v>
      </c>
      <c r="R59" s="557">
        <f t="shared" si="45"/>
        <v>254.27556818181819</v>
      </c>
      <c r="S59" s="582">
        <f t="shared" si="46"/>
        <v>3046.175034095399</v>
      </c>
      <c r="T59" s="555">
        <f t="shared" si="47"/>
        <v>0.89521790086534592</v>
      </c>
      <c r="U59" s="559">
        <f t="shared" si="48"/>
        <v>154.50490219883392</v>
      </c>
      <c r="V59" s="582">
        <f t="shared" si="49"/>
        <v>138.31555421984567</v>
      </c>
      <c r="W59" s="555">
        <f t="shared" si="50"/>
        <v>0.34830544329367052</v>
      </c>
      <c r="X59" s="559">
        <f t="shared" si="51"/>
        <v>37.9060089869281</v>
      </c>
      <c r="Y59" s="582">
        <f t="shared" si="52"/>
        <v>13.20286926368585</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50252.029942897163</v>
      </c>
      <c r="I60" s="553">
        <f>ITECountywide!$B$9*E60</f>
        <v>86.315084590558413</v>
      </c>
      <c r="J60" s="562">
        <f t="shared" si="40"/>
        <v>1.67</v>
      </c>
      <c r="K60" s="416">
        <f t="shared" si="41"/>
        <v>0.8872439567052266</v>
      </c>
      <c r="L60" s="554">
        <f>Passby_Length_Adj!H55</f>
        <v>1</v>
      </c>
      <c r="M60" s="554">
        <f>Passby_Length_Adj!J55</f>
        <v>1</v>
      </c>
      <c r="N60" s="416">
        <v>0.5</v>
      </c>
      <c r="O60" s="546">
        <f t="shared" si="42"/>
        <v>0.5</v>
      </c>
      <c r="P60" s="555">
        <f t="shared" si="43"/>
        <v>314.40067779576674</v>
      </c>
      <c r="Q60" s="556">
        <f t="shared" si="44"/>
        <v>188.26387891962082</v>
      </c>
      <c r="R60" s="561">
        <f t="shared" si="45"/>
        <v>254.27556818181819</v>
      </c>
      <c r="S60" s="583">
        <f t="shared" si="46"/>
        <v>47870.904780399607</v>
      </c>
      <c r="T60" s="555">
        <f t="shared" si="47"/>
        <v>14.068426932256212</v>
      </c>
      <c r="U60" s="559">
        <f t="shared" si="48"/>
        <v>154.50490219883392</v>
      </c>
      <c r="V60" s="582">
        <f t="shared" si="49"/>
        <v>2173.640927259687</v>
      </c>
      <c r="W60" s="555">
        <f t="shared" si="50"/>
        <v>5.4736502412960153</v>
      </c>
      <c r="X60" s="559">
        <f t="shared" si="51"/>
        <v>37.9060089869281</v>
      </c>
      <c r="Y60" s="582">
        <f t="shared" si="52"/>
        <v>207.48423523786792</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11312.510730530399</v>
      </c>
      <c r="I62" s="553">
        <f>ITECountywide!$B$9*E62</f>
        <v>19.430863225761996</v>
      </c>
      <c r="J62" s="562">
        <f>IF(F62="Prod",$M$3,$M$4)</f>
        <v>1.67</v>
      </c>
      <c r="K62" s="416">
        <f>IF(F62="Prod",$F$4,$F$5)</f>
        <v>0.8872439567052266</v>
      </c>
      <c r="L62" s="554">
        <f>Passby_Length_Adj!H57</f>
        <v>1</v>
      </c>
      <c r="M62" s="554">
        <f>Passby_Length_Adj!J57</f>
        <v>1</v>
      </c>
      <c r="N62" s="416">
        <v>0.5</v>
      </c>
      <c r="O62" s="546">
        <f>L62*M62*N62</f>
        <v>0.5</v>
      </c>
      <c r="P62" s="555">
        <f>IF($F62="Prod",$I62*$O62*$F$4*$F$6,$I62*O62*$F$5*$F$7)</f>
        <v>70.776465056081889</v>
      </c>
      <c r="Q62" s="556">
        <f>+P62/J62</f>
        <v>42.381116800049035</v>
      </c>
      <c r="R62" s="557">
        <f>+$Q$4</f>
        <v>254.27556818181819</v>
      </c>
      <c r="S62" s="582">
        <f>+Q62*R62</f>
        <v>10776.48255451247</v>
      </c>
      <c r="T62" s="555">
        <f>IF($F62="Prod",$I62*$O62*$G$4*$G$6,$I62*$O62*$G$5*$G$7)</f>
        <v>3.1670209305709069</v>
      </c>
      <c r="U62" s="559">
        <f>+$R$4</f>
        <v>154.50490219883392</v>
      </c>
      <c r="V62" s="582">
        <f>+T62*U62</f>
        <v>489.32025913951799</v>
      </c>
      <c r="W62" s="555">
        <f>IF($F62="Prod",$I62*$O62*$J$4*$J$6,$I62*$O62*$J$5*$J$7)</f>
        <v>1.2322034982505938</v>
      </c>
      <c r="X62" s="559">
        <f>$S$4</f>
        <v>37.9060089869281</v>
      </c>
      <c r="Y62" s="582">
        <f>+W62*X62</f>
        <v>46.707916878411254</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3229.1308615133421</v>
      </c>
      <c r="I63" s="553">
        <f>ITECountywide!$B$9*E63</f>
        <v>5.5464964058611672</v>
      </c>
      <c r="J63" s="562">
        <f>IF(F63="Prod",$M$3,$M$4)</f>
        <v>1.67</v>
      </c>
      <c r="K63" s="416">
        <f>IF(F63="Prod",$F$4,$F$5)</f>
        <v>0.8872439567052266</v>
      </c>
      <c r="L63" s="554">
        <f>Passby_Length_Adj!H58</f>
        <v>1</v>
      </c>
      <c r="M63" s="554">
        <f>Passby_Length_Adj!J58</f>
        <v>1</v>
      </c>
      <c r="N63" s="416">
        <v>0.5</v>
      </c>
      <c r="O63" s="546">
        <f>L63*M63*N63</f>
        <v>0.5</v>
      </c>
      <c r="P63" s="555">
        <f>IF($F63="Prod",$I63*$O63*$F$4*$F$6,$I63*O63*$F$5*$F$7)</f>
        <v>20.202983495486066</v>
      </c>
      <c r="Q63" s="556">
        <f>+P63/J63</f>
        <v>12.097594907476687</v>
      </c>
      <c r="R63" s="557">
        <f>+$Q$4</f>
        <v>254.27556818181819</v>
      </c>
      <c r="S63" s="582">
        <f>+Q63*R63</f>
        <v>3076.1228187321049</v>
      </c>
      <c r="T63" s="555">
        <f>IF($F63="Prod",$I63*$O63*$G$4*$G$6,$I63*$O63*$G$5*$G$7)</f>
        <v>0.90401903428609853</v>
      </c>
      <c r="U63" s="563">
        <f>+$R$4</f>
        <v>154.50490219883392</v>
      </c>
      <c r="V63" s="583">
        <f>+T63*U63</f>
        <v>139.67537247825794</v>
      </c>
      <c r="W63" s="555">
        <f>IF($F63="Prod",$I63*$O63*$J$4*$J$6,$I63*$O63*$J$5*$J$7)</f>
        <v>0.3517297299110837</v>
      </c>
      <c r="X63" s="563">
        <f>$S$4</f>
        <v>37.9060089869281</v>
      </c>
      <c r="Y63" s="583">
        <f>+W63*X63</f>
        <v>13.332670302979333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15488.673851555581</v>
      </c>
      <c r="I64" s="553">
        <f>ITECountywide!$B$9*E64</f>
        <v>69.168072826033367</v>
      </c>
      <c r="J64" s="562">
        <f>IF(F64="Prod",$M$3,$M$4)</f>
        <v>1.67</v>
      </c>
      <c r="K64" s="416">
        <f>IF(F64="Prod",$F$4,$F$5)</f>
        <v>0.8872439567052266</v>
      </c>
      <c r="L64" s="554">
        <f>Passby_Length_Adj!H59</f>
        <v>0.3846286671810874</v>
      </c>
      <c r="M64" s="554">
        <f>Passby_Length_Adj!J59</f>
        <v>1</v>
      </c>
      <c r="N64" s="416">
        <v>0.5</v>
      </c>
      <c r="O64" s="546">
        <f>L64*M64*N64</f>
        <v>0.1923143335905437</v>
      </c>
      <c r="P64" s="555">
        <f>IF($F64="Prod",$I64*$O64*$F$4*$F$6,$I64*O64*$F$5*$F$7)</f>
        <v>96.904534257027379</v>
      </c>
      <c r="Q64" s="556">
        <f>+P64/J64</f>
        <v>58.026667219776876</v>
      </c>
      <c r="R64" s="557">
        <f>+$Q$4</f>
        <v>254.27556818181819</v>
      </c>
      <c r="S64" s="582">
        <f>+Q64*R64</f>
        <v>14754.76377700605</v>
      </c>
      <c r="T64" s="555">
        <f>IF($F64="Prod",$I64*$O64*$G$4*$G$6,$I64*$O64*$G$5*$G$7)</f>
        <v>4.336168640466159</v>
      </c>
      <c r="U64" s="559">
        <f>+$R$4</f>
        <v>154.50490219883392</v>
      </c>
      <c r="V64" s="582">
        <f>+T64*U64</f>
        <v>669.95931171287452</v>
      </c>
      <c r="W64" s="555">
        <f>IF($F64="Prod",$I64*$O64*$J$4*$J$6,$I64*$O64*$J$5*$J$7)</f>
        <v>1.6870877347892212</v>
      </c>
      <c r="X64" s="559">
        <f>$S$4</f>
        <v>37.9060089869281</v>
      </c>
      <c r="Y64" s="582">
        <f>+W64*X64</f>
        <v>63.950762836656395</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8726.5851102842007</v>
      </c>
      <c r="I65" s="553">
        <f>ITECountywide!$B$9*E65</f>
        <v>38.970481283011466</v>
      </c>
      <c r="J65" s="562">
        <f>IF(F65="Prod",$M$3,$M$4)</f>
        <v>1.67</v>
      </c>
      <c r="K65" s="416">
        <f>IF(F65="Prod",$F$4,$F$5)</f>
        <v>0.8872439567052266</v>
      </c>
      <c r="L65" s="554">
        <f>Passby_Length_Adj!H60</f>
        <v>0.3846286671810874</v>
      </c>
      <c r="M65" s="554">
        <f>Passby_Length_Adj!J60</f>
        <v>1</v>
      </c>
      <c r="N65" s="416">
        <v>0.5</v>
      </c>
      <c r="O65" s="546">
        <f>L65*M65*N65</f>
        <v>0.1923143335905437</v>
      </c>
      <c r="P65" s="555">
        <f>IF($F65="Prod",$I65*$O65*$F$4*$F$6,$I65*O65*$F$5*$F$7)</f>
        <v>54.597680464520153</v>
      </c>
      <c r="Q65" s="556">
        <f>+P65/J65</f>
        <v>32.69322183504201</v>
      </c>
      <c r="R65" s="557">
        <f>+$Q$4</f>
        <v>254.27556818181819</v>
      </c>
      <c r="S65" s="582">
        <f>+Q65*R65</f>
        <v>8313.0875577995321</v>
      </c>
      <c r="T65" s="555">
        <f>IF($F65="Prod",$I65*$O65*$G$4*$G$6,$I65*$O65*$G$5*$G$7)</f>
        <v>2.4430719541410486</v>
      </c>
      <c r="U65" s="559">
        <f>+$R$4</f>
        <v>154.50490219883392</v>
      </c>
      <c r="V65" s="582">
        <f>+T65*U65</f>
        <v>377.46659333927676</v>
      </c>
      <c r="W65" s="555">
        <f>IF($F65="Prod",$I65*$O65*$J$4*$J$6,$I65*$O65*$J$5*$J$7)</f>
        <v>0.9505342321270509</v>
      </c>
      <c r="X65" s="559">
        <f>$S$4</f>
        <v>37.9060089869281</v>
      </c>
      <c r="Y65" s="582">
        <f>+W65*X65</f>
        <v>36.030959145390796</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10122.838727929673</v>
      </c>
      <c r="I66" s="553">
        <f>ITECountywide!$B$9*E66</f>
        <v>45.205758288293303</v>
      </c>
      <c r="J66" s="562">
        <f>IF(F66="Prod",$M$3,$M$4)</f>
        <v>1.67</v>
      </c>
      <c r="K66" s="416">
        <f>IF(F66="Prod",$F$4,$F$5)</f>
        <v>0.8872439567052266</v>
      </c>
      <c r="L66" s="554">
        <f>Passby_Length_Adj!H61</f>
        <v>0.3846286671810874</v>
      </c>
      <c r="M66" s="554">
        <f>Passby_Length_Adj!J61</f>
        <v>1</v>
      </c>
      <c r="N66" s="416">
        <v>0.5</v>
      </c>
      <c r="O66" s="546">
        <f>L66*M66*N66</f>
        <v>0.1923143335905437</v>
      </c>
      <c r="P66" s="555">
        <f>IF($F66="Prod",$I66*$O66*$F$4*$F$6,$I66*O66*$F$5*$F$7)</f>
        <v>63.333309338843392</v>
      </c>
      <c r="Q66" s="556">
        <f>+P66/J66</f>
        <v>37.92413732864874</v>
      </c>
      <c r="R66" s="557">
        <f>+$Q$4</f>
        <v>254.27556818181819</v>
      </c>
      <c r="S66" s="582">
        <f>+Q66*R66</f>
        <v>9643.1815670474589</v>
      </c>
      <c r="T66" s="555">
        <f>IF($F66="Prod",$I66*$O66*$G$4*$G$6,$I66*$O66*$G$5*$G$7)</f>
        <v>2.8339634668036169</v>
      </c>
      <c r="U66" s="559">
        <f>+$R$4</f>
        <v>154.50490219883392</v>
      </c>
      <c r="V66" s="582">
        <f>+T66*U66</f>
        <v>437.86124827356116</v>
      </c>
      <c r="W66" s="555">
        <f>IF($F66="Prod",$I66*$O66*$J$4*$J$6,$I66*$O66*$J$5*$J$7)</f>
        <v>1.1026197092673793</v>
      </c>
      <c r="X66" s="559">
        <f>$S$4</f>
        <v>37.9060089869281</v>
      </c>
      <c r="Y66" s="582">
        <f>+W66*X66</f>
        <v>41.795912608653332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15418.571424607379</v>
      </c>
      <c r="I68" s="553">
        <f>ITECountywide!$B$9*E68</f>
        <v>20.049119939245994</v>
      </c>
      <c r="J68" s="562">
        <f t="shared" ref="J68:J87" si="53">IF(F68="Prod",$M$3,$M$4)</f>
        <v>1.67</v>
      </c>
      <c r="K68" s="416">
        <f t="shared" ref="K68:K87" si="54">IF(F68="Prod",$F$4,$F$5)</f>
        <v>0.8872439567052266</v>
      </c>
      <c r="L68" s="554">
        <f>Passby_Length_Adj!H63</f>
        <v>1.3209364175632392</v>
      </c>
      <c r="M68" s="554">
        <f>Passby_Length_Adj!J63</f>
        <v>1</v>
      </c>
      <c r="N68" s="416">
        <v>0.5</v>
      </c>
      <c r="O68" s="546">
        <f t="shared" ref="O68:O87" si="55">L68*M68*N68</f>
        <v>0.6604682087816196</v>
      </c>
      <c r="P68" s="555">
        <f t="shared" ref="P68:P87" si="56">IF($F68="Prod",$I68*$O68*$F$4*$F$6,$I68*O68*$F$5*$F$7)</f>
        <v>96.465940023666306</v>
      </c>
      <c r="Q68" s="556">
        <f t="shared" ref="Q68:Q87" si="57">+P68/J68</f>
        <v>57.764035942315154</v>
      </c>
      <c r="R68" s="561">
        <f t="shared" ref="R68:R87" si="58">+$Q$4</f>
        <v>254.27556818181819</v>
      </c>
      <c r="S68" s="583">
        <f t="shared" ref="S68:S87" si="59">+Q68*R68</f>
        <v>14687.983059707154</v>
      </c>
      <c r="T68" s="555">
        <f t="shared" ref="T68:T87" si="60">IF($F68="Prod",$I68*$O68*$G$4*$G$6,$I68*$O68*$G$5*$G$7)</f>
        <v>4.3165429482818762</v>
      </c>
      <c r="U68" s="559">
        <f t="shared" ref="U68:U87" si="61">+$R$4</f>
        <v>154.50490219883392</v>
      </c>
      <c r="V68" s="582">
        <f t="shared" ref="V68:V87" si="62">+T68*U68</f>
        <v>666.92704606135749</v>
      </c>
      <c r="W68" s="555">
        <f t="shared" ref="W68:W87" si="63">IF($F68="Prod",$I68*$O68*$J$4*$J$6,$I68*$O68*$J$5*$J$7)</f>
        <v>1.6794519006424913</v>
      </c>
      <c r="X68" s="559">
        <f t="shared" ref="X68:X87" si="64">$S$4</f>
        <v>37.9060089869281</v>
      </c>
      <c r="Y68" s="582">
        <f t="shared" ref="Y68:Y87" si="65">+W68*X68</f>
        <v>63.66131883886775</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14918.6834589399</v>
      </c>
      <c r="I69" s="553">
        <f>ITECountywide!$B$9*E69</f>
        <v>19.399104220937762</v>
      </c>
      <c r="J69" s="562">
        <f t="shared" si="53"/>
        <v>1.67</v>
      </c>
      <c r="K69" s="416">
        <f t="shared" si="54"/>
        <v>0.8872439567052266</v>
      </c>
      <c r="L69" s="554">
        <f>Passby_Length_Adj!H64</f>
        <v>1.3209364175632392</v>
      </c>
      <c r="M69" s="554">
        <f>Passby_Length_Adj!J64</f>
        <v>1</v>
      </c>
      <c r="N69" s="416">
        <v>0.5</v>
      </c>
      <c r="O69" s="546">
        <f t="shared" si="55"/>
        <v>0.6604682087816196</v>
      </c>
      <c r="P69" s="555">
        <f t="shared" si="56"/>
        <v>93.338402381776149</v>
      </c>
      <c r="Q69" s="556">
        <f t="shared" si="57"/>
        <v>55.891258911243206</v>
      </c>
      <c r="R69" s="561">
        <f t="shared" si="58"/>
        <v>254.27556818181819</v>
      </c>
      <c r="S69" s="583">
        <f t="shared" si="59"/>
        <v>14211.781616053475</v>
      </c>
      <c r="T69" s="555">
        <f t="shared" si="60"/>
        <v>4.176595620237646</v>
      </c>
      <c r="U69" s="559">
        <f t="shared" si="61"/>
        <v>154.50490219883392</v>
      </c>
      <c r="V69" s="582">
        <f t="shared" si="62"/>
        <v>645.30449782889559</v>
      </c>
      <c r="W69" s="555">
        <f t="shared" si="63"/>
        <v>1.6250021224543068</v>
      </c>
      <c r="X69" s="559">
        <f t="shared" si="64"/>
        <v>37.9060089869281</v>
      </c>
      <c r="Y69" s="582">
        <f t="shared" si="65"/>
        <v>61.597345057530191</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14691.800986372062</v>
      </c>
      <c r="I70" s="553">
        <f>ITECountywide!$B$9*E70</f>
        <v>19.10408376934355</v>
      </c>
      <c r="J70" s="562">
        <f t="shared" si="53"/>
        <v>1.67</v>
      </c>
      <c r="K70" s="416">
        <f t="shared" si="54"/>
        <v>0.8872439567052266</v>
      </c>
      <c r="L70" s="554">
        <f>Passby_Length_Adj!H65</f>
        <v>1.3209364175632392</v>
      </c>
      <c r="M70" s="554">
        <f>Passby_Length_Adj!J65</f>
        <v>1</v>
      </c>
      <c r="N70" s="416">
        <v>0.5</v>
      </c>
      <c r="O70" s="546">
        <f t="shared" si="55"/>
        <v>0.6604682087816196</v>
      </c>
      <c r="P70" s="555">
        <f t="shared" si="56"/>
        <v>91.918917373183177</v>
      </c>
      <c r="Q70" s="556">
        <f t="shared" si="57"/>
        <v>55.041267888133639</v>
      </c>
      <c r="R70" s="561">
        <f t="shared" si="58"/>
        <v>254.27556818181819</v>
      </c>
      <c r="S70" s="583">
        <f t="shared" si="59"/>
        <v>13995.649665702846</v>
      </c>
      <c r="T70" s="555">
        <f t="shared" si="60"/>
        <v>4.1130781963413918</v>
      </c>
      <c r="U70" s="559">
        <f t="shared" si="61"/>
        <v>154.50490219883392</v>
      </c>
      <c r="V70" s="582">
        <f t="shared" si="62"/>
        <v>635.49074446188297</v>
      </c>
      <c r="W70" s="555">
        <f t="shared" si="63"/>
        <v>1.6002891844470666</v>
      </c>
      <c r="X70" s="559">
        <f t="shared" si="64"/>
        <v>37.9060089869281</v>
      </c>
      <c r="Y70" s="582">
        <f t="shared" si="65"/>
        <v>60.660576207334344</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14544.245470148593</v>
      </c>
      <c r="I71" s="553">
        <f>ITECountywide!$B$9*E71</f>
        <v>18.912213967596532</v>
      </c>
      <c r="J71" s="562">
        <f t="shared" si="53"/>
        <v>1.67</v>
      </c>
      <c r="K71" s="416">
        <f t="shared" si="54"/>
        <v>0.8872439567052266</v>
      </c>
      <c r="L71" s="554">
        <f>Passby_Length_Adj!H66</f>
        <v>1.3209364175632392</v>
      </c>
      <c r="M71" s="554">
        <f>Passby_Length_Adj!J66</f>
        <v>1</v>
      </c>
      <c r="N71" s="416">
        <v>0.5</v>
      </c>
      <c r="O71" s="546">
        <f t="shared" si="55"/>
        <v>0.6604682087816196</v>
      </c>
      <c r="P71" s="555">
        <f t="shared" si="56"/>
        <v>90.995739655469507</v>
      </c>
      <c r="Q71" s="556">
        <f t="shared" si="57"/>
        <v>54.488466859562578</v>
      </c>
      <c r="R71" s="561">
        <f t="shared" si="58"/>
        <v>254.27556818181819</v>
      </c>
      <c r="S71" s="583">
        <f t="shared" si="59"/>
        <v>13855.085870071445</v>
      </c>
      <c r="T71" s="555">
        <f t="shared" si="60"/>
        <v>4.0717689397640946</v>
      </c>
      <c r="U71" s="559">
        <f t="shared" si="61"/>
        <v>154.50490219883392</v>
      </c>
      <c r="V71" s="582">
        <f t="shared" si="62"/>
        <v>629.10826181450113</v>
      </c>
      <c r="W71" s="555">
        <f t="shared" si="63"/>
        <v>1.5842168528835674</v>
      </c>
      <c r="X71" s="559">
        <f t="shared" si="64"/>
        <v>37.9060089869281</v>
      </c>
      <c r="Y71" s="582">
        <f t="shared" si="65"/>
        <v>60.051338262647455</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14389.44809416042</v>
      </c>
      <c r="I72" s="553">
        <f>ITECountywide!$B$9*E72</f>
        <v>18.710927410496026</v>
      </c>
      <c r="J72" s="562">
        <f t="shared" si="53"/>
        <v>1.67</v>
      </c>
      <c r="K72" s="416">
        <f t="shared" si="54"/>
        <v>0.8872439567052266</v>
      </c>
      <c r="L72" s="554">
        <f>Passby_Length_Adj!H67</f>
        <v>1.3209364175632392</v>
      </c>
      <c r="M72" s="554">
        <f>Passby_Length_Adj!J67</f>
        <v>1</v>
      </c>
      <c r="N72" s="416">
        <v>0.5</v>
      </c>
      <c r="O72" s="546">
        <f t="shared" si="55"/>
        <v>0.6604682087816196</v>
      </c>
      <c r="P72" s="555">
        <f t="shared" si="56"/>
        <v>90.027253407511139</v>
      </c>
      <c r="Q72" s="556">
        <f t="shared" si="57"/>
        <v>53.908534974557568</v>
      </c>
      <c r="R72" s="561">
        <f t="shared" si="58"/>
        <v>254.27556818181819</v>
      </c>
      <c r="S72" s="583">
        <f t="shared" si="59"/>
        <v>13707.623360505044</v>
      </c>
      <c r="T72" s="555">
        <f t="shared" si="60"/>
        <v>4.0284322710589837</v>
      </c>
      <c r="U72" s="559">
        <f t="shared" si="61"/>
        <v>154.50490219883392</v>
      </c>
      <c r="V72" s="582">
        <f t="shared" si="62"/>
        <v>622.41253405459463</v>
      </c>
      <c r="W72" s="555">
        <f t="shared" si="63"/>
        <v>1.5673557092562855</v>
      </c>
      <c r="X72" s="559">
        <f t="shared" si="64"/>
        <v>37.9060089869281</v>
      </c>
      <c r="Y72" s="582">
        <f t="shared" si="65"/>
        <v>59.412199600781825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14244.929226550243</v>
      </c>
      <c r="I73" s="553">
        <f>ITECountywide!$B$9*E73</f>
        <v>18.523006232171017</v>
      </c>
      <c r="J73" s="562">
        <f t="shared" si="53"/>
        <v>1.67</v>
      </c>
      <c r="K73" s="416">
        <f t="shared" si="54"/>
        <v>0.8872439567052266</v>
      </c>
      <c r="L73" s="554">
        <f>Passby_Length_Adj!H68</f>
        <v>1.3209364175632392</v>
      </c>
      <c r="M73" s="554">
        <f>Passby_Length_Adj!J68</f>
        <v>1</v>
      </c>
      <c r="N73" s="416">
        <v>0.5</v>
      </c>
      <c r="O73" s="546">
        <f t="shared" si="55"/>
        <v>0.6604682087816196</v>
      </c>
      <c r="P73" s="555">
        <f t="shared" si="56"/>
        <v>89.123074412502419</v>
      </c>
      <c r="Q73" s="556">
        <f t="shared" si="57"/>
        <v>53.367110426648161</v>
      </c>
      <c r="R73" s="561">
        <f t="shared" si="58"/>
        <v>254.27556818181819</v>
      </c>
      <c r="S73" s="583">
        <f t="shared" si="59"/>
        <v>13569.952325957795</v>
      </c>
      <c r="T73" s="555">
        <f t="shared" si="60"/>
        <v>3.9879731466889523</v>
      </c>
      <c r="U73" s="559">
        <f t="shared" si="61"/>
        <v>154.50490219883392</v>
      </c>
      <c r="V73" s="582">
        <f t="shared" si="62"/>
        <v>616.16140100075256</v>
      </c>
      <c r="W73" s="555">
        <f t="shared" si="63"/>
        <v>1.5516141414934472</v>
      </c>
      <c r="X73" s="559">
        <f t="shared" si="64"/>
        <v>37.9060089869281</v>
      </c>
      <c r="Y73" s="582">
        <f t="shared" si="65"/>
        <v>58.815499591695342</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14137.934386248435</v>
      </c>
      <c r="I74" s="553">
        <f>ITECountywide!$B$9*E74</f>
        <v>18.383878402035741</v>
      </c>
      <c r="J74" s="562">
        <f t="shared" si="53"/>
        <v>1.67</v>
      </c>
      <c r="K74" s="416">
        <f t="shared" si="54"/>
        <v>0.8872439567052266</v>
      </c>
      <c r="L74" s="554">
        <f>Passby_Length_Adj!H69</f>
        <v>1.3209364175632392</v>
      </c>
      <c r="M74" s="554">
        <f>Passby_Length_Adj!J69</f>
        <v>1</v>
      </c>
      <c r="N74" s="416">
        <v>0.5</v>
      </c>
      <c r="O74" s="546">
        <f t="shared" si="55"/>
        <v>0.6604682087816196</v>
      </c>
      <c r="P74" s="555">
        <f t="shared" si="56"/>
        <v>88.453663637459826</v>
      </c>
      <c r="Q74" s="556">
        <f t="shared" si="57"/>
        <v>52.966265651173551</v>
      </c>
      <c r="R74" s="561">
        <f t="shared" si="58"/>
        <v>254.27556818181819</v>
      </c>
      <c r="S74" s="583">
        <f t="shared" si="59"/>
        <v>13468.027292921275</v>
      </c>
      <c r="T74" s="555">
        <f t="shared" si="60"/>
        <v>3.9580191509075906</v>
      </c>
      <c r="U74" s="559">
        <f t="shared" si="61"/>
        <v>154.50490219883392</v>
      </c>
      <c r="V74" s="582">
        <f t="shared" si="62"/>
        <v>611.53336181208897</v>
      </c>
      <c r="W74" s="555">
        <f t="shared" si="63"/>
        <v>1.5399598394861271</v>
      </c>
      <c r="X74" s="559">
        <f t="shared" si="64"/>
        <v>37.9060089869281</v>
      </c>
      <c r="Y74" s="582">
        <f t="shared" si="65"/>
        <v>58.373731515069487</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14053.077991632959</v>
      </c>
      <c r="I75" s="553">
        <f>ITECountywide!$B$9*E75</f>
        <v>18.273537697543336</v>
      </c>
      <c r="J75" s="562">
        <f t="shared" si="53"/>
        <v>1.67</v>
      </c>
      <c r="K75" s="416">
        <f t="shared" si="54"/>
        <v>0.8872439567052266</v>
      </c>
      <c r="L75" s="554">
        <f>Passby_Length_Adj!H70</f>
        <v>1.3209364175632392</v>
      </c>
      <c r="M75" s="554">
        <f>Passby_Length_Adj!J70</f>
        <v>1</v>
      </c>
      <c r="N75" s="416">
        <v>0.5</v>
      </c>
      <c r="O75" s="546">
        <f t="shared" si="55"/>
        <v>0.6604682087816196</v>
      </c>
      <c r="P75" s="555">
        <f t="shared" si="56"/>
        <v>87.922761542306134</v>
      </c>
      <c r="Q75" s="556">
        <f t="shared" si="57"/>
        <v>52.648360204973734</v>
      </c>
      <c r="R75" s="561">
        <f t="shared" si="58"/>
        <v>254.27556818181819</v>
      </c>
      <c r="S75" s="583">
        <f t="shared" si="59"/>
        <v>13387.191704960722</v>
      </c>
      <c r="T75" s="555">
        <f t="shared" si="60"/>
        <v>3.9342629765055008</v>
      </c>
      <c r="U75" s="559">
        <f t="shared" si="61"/>
        <v>154.50490219883392</v>
      </c>
      <c r="V75" s="582">
        <f t="shared" si="62"/>
        <v>607.86291640947559</v>
      </c>
      <c r="W75" s="555">
        <f t="shared" si="63"/>
        <v>1.530716944713711</v>
      </c>
      <c r="X75" s="559">
        <f t="shared" si="64"/>
        <v>37.9060089869281</v>
      </c>
      <c r="Y75" s="582">
        <f t="shared" si="65"/>
        <v>58.023370262761055</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13982.825455851696</v>
      </c>
      <c r="I76" s="553">
        <f>ITECountywide!$B$9*E76</f>
        <v>18.182186723634896</v>
      </c>
      <c r="J76" s="562">
        <f t="shared" si="53"/>
        <v>1.67</v>
      </c>
      <c r="K76" s="416">
        <f t="shared" si="54"/>
        <v>0.8872439567052266</v>
      </c>
      <c r="L76" s="554">
        <f>Passby_Length_Adj!H71</f>
        <v>1.3209364175632392</v>
      </c>
      <c r="M76" s="554">
        <f>Passby_Length_Adj!J71</f>
        <v>1</v>
      </c>
      <c r="N76" s="416">
        <v>0.5</v>
      </c>
      <c r="O76" s="546">
        <f t="shared" si="55"/>
        <v>0.6604682087816196</v>
      </c>
      <c r="P76" s="555">
        <f t="shared" si="56"/>
        <v>87.48322815645885</v>
      </c>
      <c r="Q76" s="556">
        <f t="shared" si="57"/>
        <v>52.385166560753802</v>
      </c>
      <c r="R76" s="561">
        <f t="shared" si="58"/>
        <v>254.27556818181819</v>
      </c>
      <c r="S76" s="583">
        <f t="shared" si="59"/>
        <v>13320.267991534856</v>
      </c>
      <c r="T76" s="555">
        <f t="shared" si="60"/>
        <v>3.914595260244734</v>
      </c>
      <c r="U76" s="559">
        <f t="shared" si="61"/>
        <v>154.50490219883392</v>
      </c>
      <c r="V76" s="582">
        <f t="shared" si="62"/>
        <v>604.82415783213139</v>
      </c>
      <c r="W76" s="555">
        <f t="shared" si="63"/>
        <v>1.5230647601180294</v>
      </c>
      <c r="X76" s="559">
        <f t="shared" si="64"/>
        <v>37.9060089869281</v>
      </c>
      <c r="Y76" s="582">
        <f t="shared" si="65"/>
        <v>57.733306484707512</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13895.994629225526</v>
      </c>
      <c r="I77" s="553">
        <f>ITECountywide!$B$9*E77</f>
        <v>18.069278620185472</v>
      </c>
      <c r="J77" s="562">
        <f t="shared" si="53"/>
        <v>1.67</v>
      </c>
      <c r="K77" s="416">
        <f t="shared" si="54"/>
        <v>0.8872439567052266</v>
      </c>
      <c r="L77" s="554">
        <f>Passby_Length_Adj!H72</f>
        <v>1.3209364175632392</v>
      </c>
      <c r="M77" s="554">
        <f>Passby_Length_Adj!J72</f>
        <v>1</v>
      </c>
      <c r="N77" s="416">
        <v>0.5</v>
      </c>
      <c r="O77" s="546">
        <f t="shared" si="55"/>
        <v>0.6604682087816196</v>
      </c>
      <c r="P77" s="555">
        <f t="shared" si="56"/>
        <v>86.939973072517859</v>
      </c>
      <c r="Q77" s="556">
        <f t="shared" si="57"/>
        <v>52.059864115280156</v>
      </c>
      <c r="R77" s="561">
        <f t="shared" si="58"/>
        <v>254.27556818181819</v>
      </c>
      <c r="S77" s="583">
        <f t="shared" si="59"/>
        <v>13237.551527381109</v>
      </c>
      <c r="T77" s="555">
        <f t="shared" si="60"/>
        <v>3.8902863290185583</v>
      </c>
      <c r="U77" s="559">
        <f t="shared" si="61"/>
        <v>154.50490219883392</v>
      </c>
      <c r="V77" s="582">
        <f t="shared" si="62"/>
        <v>601.068308790473</v>
      </c>
      <c r="W77" s="555">
        <f t="shared" si="63"/>
        <v>1.5136068023866835</v>
      </c>
      <c r="X77" s="559">
        <f t="shared" si="64"/>
        <v>37.9060089869281</v>
      </c>
      <c r="Y77" s="582">
        <f t="shared" si="65"/>
        <v>57.374793053945133</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22567.995221468904</v>
      </c>
      <c r="I78" s="553">
        <f>ITECountywide!$B$9*E78</f>
        <v>29.345678696370033</v>
      </c>
      <c r="J78" s="562">
        <f t="shared" si="53"/>
        <v>1.67</v>
      </c>
      <c r="K78" s="416">
        <f t="shared" si="54"/>
        <v>0.8872439567052266</v>
      </c>
      <c r="L78" s="554">
        <f>Passby_Length_Adj!H73</f>
        <v>1.3209364175632392</v>
      </c>
      <c r="M78" s="554">
        <f>Passby_Length_Adj!J73</f>
        <v>1</v>
      </c>
      <c r="N78" s="416">
        <v>0.5</v>
      </c>
      <c r="O78" s="546">
        <f t="shared" si="55"/>
        <v>0.6604682087816196</v>
      </c>
      <c r="P78" s="555">
        <f t="shared" si="56"/>
        <v>141.19614674639311</v>
      </c>
      <c r="Q78" s="556">
        <f t="shared" si="57"/>
        <v>84.548590866103666</v>
      </c>
      <c r="R78" s="561">
        <f t="shared" si="58"/>
        <v>254.27556818181819</v>
      </c>
      <c r="S78" s="583">
        <f t="shared" si="59"/>
        <v>21498.640981450593</v>
      </c>
      <c r="T78" s="555">
        <f t="shared" si="60"/>
        <v>6.3180769441855915</v>
      </c>
      <c r="U78" s="559">
        <f t="shared" si="61"/>
        <v>154.50490219883392</v>
      </c>
      <c r="V78" s="582">
        <f t="shared" si="62"/>
        <v>976.17386034610229</v>
      </c>
      <c r="W78" s="555">
        <f t="shared" si="63"/>
        <v>2.4581954724999271</v>
      </c>
      <c r="X78" s="559">
        <f t="shared" si="64"/>
        <v>37.9060089869281</v>
      </c>
      <c r="Y78" s="582">
        <f t="shared" si="65"/>
        <v>93.180379672208204</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11081.875355817034</v>
      </c>
      <c r="I79" s="553">
        <f>ITECountywide!$B$9*E79</f>
        <v>14.410015172090286</v>
      </c>
      <c r="J79" s="562">
        <f t="shared" si="53"/>
        <v>1.67</v>
      </c>
      <c r="K79" s="416">
        <f t="shared" si="54"/>
        <v>0.8872439567052266</v>
      </c>
      <c r="L79" s="554">
        <f>Passby_Length_Adj!H74</f>
        <v>1.3209364175632392</v>
      </c>
      <c r="M79" s="554">
        <f>Passby_Length_Adj!J74</f>
        <v>1</v>
      </c>
      <c r="N79" s="416">
        <v>0.5</v>
      </c>
      <c r="O79" s="546">
        <f t="shared" si="55"/>
        <v>0.6604682087816196</v>
      </c>
      <c r="P79" s="555">
        <f t="shared" si="56"/>
        <v>69.3335001009157</v>
      </c>
      <c r="Q79" s="556">
        <f t="shared" si="57"/>
        <v>41.517065928692034</v>
      </c>
      <c r="R79" s="561">
        <f t="shared" si="58"/>
        <v>254.27556818181819</v>
      </c>
      <c r="S79" s="583">
        <f t="shared" si="59"/>
        <v>10556.775528260172</v>
      </c>
      <c r="T79" s="555">
        <f t="shared" si="60"/>
        <v>3.1024528540009548</v>
      </c>
      <c r="U79" s="559">
        <f t="shared" si="61"/>
        <v>154.50490219883392</v>
      </c>
      <c r="V79" s="582">
        <f t="shared" si="62"/>
        <v>479.34417478391072</v>
      </c>
      <c r="W79" s="555">
        <f t="shared" si="63"/>
        <v>1.2070817792695752</v>
      </c>
      <c r="X79" s="559">
        <f t="shared" si="64"/>
        <v>37.9060089869281</v>
      </c>
      <c r="Y79" s="582">
        <f t="shared" si="65"/>
        <v>45.755652772949681</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15681.89908842033</v>
      </c>
      <c r="I80" s="553">
        <f>ITECountywide!$B$9*E80</f>
        <v>20.391530903901348</v>
      </c>
      <c r="J80" s="562">
        <f t="shared" si="53"/>
        <v>1.67</v>
      </c>
      <c r="K80" s="416">
        <f t="shared" si="54"/>
        <v>0.8872439567052266</v>
      </c>
      <c r="L80" s="554">
        <f>Passby_Length_Adj!H75</f>
        <v>1.3209364175632392</v>
      </c>
      <c r="M80" s="554">
        <f>Passby_Length_Adj!J75</f>
        <v>1</v>
      </c>
      <c r="N80" s="416">
        <v>0.5</v>
      </c>
      <c r="O80" s="546">
        <f t="shared" si="55"/>
        <v>0.6604682087816196</v>
      </c>
      <c r="P80" s="555">
        <f t="shared" si="56"/>
        <v>98.11344353903165</v>
      </c>
      <c r="Q80" s="556">
        <f t="shared" si="57"/>
        <v>58.750564993432128</v>
      </c>
      <c r="R80" s="561">
        <f t="shared" si="58"/>
        <v>254.27556818181819</v>
      </c>
      <c r="S80" s="583">
        <f t="shared" si="59"/>
        <v>14938.833294707792</v>
      </c>
      <c r="T80" s="555">
        <f t="shared" si="60"/>
        <v>4.3902634726428609</v>
      </c>
      <c r="U80" s="559">
        <f t="shared" si="61"/>
        <v>154.50490219883392</v>
      </c>
      <c r="V80" s="582">
        <f t="shared" si="62"/>
        <v>678.31722846779815</v>
      </c>
      <c r="W80" s="555">
        <f t="shared" si="63"/>
        <v>1.7081345933060024</v>
      </c>
      <c r="X80" s="559">
        <f t="shared" si="64"/>
        <v>37.9060089869281</v>
      </c>
      <c r="Y80" s="582">
        <f t="shared" si="65"/>
        <v>64.748565244740107</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14124.89124827396</v>
      </c>
      <c r="I81" s="553">
        <f>ITECountywide!$B$9*E81</f>
        <v>63.077802262734835</v>
      </c>
      <c r="J81" s="562">
        <f t="shared" si="53"/>
        <v>1.67</v>
      </c>
      <c r="K81" s="416">
        <f t="shared" si="54"/>
        <v>0.8872439567052266</v>
      </c>
      <c r="L81" s="554">
        <f>Passby_Length_Adj!H76</f>
        <v>0.3846286671810874</v>
      </c>
      <c r="M81" s="554">
        <f>Passby_Length_Adj!J76</f>
        <v>1</v>
      </c>
      <c r="N81" s="416">
        <v>0.5</v>
      </c>
      <c r="O81" s="546">
        <f t="shared" si="55"/>
        <v>0.1923143335905437</v>
      </c>
      <c r="P81" s="555">
        <f t="shared" si="56"/>
        <v>88.372059542572146</v>
      </c>
      <c r="Q81" s="556">
        <f t="shared" si="57"/>
        <v>52.917400923695901</v>
      </c>
      <c r="R81" s="561">
        <f t="shared" si="58"/>
        <v>254.27556818181819</v>
      </c>
      <c r="S81" s="583">
        <f t="shared" si="59"/>
        <v>13455.602186577846</v>
      </c>
      <c r="T81" s="555">
        <f t="shared" si="60"/>
        <v>3.9543676280980695</v>
      </c>
      <c r="U81" s="559">
        <f t="shared" si="61"/>
        <v>154.50490219883392</v>
      </c>
      <c r="V81" s="582">
        <f t="shared" si="62"/>
        <v>610.96918363752707</v>
      </c>
      <c r="W81" s="555">
        <f t="shared" si="63"/>
        <v>1.5385391292102961</v>
      </c>
      <c r="X81" s="559">
        <f t="shared" si="64"/>
        <v>37.9060089869281</v>
      </c>
      <c r="Y81" s="582">
        <f t="shared" si="65"/>
        <v>58.319878058586021</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31489.253369548016</v>
      </c>
      <c r="I82" s="553">
        <f>ITECountywide!$B$9*E82</f>
        <v>40.946194055033907</v>
      </c>
      <c r="J82" s="562">
        <f t="shared" si="53"/>
        <v>1.67</v>
      </c>
      <c r="K82" s="416">
        <f t="shared" si="54"/>
        <v>0.8872439567052266</v>
      </c>
      <c r="L82" s="554">
        <f>Passby_Length_Adj!H77</f>
        <v>1.3209364175632392</v>
      </c>
      <c r="M82" s="554">
        <f>Passby_Length_Adj!J77</f>
        <v>1</v>
      </c>
      <c r="N82" s="416">
        <v>0.5</v>
      </c>
      <c r="O82" s="546">
        <f t="shared" si="55"/>
        <v>0.6604682087816196</v>
      </c>
      <c r="P82" s="555">
        <f t="shared" si="56"/>
        <v>197.01179462637552</v>
      </c>
      <c r="Q82" s="556">
        <f t="shared" si="57"/>
        <v>117.97113450681169</v>
      </c>
      <c r="R82" s="561">
        <f t="shared" si="58"/>
        <v>254.27556818181819</v>
      </c>
      <c r="S82" s="583">
        <f t="shared" si="59"/>
        <v>29997.17725577324</v>
      </c>
      <c r="T82" s="555">
        <f t="shared" si="60"/>
        <v>8.8156490530668634</v>
      </c>
      <c r="U82" s="559">
        <f t="shared" si="61"/>
        <v>154.50490219883392</v>
      </c>
      <c r="V82" s="582">
        <f t="shared" si="62"/>
        <v>1362.0609947633386</v>
      </c>
      <c r="W82" s="555">
        <f t="shared" si="63"/>
        <v>3.4299342633584526</v>
      </c>
      <c r="X82" s="559">
        <f t="shared" si="64"/>
        <v>37.9060089869281</v>
      </c>
      <c r="Y82" s="582">
        <f t="shared" si="65"/>
        <v>130.01511901143812</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4550.000887734227</v>
      </c>
      <c r="I83" s="553">
        <f>ITECountywide!$B$9*E83</f>
        <v>20.319027682909702</v>
      </c>
      <c r="J83" s="562">
        <f t="shared" si="53"/>
        <v>1.67</v>
      </c>
      <c r="K83" s="416">
        <f t="shared" si="54"/>
        <v>0.8872439567052266</v>
      </c>
      <c r="L83" s="554">
        <f>Passby_Length_Adj!H78</f>
        <v>0.3846286671810874</v>
      </c>
      <c r="M83" s="554">
        <f>Passby_Length_Adj!J78</f>
        <v>1</v>
      </c>
      <c r="N83" s="416">
        <v>0.5</v>
      </c>
      <c r="O83" s="546">
        <f t="shared" si="55"/>
        <v>0.1923143335905437</v>
      </c>
      <c r="P83" s="555">
        <f t="shared" si="56"/>
        <v>28.466976651500978</v>
      </c>
      <c r="Q83" s="556">
        <f t="shared" si="57"/>
        <v>17.046093803293999</v>
      </c>
      <c r="R83" s="561">
        <f t="shared" si="58"/>
        <v>254.27556818181819</v>
      </c>
      <c r="S83" s="583">
        <f t="shared" si="59"/>
        <v>4334.4051871131514</v>
      </c>
      <c r="T83" s="555">
        <f t="shared" si="60"/>
        <v>1.2738063537637749</v>
      </c>
      <c r="U83" s="559">
        <f t="shared" si="61"/>
        <v>154.50490219883392</v>
      </c>
      <c r="V83" s="582">
        <f t="shared" si="62"/>
        <v>196.80932610852528</v>
      </c>
      <c r="W83" s="555">
        <f t="shared" si="63"/>
        <v>0.49560412754159261</v>
      </c>
      <c r="X83" s="559">
        <f t="shared" si="64"/>
        <v>37.9060089869281</v>
      </c>
      <c r="Y83" s="582">
        <f t="shared" si="65"/>
        <v>18.786374512550271</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47366.304979957582</v>
      </c>
      <c r="I84" s="553">
        <f>ITECountywide!$B$9*E84</f>
        <v>61.591486232406027</v>
      </c>
      <c r="J84" s="562">
        <f t="shared" si="53"/>
        <v>1.67</v>
      </c>
      <c r="K84" s="416">
        <f t="shared" si="54"/>
        <v>0.8872439567052266</v>
      </c>
      <c r="L84" s="554">
        <f>Passby_Length_Adj!H79</f>
        <v>1.3209364175632392</v>
      </c>
      <c r="M84" s="554">
        <f>Passby_Length_Adj!J79</f>
        <v>1</v>
      </c>
      <c r="N84" s="416">
        <v>0.5</v>
      </c>
      <c r="O84" s="546">
        <f t="shared" si="55"/>
        <v>0.6604682087816196</v>
      </c>
      <c r="P84" s="555">
        <f t="shared" si="56"/>
        <v>296.34620546278182</v>
      </c>
      <c r="Q84" s="556">
        <f t="shared" si="57"/>
        <v>177.45281764238433</v>
      </c>
      <c r="R84" s="561">
        <f t="shared" si="58"/>
        <v>254.27556818181819</v>
      </c>
      <c r="S84" s="583">
        <f t="shared" si="59"/>
        <v>45121.916031481844</v>
      </c>
      <c r="T84" s="555">
        <f t="shared" si="60"/>
        <v>13.260546915591501</v>
      </c>
      <c r="U84" s="559">
        <f t="shared" si="61"/>
        <v>154.50490219883392</v>
      </c>
      <c r="V84" s="582">
        <f t="shared" si="62"/>
        <v>2048.8195042965135</v>
      </c>
      <c r="W84" s="555">
        <f t="shared" si="63"/>
        <v>5.1593256427144851</v>
      </c>
      <c r="X84" s="559">
        <f t="shared" si="64"/>
        <v>37.9060089869281</v>
      </c>
      <c r="Y84" s="582">
        <f t="shared" si="65"/>
        <v>195.56944417922386</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15430.988703005603</v>
      </c>
      <c r="I85" s="553">
        <f>ITECountywide!$B$9*E85</f>
        <v>20.065266409438927</v>
      </c>
      <c r="J85" s="562">
        <f t="shared" si="53"/>
        <v>1.67</v>
      </c>
      <c r="K85" s="416">
        <f t="shared" si="54"/>
        <v>0.8872439567052266</v>
      </c>
      <c r="L85" s="554">
        <f>Passby_Length_Adj!H80</f>
        <v>1.3209364175632392</v>
      </c>
      <c r="M85" s="554">
        <f>Passby_Length_Adj!J80</f>
        <v>1</v>
      </c>
      <c r="N85" s="416">
        <v>0.5</v>
      </c>
      <c r="O85" s="546">
        <f t="shared" si="55"/>
        <v>0.6604682087816196</v>
      </c>
      <c r="P85" s="555">
        <f t="shared" si="56"/>
        <v>96.54362844240714</v>
      </c>
      <c r="Q85" s="556">
        <f t="shared" si="57"/>
        <v>57.810555953537211</v>
      </c>
      <c r="R85" s="557">
        <f t="shared" si="58"/>
        <v>254.27556818181819</v>
      </c>
      <c r="S85" s="582">
        <f t="shared" si="59"/>
        <v>14699.811961992466</v>
      </c>
      <c r="T85" s="555">
        <f t="shared" si="60"/>
        <v>4.3200192570805749</v>
      </c>
      <c r="U85" s="559">
        <f t="shared" si="61"/>
        <v>154.50490219883392</v>
      </c>
      <c r="V85" s="582">
        <f t="shared" si="62"/>
        <v>667.46415281231339</v>
      </c>
      <c r="W85" s="555">
        <f t="shared" si="63"/>
        <v>1.6808044398131063</v>
      </c>
      <c r="X85" s="559">
        <f t="shared" si="64"/>
        <v>37.9060089869281</v>
      </c>
      <c r="Y85" s="582">
        <f t="shared" si="65"/>
        <v>63.712588200824257</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15695.838554276705</v>
      </c>
      <c r="I86" s="553">
        <f>ITECountywide!$B$9*E86</f>
        <v>20.40965670914926</v>
      </c>
      <c r="J86" s="562">
        <f t="shared" si="53"/>
        <v>1.67</v>
      </c>
      <c r="K86" s="416">
        <f t="shared" si="54"/>
        <v>0.8872439567052266</v>
      </c>
      <c r="L86" s="554">
        <f>Passby_Length_Adj!H81</f>
        <v>1.3209364175632392</v>
      </c>
      <c r="M86" s="554">
        <f>Passby_Length_Adj!J81</f>
        <v>1</v>
      </c>
      <c r="N86" s="416">
        <v>0.5</v>
      </c>
      <c r="O86" s="546">
        <f t="shared" si="55"/>
        <v>0.6604682087816196</v>
      </c>
      <c r="P86" s="555">
        <f t="shared" si="56"/>
        <v>98.20065548884412</v>
      </c>
      <c r="Q86" s="556">
        <f t="shared" si="57"/>
        <v>58.802787717870736</v>
      </c>
      <c r="R86" s="561">
        <f t="shared" si="58"/>
        <v>254.27556818181819</v>
      </c>
      <c r="S86" s="583">
        <f t="shared" si="59"/>
        <v>14952.112257636421</v>
      </c>
      <c r="T86" s="555">
        <f t="shared" si="60"/>
        <v>4.3941659290629875</v>
      </c>
      <c r="U86" s="559">
        <f t="shared" si="61"/>
        <v>154.50490219883392</v>
      </c>
      <c r="V86" s="582">
        <f t="shared" si="62"/>
        <v>678.92017711532503</v>
      </c>
      <c r="W86" s="555">
        <f t="shared" si="63"/>
        <v>1.7096529351667189</v>
      </c>
      <c r="X86" s="559">
        <f t="shared" si="64"/>
        <v>37.9060089869281</v>
      </c>
      <c r="Y86" s="582">
        <f t="shared" si="65"/>
        <v>64.806119524957651</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17340.695525328789</v>
      </c>
      <c r="I87" s="553">
        <f>ITECountywide!$B$9*E87</f>
        <v>22.548501728402911</v>
      </c>
      <c r="J87" s="562">
        <f t="shared" si="53"/>
        <v>1.67</v>
      </c>
      <c r="K87" s="416">
        <f t="shared" si="54"/>
        <v>0.8872439567052266</v>
      </c>
      <c r="L87" s="554">
        <f>Passby_Length_Adj!H82</f>
        <v>1.3209364175632392</v>
      </c>
      <c r="M87" s="554">
        <f>Passby_Length_Adj!J82</f>
        <v>1</v>
      </c>
      <c r="N87" s="416">
        <v>0.5</v>
      </c>
      <c r="O87" s="546">
        <f t="shared" si="55"/>
        <v>0.6604682087816196</v>
      </c>
      <c r="P87" s="555">
        <f t="shared" si="56"/>
        <v>108.49166556671588</v>
      </c>
      <c r="Q87" s="556">
        <f t="shared" si="57"/>
        <v>64.965069201626278</v>
      </c>
      <c r="R87" s="561">
        <f t="shared" si="58"/>
        <v>254.27556818181819</v>
      </c>
      <c r="S87" s="583">
        <f t="shared" si="59"/>
        <v>16519.029883214658</v>
      </c>
      <c r="T87" s="555">
        <f t="shared" si="60"/>
        <v>4.8546557866379709</v>
      </c>
      <c r="U87" s="559">
        <f t="shared" si="61"/>
        <v>154.50490219883392</v>
      </c>
      <c r="V87" s="582">
        <f t="shared" si="62"/>
        <v>750.06811752350279</v>
      </c>
      <c r="W87" s="555">
        <f t="shared" si="63"/>
        <v>1.8888172747312593</v>
      </c>
      <c r="X87" s="559">
        <f t="shared" si="64"/>
        <v>37.9060089869281</v>
      </c>
      <c r="Y87" s="582">
        <f t="shared" si="65"/>
        <v>71.597524590628154</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8933.1571048509431</v>
      </c>
      <c r="I89" s="553">
        <f>ITECountywide!$B$9*E89</f>
        <v>32.717078472481724</v>
      </c>
      <c r="J89" s="562">
        <f t="shared" ref="J89:J126" si="67">IF(F89="Prod",$M$3,$M$4)</f>
        <v>1.67</v>
      </c>
      <c r="K89" s="416">
        <f t="shared" ref="K89:K126" si="68">IF(F89="Prod",$F$4,$F$5)</f>
        <v>0.8872439567052266</v>
      </c>
      <c r="L89" s="554">
        <f>Passby_Length_Adj!H84</f>
        <v>0.4689899613519371</v>
      </c>
      <c r="M89" s="554">
        <f>Passby_Length_Adj!J84</f>
        <v>1</v>
      </c>
      <c r="N89" s="416">
        <v>0.5</v>
      </c>
      <c r="O89" s="546">
        <f t="shared" ref="O89:O126" si="69">L89*M89*N89</f>
        <v>0.23449498067596855</v>
      </c>
      <c r="P89" s="555">
        <f t="shared" ref="P89:P126" si="70">IF($F89="Prod",$I89*$O89*$F$4*$F$6,$I89*O89*$F$5*$F$7)</f>
        <v>55.890093431303946</v>
      </c>
      <c r="Q89" s="556">
        <f t="shared" ref="Q89:Q126" si="71">+P89/J89</f>
        <v>33.467121815152062</v>
      </c>
      <c r="R89" s="561">
        <f t="shared" ref="R89:R126" si="72">+$Q$4</f>
        <v>254.27556818181819</v>
      </c>
      <c r="S89" s="583">
        <f t="shared" ref="S89:S126" si="73">+Q89*R89</f>
        <v>8509.8714149579137</v>
      </c>
      <c r="T89" s="555">
        <f t="shared" ref="T89:T126" si="74">IF($F89="Prod",$I89*$O89*$G$4*$G$6,$I89*$O89*$G$5*$G$7)</f>
        <v>2.5009033097124558</v>
      </c>
      <c r="U89" s="559">
        <f t="shared" ref="U89:U126" si="75">+$R$4</f>
        <v>154.50490219883392</v>
      </c>
      <c r="V89" s="582">
        <f t="shared" ref="V89:V126" si="76">+T89*U89</f>
        <v>386.40182127586303</v>
      </c>
      <c r="W89" s="555">
        <f t="shared" ref="W89:W126" si="77">IF($F89="Prod",$I89*$O89*$J$4*$J$6,$I89*$O89*$J$5*$J$7)</f>
        <v>0.973034872383576</v>
      </c>
      <c r="X89" s="559">
        <f t="shared" ref="X89:X126" si="78">$S$4</f>
        <v>37.9060089869281</v>
      </c>
      <c r="Y89" s="582">
        <f t="shared" ref="Y89:Y126" si="79">+W89*X89</f>
        <v>36.883868617166272</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25092.025773736437</v>
      </c>
      <c r="I90" s="553">
        <f>ITECountywide!$B$9*E90</f>
        <v>91.897832606915415</v>
      </c>
      <c r="J90" s="562">
        <f t="shared" si="67"/>
        <v>1.67</v>
      </c>
      <c r="K90" s="416">
        <f t="shared" si="68"/>
        <v>0.8872439567052266</v>
      </c>
      <c r="L90" s="554">
        <f>Passby_Length_Adj!H85</f>
        <v>0.4689899613519371</v>
      </c>
      <c r="M90" s="554">
        <f>Passby_Length_Adj!J85</f>
        <v>1</v>
      </c>
      <c r="N90" s="416">
        <v>0.5</v>
      </c>
      <c r="O90" s="546">
        <f t="shared" si="69"/>
        <v>0.23449498067596855</v>
      </c>
      <c r="P90" s="555">
        <f t="shared" si="70"/>
        <v>156.98768625856562</v>
      </c>
      <c r="Q90" s="556">
        <f t="shared" si="71"/>
        <v>94.004602550039294</v>
      </c>
      <c r="R90" s="561">
        <f t="shared" si="72"/>
        <v>254.27556818181819</v>
      </c>
      <c r="S90" s="583">
        <f t="shared" si="73"/>
        <v>23903.073725117236</v>
      </c>
      <c r="T90" s="555">
        <f t="shared" si="74"/>
        <v>7.0246979391923263</v>
      </c>
      <c r="U90" s="559">
        <f t="shared" si="75"/>
        <v>154.50490219883392</v>
      </c>
      <c r="V90" s="582">
        <f t="shared" si="76"/>
        <v>1085.3502680712606</v>
      </c>
      <c r="W90" s="555">
        <f t="shared" si="77"/>
        <v>2.733122882540016</v>
      </c>
      <c r="X90" s="559">
        <f t="shared" si="78"/>
        <v>37.9060089869281</v>
      </c>
      <c r="Y90" s="582">
        <f t="shared" si="79"/>
        <v>103.60178054794068</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4523.4934037860176</v>
      </c>
      <c r="I91" s="553">
        <f>ITECountywide!$B$9*E91</f>
        <v>16.566985996591853</v>
      </c>
      <c r="J91" s="562">
        <f t="shared" si="67"/>
        <v>1.67</v>
      </c>
      <c r="K91" s="416">
        <f t="shared" si="68"/>
        <v>0.8872439567052266</v>
      </c>
      <c r="L91" s="554">
        <f>Passby_Length_Adj!H86</f>
        <v>0.4689899613519371</v>
      </c>
      <c r="M91" s="554">
        <f>Passby_Length_Adj!J86</f>
        <v>1</v>
      </c>
      <c r="N91" s="416">
        <v>0.5</v>
      </c>
      <c r="O91" s="546">
        <f t="shared" si="69"/>
        <v>0.23449498067596855</v>
      </c>
      <c r="P91" s="555">
        <f t="shared" si="70"/>
        <v>28.301133183496852</v>
      </c>
      <c r="Q91" s="556">
        <f t="shared" si="71"/>
        <v>16.946786337423266</v>
      </c>
      <c r="R91" s="561">
        <f t="shared" si="72"/>
        <v>254.27556818181819</v>
      </c>
      <c r="S91" s="583">
        <f t="shared" si="73"/>
        <v>4309.1537248041741</v>
      </c>
      <c r="T91" s="555">
        <f t="shared" si="74"/>
        <v>1.2663853878543958</v>
      </c>
      <c r="U91" s="559">
        <f t="shared" si="75"/>
        <v>154.50490219883392</v>
      </c>
      <c r="V91" s="582">
        <f t="shared" si="76"/>
        <v>195.66275049647578</v>
      </c>
      <c r="W91" s="555">
        <f t="shared" si="77"/>
        <v>0.49271682734547839</v>
      </c>
      <c r="X91" s="559">
        <f t="shared" si="78"/>
        <v>37.9060089869281</v>
      </c>
      <c r="Y91" s="582">
        <f t="shared" si="79"/>
        <v>18.676928485368403</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33703.490240462561</v>
      </c>
      <c r="I92" s="553">
        <f>ITECountywide!$B$9*E92</f>
        <v>123.43673373828283</v>
      </c>
      <c r="J92" s="562">
        <f t="shared" si="67"/>
        <v>1.67</v>
      </c>
      <c r="K92" s="416">
        <f t="shared" si="68"/>
        <v>0.8872439567052266</v>
      </c>
      <c r="L92" s="554">
        <f>Passby_Length_Adj!H87</f>
        <v>0.4689899613519371</v>
      </c>
      <c r="M92" s="554">
        <f>Passby_Length_Adj!J87</f>
        <v>1</v>
      </c>
      <c r="N92" s="416">
        <v>0.5</v>
      </c>
      <c r="O92" s="546">
        <f t="shared" si="69"/>
        <v>0.23449498067596855</v>
      </c>
      <c r="P92" s="555">
        <f t="shared" si="70"/>
        <v>210.86511704552902</v>
      </c>
      <c r="Q92" s="556">
        <f t="shared" si="71"/>
        <v>126.2665371530114</v>
      </c>
      <c r="R92" s="561">
        <f t="shared" si="72"/>
        <v>254.27556818181819</v>
      </c>
      <c r="S92" s="583">
        <f t="shared" si="73"/>
        <v>32106.495476932629</v>
      </c>
      <c r="T92" s="555">
        <f t="shared" si="74"/>
        <v>9.435541018915135</v>
      </c>
      <c r="U92" s="559">
        <f t="shared" si="75"/>
        <v>154.50490219883392</v>
      </c>
      <c r="V92" s="582">
        <f t="shared" si="76"/>
        <v>1457.8373423205687</v>
      </c>
      <c r="W92" s="555">
        <f t="shared" si="77"/>
        <v>3.6711177179679511</v>
      </c>
      <c r="X92" s="559">
        <f t="shared" si="78"/>
        <v>37.9060089869281</v>
      </c>
      <c r="Y92" s="582">
        <f t="shared" si="79"/>
        <v>139.15742120936414</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18682.918598787983</v>
      </c>
      <c r="I93" s="553">
        <f>ITECountywide!$B$9*E93</f>
        <v>68.42491481086897</v>
      </c>
      <c r="J93" s="562">
        <f t="shared" si="67"/>
        <v>1.67</v>
      </c>
      <c r="K93" s="416">
        <f t="shared" si="68"/>
        <v>0.8872439567052266</v>
      </c>
      <c r="L93" s="554">
        <f>Passby_Length_Adj!H88</f>
        <v>0.4689899613519371</v>
      </c>
      <c r="M93" s="554">
        <f>Passby_Length_Adj!J88</f>
        <v>1</v>
      </c>
      <c r="N93" s="416">
        <v>0.5</v>
      </c>
      <c r="O93" s="546">
        <f t="shared" si="69"/>
        <v>0.23449498067596855</v>
      </c>
      <c r="P93" s="555">
        <f t="shared" si="70"/>
        <v>116.88925357516476</v>
      </c>
      <c r="Q93" s="556">
        <f t="shared" si="71"/>
        <v>69.993565015068725</v>
      </c>
      <c r="R93" s="561">
        <f t="shared" si="72"/>
        <v>254.27556818181819</v>
      </c>
      <c r="S93" s="583">
        <f t="shared" si="73"/>
        <v>17797.653513277633</v>
      </c>
      <c r="T93" s="555">
        <f t="shared" si="74"/>
        <v>5.2304210493986254</v>
      </c>
      <c r="U93" s="559">
        <f t="shared" si="75"/>
        <v>154.50490219883392</v>
      </c>
      <c r="V93" s="582">
        <f t="shared" si="76"/>
        <v>808.12569269605683</v>
      </c>
      <c r="W93" s="555">
        <f t="shared" si="77"/>
        <v>2.0350175308853182</v>
      </c>
      <c r="X93" s="559">
        <f t="shared" si="78"/>
        <v>37.9060089869281</v>
      </c>
      <c r="Y93" s="582">
        <f t="shared" si="79"/>
        <v>77.139392814295107</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18134.814770774665</v>
      </c>
      <c r="I94" s="553">
        <f>ITECountywide!$B$9*E94</f>
        <v>284.21511603055654</v>
      </c>
      <c r="J94" s="562">
        <f t="shared" si="67"/>
        <v>1.67</v>
      </c>
      <c r="K94" s="416">
        <f t="shared" si="68"/>
        <v>0.8872439567052266</v>
      </c>
      <c r="L94" s="554">
        <f>Passby_Length_Adj!H89</f>
        <v>0.3846286671810874</v>
      </c>
      <c r="M94" s="554">
        <f>Passby_Length_Adj!J89</f>
        <v>0.28494260634706281</v>
      </c>
      <c r="N94" s="416">
        <v>0.5</v>
      </c>
      <c r="O94" s="546">
        <f t="shared" si="69"/>
        <v>5.4798547451188014E-2</v>
      </c>
      <c r="P94" s="555">
        <f t="shared" si="70"/>
        <v>113.46005449155246</v>
      </c>
      <c r="Q94" s="556">
        <f t="shared" si="71"/>
        <v>67.940152390151169</v>
      </c>
      <c r="R94" s="561">
        <f t="shared" si="72"/>
        <v>254.27556818181819</v>
      </c>
      <c r="S94" s="583">
        <f t="shared" si="73"/>
        <v>17275.520851365003</v>
      </c>
      <c r="T94" s="555">
        <f t="shared" si="74"/>
        <v>5.0769753345795934</v>
      </c>
      <c r="U94" s="559">
        <f t="shared" si="75"/>
        <v>154.50490219883392</v>
      </c>
      <c r="V94" s="582">
        <f t="shared" si="76"/>
        <v>784.41757753511217</v>
      </c>
      <c r="W94" s="555">
        <f t="shared" si="77"/>
        <v>1.9753158898994814</v>
      </c>
      <c r="X94" s="559">
        <f t="shared" si="78"/>
        <v>37.9060089869281</v>
      </c>
      <c r="Y94" s="582">
        <f t="shared" si="79"/>
        <v>74.876341874551613</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9679.56194373373</v>
      </c>
      <c r="I95" s="553">
        <f>ITECountywide!$B$9*E95</f>
        <v>160.19124330117839</v>
      </c>
      <c r="J95" s="562">
        <f t="shared" si="67"/>
        <v>1.67</v>
      </c>
      <c r="K95" s="416">
        <f t="shared" si="68"/>
        <v>0.8872439567052266</v>
      </c>
      <c r="L95" s="554">
        <f>Passby_Length_Adj!H90</f>
        <v>0.3846286671810874</v>
      </c>
      <c r="M95" s="554">
        <f>Passby_Length_Adj!J90</f>
        <v>0.26984126984126988</v>
      </c>
      <c r="N95" s="416">
        <v>0.5</v>
      </c>
      <c r="O95" s="546">
        <f t="shared" si="69"/>
        <v>5.1894343984749895E-2</v>
      </c>
      <c r="P95" s="555">
        <f t="shared" si="70"/>
        <v>60.559958261072047</v>
      </c>
      <c r="Q95" s="556">
        <f t="shared" si="71"/>
        <v>36.263448060522187</v>
      </c>
      <c r="R95" s="561">
        <f t="shared" si="72"/>
        <v>254.27556818181819</v>
      </c>
      <c r="S95" s="583">
        <f t="shared" si="73"/>
        <v>9220.908859821131</v>
      </c>
      <c r="T95" s="555">
        <f t="shared" si="74"/>
        <v>2.7098648571292925</v>
      </c>
      <c r="U95" s="559">
        <f t="shared" si="75"/>
        <v>154.50490219883392</v>
      </c>
      <c r="V95" s="582">
        <f t="shared" si="76"/>
        <v>418.68740472281837</v>
      </c>
      <c r="W95" s="555">
        <f t="shared" si="77"/>
        <v>1.0543362453051841</v>
      </c>
      <c r="X95" s="559">
        <f t="shared" si="78"/>
        <v>37.9060089869281</v>
      </c>
      <c r="Y95" s="582">
        <f t="shared" si="79"/>
        <v>39.965679189782335</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648">
        <f t="shared" si="66"/>
        <v>7219.6293304809205</v>
      </c>
      <c r="I96" s="553">
        <f>ITECountywide!$B$9*E96</f>
        <v>119.48075804939616</v>
      </c>
      <c r="J96" s="562">
        <f t="shared" si="67"/>
        <v>1.67</v>
      </c>
      <c r="K96" s="416">
        <f t="shared" si="68"/>
        <v>0.8872439567052266</v>
      </c>
      <c r="L96" s="554">
        <f>Passby_Length_Adj!H91</f>
        <v>0.3846286671810874</v>
      </c>
      <c r="M96" s="554">
        <f>Passby_Length_Adj!J91</f>
        <v>0.26984126984126988</v>
      </c>
      <c r="N96" s="416">
        <v>0.5</v>
      </c>
      <c r="O96" s="546">
        <f t="shared" si="69"/>
        <v>5.1894343984749895E-2</v>
      </c>
      <c r="P96" s="555">
        <f t="shared" si="70"/>
        <v>45.1694460406217</v>
      </c>
      <c r="Q96" s="556">
        <f t="shared" si="71"/>
        <v>27.047572479414193</v>
      </c>
      <c r="R96" s="561">
        <f t="shared" si="72"/>
        <v>254.27556818181819</v>
      </c>
      <c r="S96" s="583">
        <f t="shared" si="73"/>
        <v>6877.5368601419523</v>
      </c>
      <c r="T96" s="555">
        <f t="shared" si="74"/>
        <v>2.0211885535621201</v>
      </c>
      <c r="U96" s="559">
        <f t="shared" si="75"/>
        <v>154.50490219883392</v>
      </c>
      <c r="V96" s="582">
        <f t="shared" si="76"/>
        <v>312.28353979351795</v>
      </c>
      <c r="W96" s="555">
        <f t="shared" si="77"/>
        <v>0.78639063679138577</v>
      </c>
      <c r="X96" s="559">
        <f t="shared" si="78"/>
        <v>37.9060089869281</v>
      </c>
      <c r="Y96" s="582">
        <f t="shared" si="79"/>
        <v>29.80893054545038</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26133.575172508503</v>
      </c>
      <c r="I97" s="553">
        <f>ITECountywide!$B$9*E97</f>
        <v>95.712436224945051</v>
      </c>
      <c r="J97" s="562">
        <f t="shared" si="67"/>
        <v>1.67</v>
      </c>
      <c r="K97" s="416">
        <f t="shared" si="68"/>
        <v>0.8872439567052266</v>
      </c>
      <c r="L97" s="554">
        <f>Passby_Length_Adj!H92</f>
        <v>0.4689899613519371</v>
      </c>
      <c r="M97" s="554">
        <f>Passby_Length_Adj!J92</f>
        <v>1</v>
      </c>
      <c r="N97" s="416">
        <v>0.5</v>
      </c>
      <c r="O97" s="546">
        <f t="shared" si="69"/>
        <v>0.23449498067596855</v>
      </c>
      <c r="P97" s="555">
        <f t="shared" si="70"/>
        <v>163.50411628743842</v>
      </c>
      <c r="Q97" s="556">
        <f t="shared" si="71"/>
        <v>97.906656459543967</v>
      </c>
      <c r="R97" s="561">
        <f t="shared" si="72"/>
        <v>254.27556818181819</v>
      </c>
      <c r="S97" s="583">
        <f t="shared" si="73"/>
        <v>24895.270700032623</v>
      </c>
      <c r="T97" s="555">
        <f t="shared" si="74"/>
        <v>7.3162873860188657</v>
      </c>
      <c r="U97" s="559">
        <f t="shared" si="75"/>
        <v>154.50490219883392</v>
      </c>
      <c r="V97" s="582">
        <f t="shared" si="76"/>
        <v>1130.402267035407</v>
      </c>
      <c r="W97" s="555">
        <f t="shared" si="77"/>
        <v>2.8465725705305056</v>
      </c>
      <c r="X97" s="559">
        <f t="shared" si="78"/>
        <v>37.9060089869281</v>
      </c>
      <c r="Y97" s="582">
        <f t="shared" si="79"/>
        <v>107.90220544047237</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22192.551023502307</v>
      </c>
      <c r="I98" s="553">
        <f>ITECountywide!$B$9*E98</f>
        <v>81.278704137667205</v>
      </c>
      <c r="J98" s="562">
        <f t="shared" si="67"/>
        <v>1.67</v>
      </c>
      <c r="K98" s="416">
        <f t="shared" si="68"/>
        <v>0.8872439567052266</v>
      </c>
      <c r="L98" s="554">
        <f>Passby_Length_Adj!H93</f>
        <v>0.4689899613519371</v>
      </c>
      <c r="M98" s="554">
        <f>Passby_Length_Adj!J93</f>
        <v>1</v>
      </c>
      <c r="N98" s="416">
        <v>0.5</v>
      </c>
      <c r="O98" s="546">
        <f t="shared" si="69"/>
        <v>0.23449498067596855</v>
      </c>
      <c r="P98" s="555">
        <f t="shared" si="70"/>
        <v>138.8471886953588</v>
      </c>
      <c r="Q98" s="556">
        <f t="shared" si="71"/>
        <v>83.142029158897486</v>
      </c>
      <c r="R98" s="557">
        <f t="shared" si="72"/>
        <v>254.27556818181819</v>
      </c>
      <c r="S98" s="582">
        <f t="shared" si="73"/>
        <v>21140.986704167954</v>
      </c>
      <c r="T98" s="555">
        <f t="shared" si="74"/>
        <v>6.2129685680217914</v>
      </c>
      <c r="U98" s="559">
        <f t="shared" si="75"/>
        <v>154.50490219883392</v>
      </c>
      <c r="V98" s="582">
        <f t="shared" si="76"/>
        <v>959.93410096663615</v>
      </c>
      <c r="W98" s="555">
        <f t="shared" si="77"/>
        <v>2.4173006026383859</v>
      </c>
      <c r="X98" s="559">
        <f t="shared" si="78"/>
        <v>37.9060089869281</v>
      </c>
      <c r="Y98" s="582">
        <f t="shared" si="79"/>
        <v>91.630218367717362</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19927.19889877925</v>
      </c>
      <c r="I99" s="553">
        <f>ITECountywide!$B$9*E99</f>
        <v>72.982006524219813</v>
      </c>
      <c r="J99" s="562">
        <f t="shared" si="67"/>
        <v>1.67</v>
      </c>
      <c r="K99" s="416">
        <f t="shared" si="68"/>
        <v>0.8872439567052266</v>
      </c>
      <c r="L99" s="554">
        <f>Passby_Length_Adj!H94</f>
        <v>0.4689899613519371</v>
      </c>
      <c r="M99" s="554">
        <f>Passby_Length_Adj!J94</f>
        <v>1</v>
      </c>
      <c r="N99" s="416">
        <v>0.5</v>
      </c>
      <c r="O99" s="546">
        <f t="shared" si="69"/>
        <v>0.23449498067596855</v>
      </c>
      <c r="P99" s="555">
        <f t="shared" si="70"/>
        <v>124.67406485800667</v>
      </c>
      <c r="Q99" s="556">
        <f t="shared" si="71"/>
        <v>74.65512865748903</v>
      </c>
      <c r="R99" s="561">
        <f t="shared" si="72"/>
        <v>254.27556818181819</v>
      </c>
      <c r="S99" s="583">
        <f t="shared" si="73"/>
        <v>18982.97525706976</v>
      </c>
      <c r="T99" s="555">
        <f t="shared" si="74"/>
        <v>5.5787665093445131</v>
      </c>
      <c r="U99" s="559">
        <f t="shared" si="75"/>
        <v>154.50490219883392</v>
      </c>
      <c r="V99" s="582">
        <f t="shared" si="76"/>
        <v>861.94677391640414</v>
      </c>
      <c r="W99" s="555">
        <f t="shared" si="77"/>
        <v>2.1705494720233447</v>
      </c>
      <c r="X99" s="559">
        <f t="shared" si="78"/>
        <v>37.9060089869281</v>
      </c>
      <c r="Y99" s="582">
        <f t="shared" si="79"/>
        <v>82.27686779308894</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18387.387365767456</v>
      </c>
      <c r="I100" s="553">
        <f>ITECountywide!$B$9*E100</f>
        <v>67.342551831206222</v>
      </c>
      <c r="J100" s="562">
        <f t="shared" si="67"/>
        <v>1.67</v>
      </c>
      <c r="K100" s="416">
        <f t="shared" si="68"/>
        <v>0.8872439567052266</v>
      </c>
      <c r="L100" s="554">
        <f>Passby_Length_Adj!H95</f>
        <v>0.4689899613519371</v>
      </c>
      <c r="M100" s="554">
        <f>Passby_Length_Adj!J95</f>
        <v>1</v>
      </c>
      <c r="N100" s="416">
        <v>0.5</v>
      </c>
      <c r="O100" s="546">
        <f t="shared" si="69"/>
        <v>0.23449498067596855</v>
      </c>
      <c r="P100" s="555">
        <f t="shared" si="70"/>
        <v>115.04026916444434</v>
      </c>
      <c r="Q100" s="556">
        <f t="shared" si="71"/>
        <v>68.886388721224165</v>
      </c>
      <c r="R100" s="561">
        <f t="shared" si="72"/>
        <v>254.27556818181819</v>
      </c>
      <c r="S100" s="583">
        <f t="shared" si="73"/>
        <v>17516.125632082865</v>
      </c>
      <c r="T100" s="555">
        <f t="shared" si="74"/>
        <v>5.147684897989949</v>
      </c>
      <c r="U100" s="559">
        <f t="shared" si="75"/>
        <v>154.50490219883392</v>
      </c>
      <c r="V100" s="582">
        <f t="shared" si="76"/>
        <v>795.34255171435143</v>
      </c>
      <c r="W100" s="555">
        <f t="shared" si="77"/>
        <v>2.0028270978466627</v>
      </c>
      <c r="X100" s="559">
        <f t="shared" si="78"/>
        <v>37.9060089869281</v>
      </c>
      <c r="Y100" s="582">
        <f t="shared" si="79"/>
        <v>75.919181970238725</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17243.759980519193</v>
      </c>
      <c r="I101" s="553">
        <f>ITECountywide!$B$9*E101</f>
        <v>63.154094551514092</v>
      </c>
      <c r="J101" s="562">
        <f t="shared" si="67"/>
        <v>1.67</v>
      </c>
      <c r="K101" s="416">
        <f t="shared" si="68"/>
        <v>0.8872439567052266</v>
      </c>
      <c r="L101" s="554">
        <f>Passby_Length_Adj!H96</f>
        <v>0.4689899613519371</v>
      </c>
      <c r="M101" s="554">
        <f>Passby_Length_Adj!J96</f>
        <v>1</v>
      </c>
      <c r="N101" s="416">
        <v>0.5</v>
      </c>
      <c r="O101" s="546">
        <f t="shared" si="69"/>
        <v>0.23449498067596855</v>
      </c>
      <c r="P101" s="555">
        <f t="shared" si="70"/>
        <v>107.88519054420892</v>
      </c>
      <c r="Q101" s="556">
        <f t="shared" si="71"/>
        <v>64.601910505514326</v>
      </c>
      <c r="R101" s="561">
        <f t="shared" si="72"/>
        <v>254.27556818181819</v>
      </c>
      <c r="S101" s="583">
        <f t="shared" si="73"/>
        <v>16426.687499420623</v>
      </c>
      <c r="T101" s="555">
        <f t="shared" si="74"/>
        <v>4.8275179649252582</v>
      </c>
      <c r="U101" s="559">
        <f t="shared" si="75"/>
        <v>154.50490219883392</v>
      </c>
      <c r="V101" s="582">
        <f t="shared" si="76"/>
        <v>745.87519103389081</v>
      </c>
      <c r="W101" s="555">
        <f t="shared" si="77"/>
        <v>1.8782586710521616</v>
      </c>
      <c r="X101" s="559">
        <f t="shared" si="78"/>
        <v>37.9060089869281</v>
      </c>
      <c r="Y101" s="582">
        <f t="shared" si="79"/>
        <v>71.197290064678867</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15963.078782549152</v>
      </c>
      <c r="I102" s="553">
        <f>ITECountywide!$B$9*E102</f>
        <v>58.463687032601783</v>
      </c>
      <c r="J102" s="562">
        <f t="shared" si="67"/>
        <v>1.67</v>
      </c>
      <c r="K102" s="416">
        <f t="shared" si="68"/>
        <v>0.8872439567052266</v>
      </c>
      <c r="L102" s="554">
        <f>Passby_Length_Adj!H97</f>
        <v>0.4689899613519371</v>
      </c>
      <c r="M102" s="554">
        <f>Passby_Length_Adj!J97</f>
        <v>1</v>
      </c>
      <c r="N102" s="416">
        <v>0.5</v>
      </c>
      <c r="O102" s="546">
        <f t="shared" si="69"/>
        <v>0.23449498067596855</v>
      </c>
      <c r="P102" s="555">
        <f t="shared" si="70"/>
        <v>99.872637874404035</v>
      </c>
      <c r="Q102" s="556">
        <f t="shared" si="71"/>
        <v>59.803974775092236</v>
      </c>
      <c r="R102" s="561">
        <f t="shared" si="72"/>
        <v>254.27556818181819</v>
      </c>
      <c r="S102" s="583">
        <f t="shared" si="73"/>
        <v>15206.6896654677</v>
      </c>
      <c r="T102" s="555">
        <f t="shared" si="74"/>
        <v>4.4689818047416932</v>
      </c>
      <c r="U102" s="559">
        <f t="shared" si="75"/>
        <v>154.50490219883392</v>
      </c>
      <c r="V102" s="582">
        <f t="shared" si="76"/>
        <v>690.47959666998361</v>
      </c>
      <c r="W102" s="555">
        <f t="shared" si="77"/>
        <v>1.7387617998559599</v>
      </c>
      <c r="X102" s="559">
        <f t="shared" si="78"/>
        <v>37.9060089869281</v>
      </c>
      <c r="Y102" s="582">
        <f t="shared" si="79"/>
        <v>65.909520411467298</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14729.582146288305</v>
      </c>
      <c r="I103" s="553">
        <f>ITECountywide!$B$9*E103</f>
        <v>53.946089751997178</v>
      </c>
      <c r="J103" s="562">
        <f t="shared" si="67"/>
        <v>1.67</v>
      </c>
      <c r="K103" s="416">
        <f t="shared" si="68"/>
        <v>0.8872439567052266</v>
      </c>
      <c r="L103" s="554">
        <f>Passby_Length_Adj!H98</f>
        <v>0.4689899613519371</v>
      </c>
      <c r="M103" s="554">
        <f>Passby_Length_Adj!J98</f>
        <v>1</v>
      </c>
      <c r="N103" s="416">
        <v>0.5</v>
      </c>
      <c r="O103" s="546">
        <f t="shared" si="69"/>
        <v>0.23449498067596855</v>
      </c>
      <c r="P103" s="555">
        <f t="shared" si="70"/>
        <v>92.155294337438647</v>
      </c>
      <c r="Q103" s="556">
        <f t="shared" si="71"/>
        <v>55.18281098050219</v>
      </c>
      <c r="R103" s="561">
        <f t="shared" si="72"/>
        <v>254.27556818181819</v>
      </c>
      <c r="S103" s="583">
        <f t="shared" si="73"/>
        <v>14031.640615937069</v>
      </c>
      <c r="T103" s="555">
        <f t="shared" si="74"/>
        <v>4.1236553111027563</v>
      </c>
      <c r="U103" s="559">
        <f t="shared" si="75"/>
        <v>154.50490219883392</v>
      </c>
      <c r="V103" s="582">
        <f t="shared" si="76"/>
        <v>637.12496054363339</v>
      </c>
      <c r="W103" s="555">
        <f t="shared" si="77"/>
        <v>1.604404458105205</v>
      </c>
      <c r="X103" s="559">
        <f t="shared" si="78"/>
        <v>37.9060089869281</v>
      </c>
      <c r="Y103" s="582">
        <f t="shared" si="79"/>
        <v>60.816569807603408</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13813.456696779338</v>
      </c>
      <c r="I104" s="553">
        <f>ITECountywide!$B$9*E104</f>
        <v>50.590842791664826</v>
      </c>
      <c r="J104" s="562">
        <f t="shared" si="67"/>
        <v>1.67</v>
      </c>
      <c r="K104" s="416">
        <f t="shared" si="68"/>
        <v>0.8872439567052266</v>
      </c>
      <c r="L104" s="554">
        <f>Passby_Length_Adj!H99</f>
        <v>0.4689899613519371</v>
      </c>
      <c r="M104" s="554">
        <f>Passby_Length_Adj!J99</f>
        <v>1</v>
      </c>
      <c r="N104" s="416">
        <v>0.5</v>
      </c>
      <c r="O104" s="546">
        <f t="shared" si="69"/>
        <v>0.23449498067596855</v>
      </c>
      <c r="P104" s="555">
        <f t="shared" si="70"/>
        <v>86.423576382982517</v>
      </c>
      <c r="Q104" s="556">
        <f t="shared" si="71"/>
        <v>51.750644540708095</v>
      </c>
      <c r="R104" s="561">
        <f t="shared" si="72"/>
        <v>254.27556818181819</v>
      </c>
      <c r="S104" s="583">
        <f t="shared" si="73"/>
        <v>13158.924544363857</v>
      </c>
      <c r="T104" s="555">
        <f t="shared" si="74"/>
        <v>3.8671792252243788</v>
      </c>
      <c r="U104" s="559">
        <f t="shared" si="75"/>
        <v>154.50490219883392</v>
      </c>
      <c r="V104" s="582">
        <f t="shared" si="76"/>
        <v>597.49814797865497</v>
      </c>
      <c r="W104" s="555">
        <f t="shared" si="77"/>
        <v>1.5046164437014018</v>
      </c>
      <c r="X104" s="559">
        <f t="shared" si="78"/>
        <v>37.9060089869281</v>
      </c>
      <c r="Y104" s="582">
        <f t="shared" si="79"/>
        <v>57.034004436825136</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13094.416695467078</v>
      </c>
      <c r="I105" s="553">
        <f>ITECountywide!$B$9*E105</f>
        <v>47.957407840094127</v>
      </c>
      <c r="J105" s="562">
        <f t="shared" si="67"/>
        <v>1.67</v>
      </c>
      <c r="K105" s="416">
        <f t="shared" si="68"/>
        <v>0.8872439567052266</v>
      </c>
      <c r="L105" s="554">
        <f>Passby_Length_Adj!H100</f>
        <v>0.4689899613519371</v>
      </c>
      <c r="M105" s="554">
        <f>Passby_Length_Adj!J100</f>
        <v>1</v>
      </c>
      <c r="N105" s="416">
        <v>0.5</v>
      </c>
      <c r="O105" s="546">
        <f t="shared" si="69"/>
        <v>0.23449498067596855</v>
      </c>
      <c r="P105" s="555">
        <f t="shared" si="70"/>
        <v>81.924919034578281</v>
      </c>
      <c r="Q105" s="556">
        <f t="shared" si="71"/>
        <v>49.056837745256459</v>
      </c>
      <c r="R105" s="561">
        <f t="shared" si="72"/>
        <v>254.27556818181819</v>
      </c>
      <c r="S105" s="583">
        <f t="shared" si="73"/>
        <v>12473.95529087835</v>
      </c>
      <c r="T105" s="555">
        <f t="shared" si="74"/>
        <v>3.6658786661957037</v>
      </c>
      <c r="U105" s="559">
        <f t="shared" si="75"/>
        <v>154.50490219883392</v>
      </c>
      <c r="V105" s="582">
        <f t="shared" si="76"/>
        <v>566.3962247933589</v>
      </c>
      <c r="W105" s="555">
        <f t="shared" si="77"/>
        <v>1.4262957573299921</v>
      </c>
      <c r="X105" s="559">
        <f t="shared" si="78"/>
        <v>37.9060089869281</v>
      </c>
      <c r="Y105" s="582">
        <f t="shared" si="79"/>
        <v>54.065179795368103</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13159.703458060196</v>
      </c>
      <c r="I106" s="553">
        <f>ITECountywide!$B$9*E106</f>
        <v>48.196516154198832</v>
      </c>
      <c r="J106" s="562">
        <f t="shared" si="67"/>
        <v>1.67</v>
      </c>
      <c r="K106" s="416">
        <f t="shared" si="68"/>
        <v>0.8872439567052266</v>
      </c>
      <c r="L106" s="554">
        <f>Passby_Length_Adj!H101</f>
        <v>0.4689899613519371</v>
      </c>
      <c r="M106" s="554">
        <f>Passby_Length_Adj!J101</f>
        <v>1</v>
      </c>
      <c r="N106" s="416">
        <v>0.5</v>
      </c>
      <c r="O106" s="546">
        <f t="shared" si="69"/>
        <v>0.23449498067596855</v>
      </c>
      <c r="P106" s="555">
        <f t="shared" si="70"/>
        <v>82.333384173871011</v>
      </c>
      <c r="Q106" s="556">
        <f t="shared" si="71"/>
        <v>49.301427649024561</v>
      </c>
      <c r="R106" s="561">
        <f t="shared" si="72"/>
        <v>254.27556818181819</v>
      </c>
      <c r="S106" s="583">
        <f t="shared" si="73"/>
        <v>12536.148527630521</v>
      </c>
      <c r="T106" s="555">
        <f t="shared" si="74"/>
        <v>3.6841561775764093</v>
      </c>
      <c r="U106" s="559">
        <f t="shared" si="75"/>
        <v>154.50490219883392</v>
      </c>
      <c r="V106" s="582">
        <f t="shared" si="76"/>
        <v>569.22018990167294</v>
      </c>
      <c r="W106" s="555">
        <f t="shared" si="77"/>
        <v>1.433407050231539</v>
      </c>
      <c r="X106" s="559">
        <f t="shared" si="78"/>
        <v>37.9060089869281</v>
      </c>
      <c r="Y106" s="582">
        <f t="shared" si="79"/>
        <v>54.334740528002818</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13778.343146761785</v>
      </c>
      <c r="I107" s="553">
        <f>ITECountywide!$B$9*E107</f>
        <v>50.462241810187869</v>
      </c>
      <c r="J107" s="562">
        <f t="shared" si="67"/>
        <v>1.67</v>
      </c>
      <c r="K107" s="416">
        <f t="shared" si="68"/>
        <v>0.8872439567052266</v>
      </c>
      <c r="L107" s="554">
        <f>Passby_Length_Adj!H102</f>
        <v>0.4689899613519371</v>
      </c>
      <c r="M107" s="554">
        <f>Passby_Length_Adj!J102</f>
        <v>1</v>
      </c>
      <c r="N107" s="416">
        <v>0.5</v>
      </c>
      <c r="O107" s="546">
        <f t="shared" si="69"/>
        <v>0.23449498067596855</v>
      </c>
      <c r="P107" s="555">
        <f t="shared" si="70"/>
        <v>86.203889259141377</v>
      </c>
      <c r="Q107" s="556">
        <f t="shared" si="71"/>
        <v>51.619095364755317</v>
      </c>
      <c r="R107" s="561">
        <f t="shared" si="72"/>
        <v>254.27556818181819</v>
      </c>
      <c r="S107" s="583">
        <f t="shared" si="73"/>
        <v>13125.474802904615</v>
      </c>
      <c r="T107" s="555">
        <f t="shared" si="74"/>
        <v>3.8573489275564961</v>
      </c>
      <c r="U107" s="559">
        <f t="shared" si="75"/>
        <v>154.50490219883392</v>
      </c>
      <c r="V107" s="582">
        <f t="shared" si="76"/>
        <v>595.97931879889336</v>
      </c>
      <c r="W107" s="555">
        <f t="shared" si="77"/>
        <v>1.5007917366846955</v>
      </c>
      <c r="X107" s="559">
        <f t="shared" si="78"/>
        <v>37.9060089869281</v>
      </c>
      <c r="Y107" s="582">
        <f t="shared" si="79"/>
        <v>56.889025058277497</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27388.416298196742</v>
      </c>
      <c r="I108" s="553">
        <f>ITECountywide!$B$9*E108</f>
        <v>100.30820624194673</v>
      </c>
      <c r="J108" s="562">
        <f t="shared" si="67"/>
        <v>1.67</v>
      </c>
      <c r="K108" s="416">
        <f t="shared" si="68"/>
        <v>0.8872439567052266</v>
      </c>
      <c r="L108" s="554">
        <f>Passby_Length_Adj!H103</f>
        <v>0.4689899613519371</v>
      </c>
      <c r="M108" s="554">
        <f>Passby_Length_Adj!J103</f>
        <v>1</v>
      </c>
      <c r="N108" s="416">
        <v>0.5</v>
      </c>
      <c r="O108" s="546">
        <f t="shared" si="69"/>
        <v>0.23449498067596855</v>
      </c>
      <c r="P108" s="555">
        <f t="shared" si="70"/>
        <v>171.35500113508922</v>
      </c>
      <c r="Q108" s="556">
        <f t="shared" si="71"/>
        <v>102.60778511083187</v>
      </c>
      <c r="R108" s="561">
        <f t="shared" si="72"/>
        <v>254.27556818181819</v>
      </c>
      <c r="S108" s="583">
        <f t="shared" si="73"/>
        <v>26090.652858934678</v>
      </c>
      <c r="T108" s="555">
        <f t="shared" si="74"/>
        <v>7.6675894271184086</v>
      </c>
      <c r="U108" s="559">
        <f t="shared" si="75"/>
        <v>154.50490219883392</v>
      </c>
      <c r="V108" s="582">
        <f t="shared" si="76"/>
        <v>1184.6801545377427</v>
      </c>
      <c r="W108" s="555">
        <f t="shared" si="77"/>
        <v>2.9832548386541324</v>
      </c>
      <c r="X108" s="559">
        <f t="shared" si="78"/>
        <v>37.9060089869281</v>
      </c>
      <c r="Y108" s="582">
        <f t="shared" si="79"/>
        <v>113.08328472432028</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14114.883137415449</v>
      </c>
      <c r="I109" s="553">
        <f>ITECountywide!$B$9*E109</f>
        <v>51.694796567045906</v>
      </c>
      <c r="J109" s="562">
        <f t="shared" si="67"/>
        <v>1.67</v>
      </c>
      <c r="K109" s="416">
        <f t="shared" si="68"/>
        <v>0.8872439567052266</v>
      </c>
      <c r="L109" s="554">
        <f>Passby_Length_Adj!H104</f>
        <v>0.4689899613519371</v>
      </c>
      <c r="M109" s="554">
        <f>Passby_Length_Adj!J104</f>
        <v>1</v>
      </c>
      <c r="N109" s="416">
        <v>0.5</v>
      </c>
      <c r="O109" s="546">
        <f t="shared" si="69"/>
        <v>0.23449498067596855</v>
      </c>
      <c r="P109" s="555">
        <f t="shared" si="70"/>
        <v>88.309444025528435</v>
      </c>
      <c r="Q109" s="556">
        <f t="shared" si="71"/>
        <v>52.87990660211284</v>
      </c>
      <c r="R109" s="561">
        <f t="shared" si="72"/>
        <v>254.27556818181819</v>
      </c>
      <c r="S109" s="583">
        <f t="shared" si="73"/>
        <v>13446.068296653721</v>
      </c>
      <c r="T109" s="555">
        <f t="shared" si="74"/>
        <v>3.951565783545663</v>
      </c>
      <c r="U109" s="559">
        <f t="shared" si="75"/>
        <v>154.50490219883392</v>
      </c>
      <c r="V109" s="582">
        <f t="shared" si="76"/>
        <v>610.53628491898121</v>
      </c>
      <c r="W109" s="555">
        <f t="shared" si="77"/>
        <v>1.5374490061152124</v>
      </c>
      <c r="X109" s="559">
        <f t="shared" si="78"/>
        <v>37.9060089869281</v>
      </c>
      <c r="Y109" s="582">
        <f t="shared" si="79"/>
        <v>58.278555842746918</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11695.105859944259</v>
      </c>
      <c r="I110" s="553">
        <f>ITECountywide!$B$9*E110</f>
        <v>193.54734843720766</v>
      </c>
      <c r="J110" s="562">
        <f t="shared" si="67"/>
        <v>1.67</v>
      </c>
      <c r="K110" s="416">
        <f t="shared" si="68"/>
        <v>0.8872439567052266</v>
      </c>
      <c r="L110" s="554">
        <f>Passby_Length_Adj!H105</f>
        <v>0.3846286671810874</v>
      </c>
      <c r="M110" s="554">
        <f>Passby_Length_Adj!J105</f>
        <v>0.26984126984126988</v>
      </c>
      <c r="N110" s="416">
        <v>0.5</v>
      </c>
      <c r="O110" s="546">
        <f t="shared" si="69"/>
        <v>5.1894343984749895E-2</v>
      </c>
      <c r="P110" s="555">
        <f t="shared" si="70"/>
        <v>73.170162746419251</v>
      </c>
      <c r="Q110" s="556">
        <f t="shared" si="71"/>
        <v>43.814468710430688</v>
      </c>
      <c r="R110" s="561">
        <f t="shared" si="72"/>
        <v>254.27556818181819</v>
      </c>
      <c r="S110" s="583">
        <f t="shared" si="73"/>
        <v>11140.948925929259</v>
      </c>
      <c r="T110" s="555">
        <f t="shared" si="74"/>
        <v>3.2741312628084764</v>
      </c>
      <c r="U110" s="559">
        <f t="shared" si="75"/>
        <v>154.50490219883392</v>
      </c>
      <c r="V110" s="582">
        <f t="shared" si="76"/>
        <v>505.86933054636825</v>
      </c>
      <c r="W110" s="555">
        <f t="shared" si="77"/>
        <v>1.2738772759032488</v>
      </c>
      <c r="X110" s="559">
        <f t="shared" si="78"/>
        <v>37.9060089869281</v>
      </c>
      <c r="Y110" s="582">
        <f t="shared" si="79"/>
        <v>48.287603468632035</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88161.259604605933</v>
      </c>
      <c r="I111" s="553">
        <f>ITECountywide!$B$9*E111</f>
        <v>1381.6938824378594</v>
      </c>
      <c r="J111" s="562">
        <f t="shared" si="67"/>
        <v>1.67</v>
      </c>
      <c r="K111" s="416">
        <f t="shared" si="68"/>
        <v>0.8872439567052266</v>
      </c>
      <c r="L111" s="554">
        <f>Passby_Length_Adj!H106</f>
        <v>0.3846286671810874</v>
      </c>
      <c r="M111" s="554">
        <f>Passby_Length_Adj!J106</f>
        <v>0.28494260634706281</v>
      </c>
      <c r="N111" s="416">
        <v>0.5</v>
      </c>
      <c r="O111" s="546">
        <f t="shared" si="69"/>
        <v>5.4798547451188014E-2</v>
      </c>
      <c r="P111" s="555">
        <f t="shared" si="70"/>
        <v>551.5789074891776</v>
      </c>
      <c r="Q111" s="556">
        <f t="shared" si="71"/>
        <v>330.28677095160339</v>
      </c>
      <c r="R111" s="561">
        <f t="shared" si="72"/>
        <v>254.27556818181819</v>
      </c>
      <c r="S111" s="583">
        <f t="shared" si="73"/>
        <v>83983.85634665699</v>
      </c>
      <c r="T111" s="555">
        <f t="shared" si="74"/>
        <v>24.681395764757113</v>
      </c>
      <c r="U111" s="559">
        <f t="shared" si="75"/>
        <v>154.50490219883392</v>
      </c>
      <c r="V111" s="582">
        <f t="shared" si="76"/>
        <v>3813.3966387645114</v>
      </c>
      <c r="W111" s="555">
        <f t="shared" si="77"/>
        <v>9.6028737636283203</v>
      </c>
      <c r="X111" s="559">
        <f t="shared" si="78"/>
        <v>37.9060089869281</v>
      </c>
      <c r="Y111" s="582">
        <f t="shared" si="79"/>
        <v>364.0066191844312</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72191.659554487895</v>
      </c>
      <c r="I112" s="553">
        <f>ITECountywide!$B$9*E112</f>
        <v>1131.4127635746866</v>
      </c>
      <c r="J112" s="562">
        <f t="shared" si="67"/>
        <v>1.67</v>
      </c>
      <c r="K112" s="416">
        <f t="shared" si="68"/>
        <v>0.8872439567052266</v>
      </c>
      <c r="L112" s="554">
        <f>Passby_Length_Adj!H107</f>
        <v>0.3846286671810874</v>
      </c>
      <c r="M112" s="554">
        <f>Passby_Length_Adj!J107</f>
        <v>0.28494260634706281</v>
      </c>
      <c r="N112" s="416">
        <v>0.5</v>
      </c>
      <c r="O112" s="546">
        <f t="shared" si="69"/>
        <v>5.4798547451188014E-2</v>
      </c>
      <c r="P112" s="555">
        <f t="shared" si="70"/>
        <v>451.66546945314678</v>
      </c>
      <c r="Q112" s="556">
        <f t="shared" si="71"/>
        <v>270.4583649420041</v>
      </c>
      <c r="R112" s="561">
        <f t="shared" si="72"/>
        <v>254.27556818181819</v>
      </c>
      <c r="S112" s="583">
        <f t="shared" si="73"/>
        <v>68770.954415153625</v>
      </c>
      <c r="T112" s="555">
        <f t="shared" si="74"/>
        <v>20.210588282994951</v>
      </c>
      <c r="U112" s="559">
        <f t="shared" si="75"/>
        <v>154.50490219883392</v>
      </c>
      <c r="V112" s="582">
        <f t="shared" si="76"/>
        <v>3122.6349660450337</v>
      </c>
      <c r="W112" s="555">
        <f t="shared" si="77"/>
        <v>7.8634016414661261</v>
      </c>
      <c r="X112" s="559">
        <f t="shared" si="78"/>
        <v>37.9060089869281</v>
      </c>
      <c r="Y112" s="582">
        <f t="shared" si="79"/>
        <v>298.07017328924013</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20687.311190181132</v>
      </c>
      <c r="I113" s="553">
        <f>ITECountywide!$B$9*E113</f>
        <v>75.765865936273457</v>
      </c>
      <c r="J113" s="562">
        <f t="shared" si="67"/>
        <v>1.67</v>
      </c>
      <c r="K113" s="416">
        <f t="shared" si="68"/>
        <v>0.8872439567052266</v>
      </c>
      <c r="L113" s="554">
        <f>Passby_Length_Adj!H108</f>
        <v>0.4689899613519371</v>
      </c>
      <c r="M113" s="554">
        <f>Passby_Length_Adj!J108</f>
        <v>1</v>
      </c>
      <c r="N113" s="416">
        <v>0.5</v>
      </c>
      <c r="O113" s="546">
        <f t="shared" si="69"/>
        <v>0.23449498067596855</v>
      </c>
      <c r="P113" s="555">
        <f t="shared" si="70"/>
        <v>129.42969005144073</v>
      </c>
      <c r="Q113" s="556">
        <f t="shared" si="71"/>
        <v>77.502808414036366</v>
      </c>
      <c r="R113" s="561">
        <f t="shared" si="72"/>
        <v>254.27556818181819</v>
      </c>
      <c r="S113" s="583">
        <f t="shared" si="73"/>
        <v>19707.070645165695</v>
      </c>
      <c r="T113" s="555">
        <f t="shared" si="74"/>
        <v>5.7915655593341073</v>
      </c>
      <c r="U113" s="559">
        <f t="shared" si="75"/>
        <v>154.50490219883392</v>
      </c>
      <c r="V113" s="582">
        <f t="shared" si="76"/>
        <v>894.82527032305109</v>
      </c>
      <c r="W113" s="555">
        <f t="shared" si="77"/>
        <v>2.2533439149935446</v>
      </c>
      <c r="X113" s="559">
        <f t="shared" si="78"/>
        <v>37.9060089869281</v>
      </c>
      <c r="Y113" s="582">
        <f t="shared" si="79"/>
        <v>85.415274692385054</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14228.712840136544</v>
      </c>
      <c r="I114" s="553">
        <f>ITECountywide!$B$9*E114</f>
        <v>52.111690087747888</v>
      </c>
      <c r="J114" s="562">
        <f t="shared" si="67"/>
        <v>1.67</v>
      </c>
      <c r="K114" s="416">
        <f t="shared" si="68"/>
        <v>0.8872439567052266</v>
      </c>
      <c r="L114" s="554">
        <f>Passby_Length_Adj!H109</f>
        <v>0.4689899613519371</v>
      </c>
      <c r="M114" s="554">
        <f>Passby_Length_Adj!J109</f>
        <v>1</v>
      </c>
      <c r="N114" s="416">
        <v>0.5</v>
      </c>
      <c r="O114" s="546">
        <f t="shared" si="69"/>
        <v>0.23449498067596855</v>
      </c>
      <c r="P114" s="555">
        <f t="shared" si="70"/>
        <v>89.0216169612182</v>
      </c>
      <c r="Q114" s="556">
        <f t="shared" si="71"/>
        <v>53.306357461807309</v>
      </c>
      <c r="R114" s="561">
        <f t="shared" si="72"/>
        <v>254.27556818181819</v>
      </c>
      <c r="S114" s="583">
        <f t="shared" si="73"/>
        <v>13554.504331304157</v>
      </c>
      <c r="T114" s="555">
        <f t="shared" si="74"/>
        <v>3.9834332495419997</v>
      </c>
      <c r="U114" s="559">
        <f t="shared" si="75"/>
        <v>154.50490219883392</v>
      </c>
      <c r="V114" s="582">
        <f t="shared" si="76"/>
        <v>615.4599646360698</v>
      </c>
      <c r="W114" s="555">
        <f t="shared" si="77"/>
        <v>1.549847788422593</v>
      </c>
      <c r="X114" s="559">
        <f t="shared" si="78"/>
        <v>37.9060089869281</v>
      </c>
      <c r="Y114" s="582">
        <f t="shared" si="79"/>
        <v>58.748544196317447</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15213.587224549472</v>
      </c>
      <c r="I115" s="553">
        <f>ITECountywide!$B$9*E115</f>
        <v>55.718725332082435</v>
      </c>
      <c r="J115" s="562">
        <f t="shared" si="67"/>
        <v>1.67</v>
      </c>
      <c r="K115" s="416">
        <f t="shared" si="68"/>
        <v>0.8872439567052266</v>
      </c>
      <c r="L115" s="554">
        <f>Passby_Length_Adj!H110</f>
        <v>0.4689899613519371</v>
      </c>
      <c r="M115" s="554">
        <f>Passby_Length_Adj!J110</f>
        <v>1</v>
      </c>
      <c r="N115" s="416">
        <v>0.5</v>
      </c>
      <c r="O115" s="546">
        <f t="shared" si="69"/>
        <v>0.23449498067596855</v>
      </c>
      <c r="P115" s="555">
        <f t="shared" si="70"/>
        <v>95.183461056968596</v>
      </c>
      <c r="Q115" s="556">
        <f t="shared" si="71"/>
        <v>56.996084465250661</v>
      </c>
      <c r="R115" s="561">
        <f t="shared" si="72"/>
        <v>254.27556818181819</v>
      </c>
      <c r="S115" s="583">
        <f t="shared" si="73"/>
        <v>14492.711761540513</v>
      </c>
      <c r="T115" s="555">
        <f t="shared" si="74"/>
        <v>4.2591561075102975</v>
      </c>
      <c r="U115" s="559">
        <f t="shared" si="75"/>
        <v>154.50490219883392</v>
      </c>
      <c r="V115" s="582">
        <f t="shared" si="76"/>
        <v>658.06049784044467</v>
      </c>
      <c r="W115" s="555">
        <f t="shared" si="77"/>
        <v>1.6571242092560179</v>
      </c>
      <c r="X115" s="559">
        <f t="shared" si="78"/>
        <v>37.9060089869281</v>
      </c>
      <c r="Y115" s="582">
        <f t="shared" si="79"/>
        <v>62.814965168514739</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20316.127376960176</v>
      </c>
      <c r="I116" s="553">
        <f>ITECountywide!$B$9*E116</f>
        <v>74.406430542680027</v>
      </c>
      <c r="J116" s="562">
        <f t="shared" si="67"/>
        <v>1.67</v>
      </c>
      <c r="K116" s="416">
        <f t="shared" si="68"/>
        <v>0.8872439567052266</v>
      </c>
      <c r="L116" s="554">
        <f>Passby_Length_Adj!H111</f>
        <v>0.4689899613519371</v>
      </c>
      <c r="M116" s="554">
        <f>Passby_Length_Adj!J111</f>
        <v>1</v>
      </c>
      <c r="N116" s="416">
        <v>0.5</v>
      </c>
      <c r="O116" s="546">
        <f t="shared" si="69"/>
        <v>0.23449498067596855</v>
      </c>
      <c r="P116" s="555">
        <f t="shared" si="70"/>
        <v>127.10738700027849</v>
      </c>
      <c r="Q116" s="556">
        <f t="shared" si="71"/>
        <v>76.112207784597899</v>
      </c>
      <c r="R116" s="561">
        <f t="shared" si="72"/>
        <v>254.27556818181819</v>
      </c>
      <c r="S116" s="583">
        <f t="shared" si="73"/>
        <v>19353.474880001235</v>
      </c>
      <c r="T116" s="555">
        <f t="shared" si="74"/>
        <v>5.6876499093460549</v>
      </c>
      <c r="U116" s="559">
        <f t="shared" si="75"/>
        <v>154.50490219883392</v>
      </c>
      <c r="V116" s="582">
        <f t="shared" si="76"/>
        <v>878.76979298471883</v>
      </c>
      <c r="W116" s="555">
        <f t="shared" si="77"/>
        <v>2.2129131031216502</v>
      </c>
      <c r="X116" s="559">
        <f t="shared" si="78"/>
        <v>37.9060089869281</v>
      </c>
      <c r="Y116" s="582">
        <f t="shared" si="79"/>
        <v>83.88270397422022</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71069.327438038512</v>
      </c>
      <c r="I117" s="553">
        <f>ITECountywide!$B$9*E117</f>
        <v>260.28656336002075</v>
      </c>
      <c r="J117" s="562">
        <f t="shared" si="67"/>
        <v>1.67</v>
      </c>
      <c r="K117" s="416">
        <f t="shared" si="68"/>
        <v>0.8872439567052266</v>
      </c>
      <c r="L117" s="554">
        <f>Passby_Length_Adj!H112</f>
        <v>0.4689899613519371</v>
      </c>
      <c r="M117" s="554">
        <f>Passby_Length_Adj!J112</f>
        <v>1</v>
      </c>
      <c r="N117" s="416">
        <v>0.5</v>
      </c>
      <c r="O117" s="546">
        <f t="shared" si="69"/>
        <v>0.23449498067596855</v>
      </c>
      <c r="P117" s="555">
        <f t="shared" si="70"/>
        <v>444.64362419585842</v>
      </c>
      <c r="Q117" s="556">
        <f t="shared" si="71"/>
        <v>266.25366718314876</v>
      </c>
      <c r="R117" s="561">
        <f t="shared" si="72"/>
        <v>254.27556818181819</v>
      </c>
      <c r="S117" s="583">
        <f t="shared" si="73"/>
        <v>67701.802503487866</v>
      </c>
      <c r="T117" s="555">
        <f t="shared" si="74"/>
        <v>19.896383117712386</v>
      </c>
      <c r="U117" s="559">
        <f t="shared" si="75"/>
        <v>154.50490219883392</v>
      </c>
      <c r="V117" s="582">
        <f t="shared" si="76"/>
        <v>3074.0887277126826</v>
      </c>
      <c r="W117" s="555">
        <f t="shared" si="77"/>
        <v>7.7411527797385862</v>
      </c>
      <c r="X117" s="559">
        <f t="shared" si="78"/>
        <v>37.9060089869281</v>
      </c>
      <c r="Y117" s="582">
        <f t="shared" si="79"/>
        <v>293.43620683795427</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9898.2350192254198</v>
      </c>
      <c r="I118" s="553">
        <f>ITECountywide!$B$9*E118</f>
        <v>36.251610495824622</v>
      </c>
      <c r="J118" s="562">
        <f t="shared" si="67"/>
        <v>1.67</v>
      </c>
      <c r="K118" s="416">
        <f t="shared" si="68"/>
        <v>0.8872439567052266</v>
      </c>
      <c r="L118" s="554">
        <f>Passby_Length_Adj!H113</f>
        <v>0.4689899613519371</v>
      </c>
      <c r="M118" s="554">
        <f>Passby_Length_Adj!J113</f>
        <v>1</v>
      </c>
      <c r="N118" s="416">
        <v>0.5</v>
      </c>
      <c r="O118" s="546">
        <f t="shared" si="69"/>
        <v>0.23449498067596855</v>
      </c>
      <c r="P118" s="555">
        <f t="shared" si="70"/>
        <v>61.928081364325699</v>
      </c>
      <c r="Q118" s="556">
        <f t="shared" si="71"/>
        <v>37.082683451692034</v>
      </c>
      <c r="R118" s="561">
        <f t="shared" si="72"/>
        <v>254.27556818181819</v>
      </c>
      <c r="S118" s="583">
        <f t="shared" si="73"/>
        <v>9429.2204043854981</v>
      </c>
      <c r="T118" s="555">
        <f t="shared" si="74"/>
        <v>2.771083999681391</v>
      </c>
      <c r="U118" s="559">
        <f t="shared" si="75"/>
        <v>154.50490219883392</v>
      </c>
      <c r="V118" s="582">
        <f t="shared" si="76"/>
        <v>428.14606235552685</v>
      </c>
      <c r="W118" s="555">
        <f t="shared" si="77"/>
        <v>1.0781549832504995</v>
      </c>
      <c r="X118" s="559">
        <f t="shared" si="78"/>
        <v>37.9060089869281</v>
      </c>
      <c r="Y118" s="582">
        <f t="shared" si="79"/>
        <v>40.868552484394748</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11323.580861993882</v>
      </c>
      <c r="I119" s="553">
        <f>ITECountywide!$B$9*E119</f>
        <v>41.471842407223363</v>
      </c>
      <c r="J119" s="562">
        <f t="shared" si="67"/>
        <v>1.67</v>
      </c>
      <c r="K119" s="416">
        <f t="shared" si="68"/>
        <v>0.8872439567052266</v>
      </c>
      <c r="L119" s="554">
        <f>Passby_Length_Adj!H114</f>
        <v>0.4689899613519371</v>
      </c>
      <c r="M119" s="554">
        <f>Passby_Length_Adj!J114</f>
        <v>1</v>
      </c>
      <c r="N119" s="416">
        <v>0.5</v>
      </c>
      <c r="O119" s="546">
        <f t="shared" si="69"/>
        <v>0.23449498067596855</v>
      </c>
      <c r="P119" s="555">
        <f t="shared" si="70"/>
        <v>70.845725080788597</v>
      </c>
      <c r="Q119" s="556">
        <f t="shared" si="71"/>
        <v>42.422589868735692</v>
      </c>
      <c r="R119" s="561">
        <f t="shared" si="72"/>
        <v>254.27556818181819</v>
      </c>
      <c r="S119" s="583">
        <f t="shared" si="73"/>
        <v>10787.028142617011</v>
      </c>
      <c r="T119" s="555">
        <f t="shared" si="74"/>
        <v>3.1701200956355113</v>
      </c>
      <c r="U119" s="559">
        <f t="shared" si="75"/>
        <v>154.50490219883392</v>
      </c>
      <c r="V119" s="582">
        <f t="shared" si="76"/>
        <v>489.79909533472272</v>
      </c>
      <c r="W119" s="555">
        <f t="shared" si="77"/>
        <v>1.2334093008385714</v>
      </c>
      <c r="X119" s="559">
        <f t="shared" si="78"/>
        <v>37.9060089869281</v>
      </c>
      <c r="Y119" s="582">
        <f t="shared" si="79"/>
        <v>46.753624042147592</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32862.140263828398</v>
      </c>
      <c r="I120" s="553">
        <f>ITECountywide!$B$9*E120</f>
        <v>120.35534684613775</v>
      </c>
      <c r="J120" s="562">
        <f t="shared" si="67"/>
        <v>1.67</v>
      </c>
      <c r="K120" s="416">
        <f t="shared" si="68"/>
        <v>0.8872439567052266</v>
      </c>
      <c r="L120" s="554">
        <f>Passby_Length_Adj!H115</f>
        <v>0.4689899613519371</v>
      </c>
      <c r="M120" s="554">
        <f>Passby_Length_Adj!J115</f>
        <v>1</v>
      </c>
      <c r="N120" s="416">
        <v>0.5</v>
      </c>
      <c r="O120" s="546">
        <f t="shared" si="69"/>
        <v>0.23449498067596855</v>
      </c>
      <c r="P120" s="555">
        <f t="shared" si="70"/>
        <v>205.60123012956134</v>
      </c>
      <c r="Q120" s="556">
        <f t="shared" si="71"/>
        <v>123.11450905961757</v>
      </c>
      <c r="R120" s="561">
        <f t="shared" si="72"/>
        <v>254.27556818181819</v>
      </c>
      <c r="S120" s="583">
        <f t="shared" si="73"/>
        <v>31305.011742559862</v>
      </c>
      <c r="T120" s="555">
        <f t="shared" si="74"/>
        <v>9.1999988789422176</v>
      </c>
      <c r="U120" s="559">
        <f t="shared" si="75"/>
        <v>154.50490219883392</v>
      </c>
      <c r="V120" s="582">
        <f t="shared" si="76"/>
        <v>1421.444927020349</v>
      </c>
      <c r="W120" s="555">
        <f t="shared" si="77"/>
        <v>3.5794745443916587</v>
      </c>
      <c r="X120" s="559">
        <f t="shared" si="78"/>
        <v>37.9060089869281</v>
      </c>
      <c r="Y120" s="582">
        <f t="shared" si="79"/>
        <v>135.68359424819059</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27987.259516859878</v>
      </c>
      <c r="I121" s="553">
        <f>ITECountywide!$B$9*E121</f>
        <v>102.5014286769441</v>
      </c>
      <c r="J121" s="562">
        <f t="shared" si="67"/>
        <v>1.67</v>
      </c>
      <c r="K121" s="416">
        <f t="shared" si="68"/>
        <v>0.8872439567052266</v>
      </c>
      <c r="L121" s="554">
        <f>Passby_Length_Adj!H116</f>
        <v>0.4689899613519371</v>
      </c>
      <c r="M121" s="554">
        <f>Passby_Length_Adj!J116</f>
        <v>1</v>
      </c>
      <c r="N121" s="416">
        <v>0.5</v>
      </c>
      <c r="O121" s="546">
        <f t="shared" si="69"/>
        <v>0.23449498067596855</v>
      </c>
      <c r="P121" s="555">
        <f t="shared" si="70"/>
        <v>175.10165005763091</v>
      </c>
      <c r="Q121" s="556">
        <f t="shared" si="71"/>
        <v>104.85128745965923</v>
      </c>
      <c r="R121" s="561">
        <f t="shared" si="72"/>
        <v>254.27556818181819</v>
      </c>
      <c r="S121" s="583">
        <f t="shared" si="73"/>
        <v>26661.1206934</v>
      </c>
      <c r="T121" s="555">
        <f t="shared" si="74"/>
        <v>7.835240009099131</v>
      </c>
      <c r="U121" s="559">
        <f t="shared" si="75"/>
        <v>154.50490219883392</v>
      </c>
      <c r="V121" s="582">
        <f t="shared" si="76"/>
        <v>1210.5829913102518</v>
      </c>
      <c r="W121" s="555">
        <f t="shared" si="77"/>
        <v>3.048483215140787</v>
      </c>
      <c r="X121" s="559">
        <f t="shared" si="78"/>
        <v>37.9060089869281</v>
      </c>
      <c r="Y121" s="582">
        <f t="shared" si="79"/>
        <v>115.55583214962614</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10418.174771977361</v>
      </c>
      <c r="I122" s="553">
        <f>ITECountywide!$B$9*E122</f>
        <v>163.27725367319408</v>
      </c>
      <c r="J122" s="562">
        <f t="shared" si="67"/>
        <v>1.67</v>
      </c>
      <c r="K122" s="416">
        <f t="shared" si="68"/>
        <v>0.8872439567052266</v>
      </c>
      <c r="L122" s="554">
        <f>Passby_Length_Adj!H117</f>
        <v>0.3846286671810874</v>
      </c>
      <c r="M122" s="554">
        <f>Passby_Length_Adj!J117</f>
        <v>0.28494260634706281</v>
      </c>
      <c r="N122" s="416">
        <v>0.5</v>
      </c>
      <c r="O122" s="546">
        <f t="shared" si="69"/>
        <v>5.4798547451188014E-2</v>
      </c>
      <c r="P122" s="555">
        <f t="shared" si="70"/>
        <v>65.18107255421252</v>
      </c>
      <c r="Q122" s="556">
        <f t="shared" si="71"/>
        <v>39.030582367791929</v>
      </c>
      <c r="R122" s="561">
        <f t="shared" si="72"/>
        <v>254.27556818181819</v>
      </c>
      <c r="S122" s="583">
        <f t="shared" si="73"/>
        <v>9924.5235080375478</v>
      </c>
      <c r="T122" s="555">
        <f t="shared" si="74"/>
        <v>2.9166449736177267</v>
      </c>
      <c r="U122" s="559">
        <f t="shared" si="75"/>
        <v>154.50490219883392</v>
      </c>
      <c r="V122" s="582">
        <f t="shared" si="76"/>
        <v>450.63594639752739</v>
      </c>
      <c r="W122" s="555">
        <f t="shared" si="77"/>
        <v>1.134788881549613</v>
      </c>
      <c r="X122" s="559">
        <f t="shared" si="78"/>
        <v>37.9060089869281</v>
      </c>
      <c r="Y122" s="582">
        <f t="shared" si="79"/>
        <v>43.015317542285715</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12624.866320038283</v>
      </c>
      <c r="I123" s="553">
        <f>ITECountywide!$B$9*E123</f>
        <v>197.86129008621077</v>
      </c>
      <c r="J123" s="562">
        <f t="shared" si="67"/>
        <v>1.67</v>
      </c>
      <c r="K123" s="416">
        <f t="shared" si="68"/>
        <v>0.8872439567052266</v>
      </c>
      <c r="L123" s="554">
        <f>Passby_Length_Adj!H118</f>
        <v>0.3846286671810874</v>
      </c>
      <c r="M123" s="554">
        <f>Passby_Length_Adj!J118</f>
        <v>0.28494260634706281</v>
      </c>
      <c r="N123" s="416">
        <v>0.5</v>
      </c>
      <c r="O123" s="546">
        <f t="shared" si="69"/>
        <v>5.4798547451188014E-2</v>
      </c>
      <c r="P123" s="555">
        <f t="shared" si="70"/>
        <v>78.987187833235325</v>
      </c>
      <c r="Q123" s="556">
        <f t="shared" si="71"/>
        <v>47.297717265410377</v>
      </c>
      <c r="R123" s="561">
        <f t="shared" si="72"/>
        <v>254.27556818181819</v>
      </c>
      <c r="S123" s="583">
        <f t="shared" si="73"/>
        <v>12026.653931365216</v>
      </c>
      <c r="T123" s="555">
        <f t="shared" si="74"/>
        <v>3.5344245706051405</v>
      </c>
      <c r="U123" s="559">
        <f t="shared" si="75"/>
        <v>154.50490219883392</v>
      </c>
      <c r="V123" s="582">
        <f t="shared" si="76"/>
        <v>546.08592261050285</v>
      </c>
      <c r="W123" s="555">
        <f t="shared" si="77"/>
        <v>1.3751504696931145</v>
      </c>
      <c r="X123" s="559">
        <f t="shared" si="78"/>
        <v>37.9060089869281</v>
      </c>
      <c r="Y123" s="582">
        <f t="shared" si="79"/>
        <v>52.126466062565598</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125064.19946791319</v>
      </c>
      <c r="I124" s="553">
        <f>ITECountywide!$B$9*E124</f>
        <v>458.03909861474403</v>
      </c>
      <c r="J124" s="562">
        <f t="shared" si="67"/>
        <v>1.67</v>
      </c>
      <c r="K124" s="416">
        <f t="shared" si="68"/>
        <v>0.8872439567052266</v>
      </c>
      <c r="L124" s="554">
        <f>Passby_Length_Adj!H119</f>
        <v>0.4689899613519371</v>
      </c>
      <c r="M124" s="554">
        <f>Passby_Length_Adj!J119</f>
        <v>1</v>
      </c>
      <c r="N124" s="416">
        <v>0.5</v>
      </c>
      <c r="O124" s="546">
        <f t="shared" si="69"/>
        <v>0.23449498067596855</v>
      </c>
      <c r="P124" s="555">
        <f t="shared" si="70"/>
        <v>782.46130803825508</v>
      </c>
      <c r="Q124" s="556">
        <f t="shared" si="71"/>
        <v>468.5397054121288</v>
      </c>
      <c r="R124" s="561">
        <f t="shared" si="72"/>
        <v>254.27556818181819</v>
      </c>
      <c r="S124" s="583">
        <f t="shared" si="73"/>
        <v>119138.19980941077</v>
      </c>
      <c r="T124" s="555">
        <f t="shared" si="74"/>
        <v>35.012646335974367</v>
      </c>
      <c r="U124" s="559">
        <f t="shared" si="75"/>
        <v>154.50490219883392</v>
      </c>
      <c r="V124" s="582">
        <f t="shared" si="76"/>
        <v>5409.62549786208</v>
      </c>
      <c r="W124" s="555">
        <f t="shared" si="77"/>
        <v>13.622488213370062</v>
      </c>
      <c r="X124" s="559">
        <f t="shared" si="78"/>
        <v>37.9060089869281</v>
      </c>
      <c r="Y124" s="582">
        <f t="shared" si="79"/>
        <v>516.37416064032766</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3117.9440310560076</v>
      </c>
      <c r="I125" s="553">
        <f>ITECountywide!$B$9*E125</f>
        <v>11.419257306184756</v>
      </c>
      <c r="J125" s="562">
        <f t="shared" si="67"/>
        <v>1.67</v>
      </c>
      <c r="K125" s="416">
        <f t="shared" si="68"/>
        <v>0.8872439567052266</v>
      </c>
      <c r="L125" s="554">
        <f>Passby_Length_Adj!H120</f>
        <v>0.4689899613519371</v>
      </c>
      <c r="M125" s="554">
        <f>Passby_Length_Adj!J120</f>
        <v>1</v>
      </c>
      <c r="N125" s="416">
        <v>0.5</v>
      </c>
      <c r="O125" s="546">
        <f t="shared" si="69"/>
        <v>0.23449498067596855</v>
      </c>
      <c r="P125" s="555">
        <f t="shared" si="70"/>
        <v>19.507345629762597</v>
      </c>
      <c r="Q125" s="556">
        <f t="shared" si="71"/>
        <v>11.681045287282993</v>
      </c>
      <c r="R125" s="561">
        <f t="shared" si="72"/>
        <v>254.27556818181819</v>
      </c>
      <c r="S125" s="583">
        <f t="shared" si="73"/>
        <v>2970.2044273814327</v>
      </c>
      <c r="T125" s="555">
        <f t="shared" si="74"/>
        <v>0.87289145989963823</v>
      </c>
      <c r="U125" s="559">
        <f t="shared" si="75"/>
        <v>154.50490219883392</v>
      </c>
      <c r="V125" s="582">
        <f t="shared" si="76"/>
        <v>134.86600964199096</v>
      </c>
      <c r="W125" s="555">
        <f t="shared" si="77"/>
        <v>0.33961881972390739</v>
      </c>
      <c r="X125" s="559">
        <f t="shared" si="78"/>
        <v>37.9060089869281</v>
      </c>
      <c r="Y125" s="582">
        <f t="shared" si="79"/>
        <v>12.873594032584348</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41193.540597336905</v>
      </c>
      <c r="I126" s="553">
        <f>ITECountywide!$B$9*E126</f>
        <v>183.95879746106203</v>
      </c>
      <c r="J126" s="562">
        <f t="shared" si="67"/>
        <v>1.67</v>
      </c>
      <c r="K126" s="416">
        <f t="shared" si="68"/>
        <v>0.8872439567052266</v>
      </c>
      <c r="L126" s="554">
        <f>Passby_Length_Adj!H121</f>
        <v>0.3846286671810874</v>
      </c>
      <c r="M126" s="554">
        <f>Passby_Length_Adj!J121</f>
        <v>1</v>
      </c>
      <c r="N126" s="416">
        <v>0.5</v>
      </c>
      <c r="O126" s="546">
        <f t="shared" si="69"/>
        <v>0.1923143335905437</v>
      </c>
      <c r="P126" s="555">
        <f t="shared" si="70"/>
        <v>257.72644606251868</v>
      </c>
      <c r="Q126" s="556">
        <f t="shared" si="71"/>
        <v>154.32721321108903</v>
      </c>
      <c r="R126" s="561">
        <f t="shared" si="72"/>
        <v>254.27556818181819</v>
      </c>
      <c r="S126" s="583">
        <f t="shared" si="73"/>
        <v>39241.639825166261</v>
      </c>
      <c r="T126" s="555">
        <f t="shared" si="74"/>
        <v>11.53243593608256</v>
      </c>
      <c r="U126" s="559">
        <f t="shared" si="75"/>
        <v>154.50490219883392</v>
      </c>
      <c r="V126" s="582">
        <f t="shared" si="76"/>
        <v>1781.8178864187537</v>
      </c>
      <c r="W126" s="555">
        <f t="shared" si="77"/>
        <v>4.4869636845848557</v>
      </c>
      <c r="X126" s="559">
        <f t="shared" si="78"/>
        <v>37.9060089869281</v>
      </c>
      <c r="Y126" s="582">
        <f t="shared" si="79"/>
        <v>170.08288575189357</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1402.8914296634703</v>
      </c>
      <c r="I128" s="553">
        <f>ITECountywide!$B$9*E128</f>
        <v>21.986601765717634</v>
      </c>
      <c r="J128" s="562">
        <f t="shared" ref="J128:J137" si="80">IF(F128="Prod",$M$3,$M$4)</f>
        <v>1.67</v>
      </c>
      <c r="K128" s="416">
        <f t="shared" ref="K128:K137" si="81">IF(F128="Prod",$F$4,$F$5)</f>
        <v>0.8872439567052266</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8.7771581936345235</v>
      </c>
      <c r="Q128" s="556">
        <f t="shared" ref="Q128:Q137" si="84">+P128/J128</f>
        <v>5.2557833494817512</v>
      </c>
      <c r="R128" s="561">
        <f t="shared" ref="R128:R137" si="85">+$Q$4</f>
        <v>254.27556818181819</v>
      </c>
      <c r="S128" s="583">
        <f t="shared" ref="S128:S137" si="86">+Q128*R128</f>
        <v>1336.4172974300118</v>
      </c>
      <c r="T128" s="555">
        <f t="shared" ref="T128:T137" si="87">IF($F128="Prod",$I128*$O128*$G$4*$G$6,$I128*$O128*$G$5*$G$7)</f>
        <v>0.39274981716233376</v>
      </c>
      <c r="U128" s="559">
        <f t="shared" ref="U128:U137" si="88">+$R$4</f>
        <v>154.50490219883392</v>
      </c>
      <c r="V128" s="582">
        <f t="shared" ref="V128:V137" si="89">+T128*U128</f>
        <v>60.681772089276279</v>
      </c>
      <c r="W128" s="555">
        <f t="shared" ref="W128:W137" si="90">IF($F128="Prod",$I128*$O128*$J$4*$J$6,$I128*$O128*$J$5*$J$7)</f>
        <v>0.1528084939298047</v>
      </c>
      <c r="X128" s="559">
        <f t="shared" ref="X128:X137" si="91">$S$4</f>
        <v>37.9060089869281</v>
      </c>
      <c r="Y128" s="582">
        <f t="shared" ref="Y128:Y137" si="92">+W128*X128</f>
        <v>5.7923601441821244</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11568.938970258609</v>
      </c>
      <c r="I129" s="553">
        <f>ITECountywide!$B$9*E129</f>
        <v>181.31242989486685</v>
      </c>
      <c r="J129" s="562">
        <f t="shared" si="80"/>
        <v>1.67</v>
      </c>
      <c r="K129" s="416">
        <f t="shared" si="81"/>
        <v>0.8872439567052266</v>
      </c>
      <c r="L129" s="554">
        <f>Passby_Length_Adj!H124</f>
        <v>0.3846286671810874</v>
      </c>
      <c r="M129" s="554">
        <f>Passby_Length_Adj!J124</f>
        <v>0.28494260634706281</v>
      </c>
      <c r="N129" s="416">
        <v>0.5</v>
      </c>
      <c r="O129" s="546">
        <f t="shared" si="82"/>
        <v>5.4798547451188014E-2</v>
      </c>
      <c r="P129" s="555">
        <f t="shared" si="83"/>
        <v>72.380802482214463</v>
      </c>
      <c r="Q129" s="556">
        <f t="shared" si="84"/>
        <v>43.341797893541596</v>
      </c>
      <c r="R129" s="557">
        <f t="shared" si="85"/>
        <v>254.27556818181819</v>
      </c>
      <c r="S129" s="582">
        <f t="shared" si="86"/>
        <v>11020.760285401821</v>
      </c>
      <c r="T129" s="555">
        <f t="shared" si="87"/>
        <v>3.2388099102018346</v>
      </c>
      <c r="U129" s="559">
        <f t="shared" si="88"/>
        <v>154.50490219883392</v>
      </c>
      <c r="V129" s="582">
        <f t="shared" si="89"/>
        <v>500.4120084163485</v>
      </c>
      <c r="W129" s="555">
        <f t="shared" si="90"/>
        <v>1.2601346783015963</v>
      </c>
      <c r="X129" s="559">
        <f t="shared" si="91"/>
        <v>37.9060089869281</v>
      </c>
      <c r="Y129" s="582">
        <f t="shared" si="92"/>
        <v>47.766676440440058</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34029.623053312898</v>
      </c>
      <c r="I130" s="553">
        <f>ITECountywide!$B$9*E130</f>
        <v>151.96675119849681</v>
      </c>
      <c r="J130" s="562">
        <f t="shared" si="80"/>
        <v>1.67</v>
      </c>
      <c r="K130" s="416">
        <f t="shared" si="81"/>
        <v>0.8872439567052266</v>
      </c>
      <c r="L130" s="554">
        <f>Passby_Length_Adj!H125</f>
        <v>0.3846286671810874</v>
      </c>
      <c r="M130" s="554">
        <f>Passby_Length_Adj!J125</f>
        <v>1</v>
      </c>
      <c r="N130" s="416">
        <v>0.5</v>
      </c>
      <c r="O130" s="546">
        <f t="shared" si="82"/>
        <v>0.1923143335905437</v>
      </c>
      <c r="P130" s="555">
        <f t="shared" si="83"/>
        <v>212.90555954164512</v>
      </c>
      <c r="Q130" s="556">
        <f t="shared" si="84"/>
        <v>127.48835900697313</v>
      </c>
      <c r="R130" s="557">
        <f t="shared" si="85"/>
        <v>254.27556818181819</v>
      </c>
      <c r="S130" s="582">
        <f t="shared" si="86"/>
        <v>32417.174923065711</v>
      </c>
      <c r="T130" s="555">
        <f t="shared" si="87"/>
        <v>9.5268443086132812</v>
      </c>
      <c r="U130" s="559">
        <f t="shared" si="88"/>
        <v>154.50490219883392</v>
      </c>
      <c r="V130" s="582">
        <f t="shared" si="89"/>
        <v>1471.9441481658125</v>
      </c>
      <c r="W130" s="555">
        <f t="shared" si="90"/>
        <v>3.7066413963503231</v>
      </c>
      <c r="X130" s="559">
        <f t="shared" si="91"/>
        <v>37.9060089869281</v>
      </c>
      <c r="Y130" s="582">
        <f t="shared" si="92"/>
        <v>140.50398208137506</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1055.3079668250659</v>
      </c>
      <c r="I131" s="553">
        <f>ITECountywide!$B$9*E131</f>
        <v>4.7127093644572007</v>
      </c>
      <c r="J131" s="562">
        <f t="shared" si="80"/>
        <v>1.67</v>
      </c>
      <c r="K131" s="416">
        <f t="shared" si="81"/>
        <v>0.8872439567052266</v>
      </c>
      <c r="L131" s="554">
        <f>Passby_Length_Adj!H126</f>
        <v>0.3846286671810874</v>
      </c>
      <c r="M131" s="554">
        <f>Passby_Length_Adj!J126</f>
        <v>1</v>
      </c>
      <c r="N131" s="416">
        <v>0.5</v>
      </c>
      <c r="O131" s="546">
        <f t="shared" si="82"/>
        <v>0.1923143335905437</v>
      </c>
      <c r="P131" s="555">
        <f t="shared" si="83"/>
        <v>6.6025101957094146</v>
      </c>
      <c r="Q131" s="556">
        <f t="shared" si="84"/>
        <v>3.9535989195864758</v>
      </c>
      <c r="R131" s="557">
        <f t="shared" si="85"/>
        <v>254.27556818181819</v>
      </c>
      <c r="S131" s="582">
        <f t="shared" si="86"/>
        <v>1005.3036116408737</v>
      </c>
      <c r="T131" s="555">
        <f t="shared" si="87"/>
        <v>0.29544125957054546</v>
      </c>
      <c r="U131" s="559">
        <f t="shared" si="88"/>
        <v>154.50490219883392</v>
      </c>
      <c r="V131" s="582">
        <f t="shared" si="89"/>
        <v>45.647122915447433</v>
      </c>
      <c r="W131" s="555">
        <f t="shared" si="90"/>
        <v>0.11494832574559687</v>
      </c>
      <c r="X131" s="559">
        <f t="shared" si="91"/>
        <v>37.9060089869281</v>
      </c>
      <c r="Y131" s="582">
        <f t="shared" si="92"/>
        <v>4.3572322687449336</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12974.143493787969</v>
      </c>
      <c r="I132" s="553">
        <f>ITECountywide!$B$9*E132</f>
        <v>203.3352832710803</v>
      </c>
      <c r="J132" s="562">
        <f t="shared" si="80"/>
        <v>1.67</v>
      </c>
      <c r="K132" s="416">
        <f t="shared" si="81"/>
        <v>0.8872439567052266</v>
      </c>
      <c r="L132" s="554">
        <f>Passby_Length_Adj!H127</f>
        <v>0.3846286671810874</v>
      </c>
      <c r="M132" s="554">
        <f>Passby_Length_Adj!J127</f>
        <v>0.28494260634706281</v>
      </c>
      <c r="N132" s="416">
        <v>0.5</v>
      </c>
      <c r="O132" s="546">
        <f t="shared" si="82"/>
        <v>5.4798547451188014E-2</v>
      </c>
      <c r="P132" s="555">
        <f t="shared" si="83"/>
        <v>81.172432494799736</v>
      </c>
      <c r="Q132" s="556">
        <f t="shared" si="84"/>
        <v>48.606247002874099</v>
      </c>
      <c r="R132" s="557">
        <f t="shared" si="85"/>
        <v>254.27556818181819</v>
      </c>
      <c r="S132" s="582">
        <f t="shared" si="86"/>
        <v>12359.381073841609</v>
      </c>
      <c r="T132" s="555">
        <f t="shared" si="87"/>
        <v>3.6322072950758946</v>
      </c>
      <c r="U132" s="559">
        <f t="shared" si="88"/>
        <v>154.50490219883392</v>
      </c>
      <c r="V132" s="582">
        <f t="shared" si="89"/>
        <v>561.19383289159214</v>
      </c>
      <c r="W132" s="555">
        <f t="shared" si="90"/>
        <v>1.4131951235816562</v>
      </c>
      <c r="X132" s="559">
        <f t="shared" si="91"/>
        <v>37.9060089869281</v>
      </c>
      <c r="Y132" s="582">
        <f t="shared" si="92"/>
        <v>53.568587054769225</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505.41100969739199</v>
      </c>
      <c r="I133" s="553">
        <f>ITECountywide!$B$9*E133</f>
        <v>7.9209768933376798</v>
      </c>
      <c r="J133" s="562">
        <f t="shared" si="80"/>
        <v>1.67</v>
      </c>
      <c r="K133" s="416">
        <f t="shared" si="81"/>
        <v>0.8872439567052266</v>
      </c>
      <c r="L133" s="554">
        <f>Passby_Length_Adj!H128</f>
        <v>0.3846286671810874</v>
      </c>
      <c r="M133" s="554">
        <f>Passby_Length_Adj!J128</f>
        <v>0.28494260634706281</v>
      </c>
      <c r="N133" s="416">
        <v>0.5</v>
      </c>
      <c r="O133" s="546">
        <f t="shared" si="82"/>
        <v>5.4798547451188014E-2</v>
      </c>
      <c r="P133" s="555">
        <f t="shared" si="83"/>
        <v>3.1620924407405497</v>
      </c>
      <c r="Q133" s="556">
        <f t="shared" si="84"/>
        <v>1.8934685273895508</v>
      </c>
      <c r="R133" s="557">
        <f t="shared" si="85"/>
        <v>254.27556818181819</v>
      </c>
      <c r="S133" s="582">
        <f t="shared" si="86"/>
        <v>481.46278563636861</v>
      </c>
      <c r="T133" s="555">
        <f t="shared" si="87"/>
        <v>0.14149354501231645</v>
      </c>
      <c r="U133" s="559">
        <f t="shared" si="88"/>
        <v>154.50490219883392</v>
      </c>
      <c r="V133" s="582">
        <f t="shared" si="89"/>
        <v>21.861446333894257</v>
      </c>
      <c r="W133" s="555">
        <f t="shared" si="90"/>
        <v>5.5051370030770527E-2</v>
      </c>
      <c r="X133" s="559">
        <f t="shared" si="91"/>
        <v>37.9060089869281</v>
      </c>
      <c r="Y133" s="582">
        <f t="shared" si="92"/>
        <v>2.0867777271290917</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37920.926221094778</v>
      </c>
      <c r="I134" s="553">
        <f>ITECountywide!$B$9*E134</f>
        <v>627.56975509846791</v>
      </c>
      <c r="J134" s="562">
        <f t="shared" si="80"/>
        <v>1.67</v>
      </c>
      <c r="K134" s="416">
        <f t="shared" si="81"/>
        <v>0.8872439567052266</v>
      </c>
      <c r="L134" s="554">
        <f>Passby_Length_Adj!H129</f>
        <v>0.3846286671810874</v>
      </c>
      <c r="M134" s="554">
        <f>Passby_Length_Adj!J129</f>
        <v>0.26984126984126988</v>
      </c>
      <c r="N134" s="416">
        <v>0.5</v>
      </c>
      <c r="O134" s="546">
        <f t="shared" si="82"/>
        <v>5.1894343984749895E-2</v>
      </c>
      <c r="P134" s="555">
        <f t="shared" si="83"/>
        <v>237.25140895010992</v>
      </c>
      <c r="Q134" s="556">
        <f t="shared" si="84"/>
        <v>142.0667119461736</v>
      </c>
      <c r="R134" s="557">
        <f t="shared" si="85"/>
        <v>254.27556818181819</v>
      </c>
      <c r="S134" s="582">
        <f t="shared" si="86"/>
        <v>36124.093899835992</v>
      </c>
      <c r="T134" s="555">
        <f t="shared" si="87"/>
        <v>10.616243370689068</v>
      </c>
      <c r="U134" s="559">
        <f t="shared" si="88"/>
        <v>154.50490219883392</v>
      </c>
      <c r="V134" s="582">
        <f t="shared" si="89"/>
        <v>1640.2616437073334</v>
      </c>
      <c r="W134" s="555">
        <f t="shared" si="90"/>
        <v>4.1304975579320269</v>
      </c>
      <c r="X134" s="559">
        <f t="shared" si="91"/>
        <v>37.9060089869281</v>
      </c>
      <c r="Y134" s="582">
        <f t="shared" si="92"/>
        <v>156.57067755145599</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51580.915009746663</v>
      </c>
      <c r="I135" s="553">
        <f>ITECountywide!$B$9*E135</f>
        <v>853.63479815043024</v>
      </c>
      <c r="J135" s="562">
        <f t="shared" si="80"/>
        <v>1.67</v>
      </c>
      <c r="K135" s="416">
        <f t="shared" si="81"/>
        <v>0.8872439567052266</v>
      </c>
      <c r="L135" s="554">
        <f>Passby_Length_Adj!H130</f>
        <v>0.3846286671810874</v>
      </c>
      <c r="M135" s="554">
        <f>Passby_Length_Adj!J130</f>
        <v>0.26984126984126988</v>
      </c>
      <c r="N135" s="416">
        <v>0.5</v>
      </c>
      <c r="O135" s="546">
        <f t="shared" si="82"/>
        <v>5.1894343984749895E-2</v>
      </c>
      <c r="P135" s="555">
        <f t="shared" si="83"/>
        <v>322.71481687044525</v>
      </c>
      <c r="Q135" s="556">
        <f t="shared" si="84"/>
        <v>193.24240531164386</v>
      </c>
      <c r="R135" s="557">
        <f t="shared" si="85"/>
        <v>254.27556818181819</v>
      </c>
      <c r="S135" s="582">
        <f t="shared" si="86"/>
        <v>49136.822407439446</v>
      </c>
      <c r="T135" s="555">
        <f t="shared" si="87"/>
        <v>14.440458121555084</v>
      </c>
      <c r="U135" s="559">
        <f t="shared" si="88"/>
        <v>154.50490219883392</v>
      </c>
      <c r="V135" s="582">
        <f t="shared" si="89"/>
        <v>2231.121569777225</v>
      </c>
      <c r="W135" s="555">
        <f t="shared" si="90"/>
        <v>5.6183976689139827</v>
      </c>
      <c r="X135" s="559">
        <f t="shared" si="91"/>
        <v>37.9060089869281</v>
      </c>
      <c r="Y135" s="582">
        <f t="shared" si="92"/>
        <v>212.97103252998932</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89852.322020800464</v>
      </c>
      <c r="I136" s="553">
        <f>ITECountywide!$B$9*E136</f>
        <v>1487.00481092823</v>
      </c>
      <c r="J136" s="562">
        <f t="shared" si="80"/>
        <v>1.67</v>
      </c>
      <c r="K136" s="416">
        <f t="shared" si="81"/>
        <v>0.8872439567052266</v>
      </c>
      <c r="L136" s="554">
        <f>Passby_Length_Adj!H131</f>
        <v>0.3846286671810874</v>
      </c>
      <c r="M136" s="554">
        <f>Passby_Length_Adj!J131</f>
        <v>0.26984126984126988</v>
      </c>
      <c r="N136" s="416">
        <v>0.5</v>
      </c>
      <c r="O136" s="546">
        <f t="shared" si="82"/>
        <v>5.1894343984749895E-2</v>
      </c>
      <c r="P136" s="555">
        <f t="shared" si="83"/>
        <v>562.15900087944772</v>
      </c>
      <c r="Q136" s="556">
        <f t="shared" si="84"/>
        <v>336.62215621523819</v>
      </c>
      <c r="R136" s="557">
        <f t="shared" si="85"/>
        <v>254.27556818181819</v>
      </c>
      <c r="S136" s="582">
        <f t="shared" si="86"/>
        <v>85594.790034218458</v>
      </c>
      <c r="T136" s="555">
        <f t="shared" si="87"/>
        <v>25.154821177962333</v>
      </c>
      <c r="U136" s="559">
        <f t="shared" si="88"/>
        <v>154.50490219883392</v>
      </c>
      <c r="V136" s="582">
        <f t="shared" si="89"/>
        <v>3886.5431859302266</v>
      </c>
      <c r="W136" s="555">
        <f t="shared" si="90"/>
        <v>9.7870709833817884</v>
      </c>
      <c r="X136" s="559">
        <f t="shared" si="91"/>
        <v>37.9060089869281</v>
      </c>
      <c r="Y136" s="582">
        <f t="shared" si="92"/>
        <v>370.98880065177332</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18839.437712764673</v>
      </c>
      <c r="I137" s="566">
        <f>ITECountywide!$B$9*E137</f>
        <v>311.78197606933963</v>
      </c>
      <c r="J137" s="567">
        <f t="shared" si="80"/>
        <v>1.67</v>
      </c>
      <c r="K137" s="533">
        <f t="shared" si="81"/>
        <v>0.8872439567052266</v>
      </c>
      <c r="L137" s="568">
        <f>Passby_Length_Adj!H132</f>
        <v>0.3846286671810874</v>
      </c>
      <c r="M137" s="568">
        <f>Passby_Length_Adj!J132</f>
        <v>0.26984126984126988</v>
      </c>
      <c r="N137" s="533">
        <v>0.5</v>
      </c>
      <c r="O137" s="569">
        <f t="shared" si="82"/>
        <v>5.1894343984749895E-2</v>
      </c>
      <c r="P137" s="570">
        <f t="shared" si="83"/>
        <v>117.86851183753113</v>
      </c>
      <c r="Q137" s="571">
        <f t="shared" si="84"/>
        <v>70.579947208102482</v>
      </c>
      <c r="R137" s="572">
        <f t="shared" si="85"/>
        <v>254.27556818181819</v>
      </c>
      <c r="S137" s="585">
        <f t="shared" si="86"/>
        <v>17946.756178582989</v>
      </c>
      <c r="T137" s="570">
        <f t="shared" si="87"/>
        <v>5.2742397313699749</v>
      </c>
      <c r="U137" s="574">
        <f t="shared" si="88"/>
        <v>154.50490219883392</v>
      </c>
      <c r="V137" s="585">
        <f t="shared" si="89"/>
        <v>814.89589386852208</v>
      </c>
      <c r="W137" s="570">
        <f t="shared" si="90"/>
        <v>2.0520662130372527</v>
      </c>
      <c r="X137" s="574">
        <f t="shared" si="91"/>
        <v>37.9060089869281</v>
      </c>
      <c r="Y137" s="585">
        <f t="shared" si="92"/>
        <v>77.785640313161608</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T9:V9"/>
    <mergeCell ref="W9:Y9"/>
    <mergeCell ref="I9:O9"/>
    <mergeCell ref="P9:S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7B74A-3802-44BD-9D48-73F09C2FBD9E}">
  <sheetPr>
    <tabColor theme="9" tint="0.79998168889431442"/>
  </sheetPr>
  <dimension ref="A1:AJ161"/>
  <sheetViews>
    <sheetView topLeftCell="A48" zoomScale="75" zoomScaleNormal="75" workbookViewId="0">
      <selection activeCell="A93" sqref="A93:XFD93"/>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5703125" style="11" customWidth="1"/>
    <col min="10" max="10" width="9.5703125" style="69" customWidth="1"/>
    <col min="11" max="11" width="11.5703125" style="12" customWidth="1"/>
    <col min="12" max="12" width="10.85546875" style="12" customWidth="1"/>
    <col min="13" max="14" width="10.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10" t="str">
        <f>+HYPERLINK(ContextAreas_Map!A1,"Context Area")</f>
        <v>Context Area</v>
      </c>
      <c r="C2" s="811"/>
      <c r="E2" s="814" t="s">
        <v>57</v>
      </c>
      <c r="F2" s="815"/>
      <c r="G2" s="815"/>
      <c r="H2" s="815"/>
      <c r="I2" s="815"/>
      <c r="J2" s="816"/>
      <c r="L2" s="439" t="s">
        <v>65</v>
      </c>
      <c r="M2" s="440"/>
      <c r="O2" s="817" t="s">
        <v>58</v>
      </c>
      <c r="P2" s="818"/>
      <c r="Q2" s="818"/>
      <c r="R2" s="818"/>
      <c r="S2" s="819"/>
    </row>
    <row r="3" spans="1:36" ht="17.100000000000001" customHeight="1" thickBot="1" x14ac:dyDescent="0.3">
      <c r="A3" s="10"/>
      <c r="B3" s="812"/>
      <c r="C3" s="813"/>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07" t="s">
        <v>53</v>
      </c>
      <c r="C4" s="809">
        <v>4</v>
      </c>
      <c r="E4" s="445" t="s">
        <v>67</v>
      </c>
      <c r="F4" s="518">
        <f>'2045_24hr_all_productions'!$Q$38</f>
        <v>0.85173719352368216</v>
      </c>
      <c r="G4" s="518">
        <f>'2045_24hr_all_productions'!$S$38</f>
        <v>5.4807080371492983E-2</v>
      </c>
      <c r="H4" s="519">
        <f>'2045_24hr_all_productions'!$T$38</f>
        <v>7.0350674706332855E-2</v>
      </c>
      <c r="I4" s="518">
        <f>'2045_24hr_all_productions'!$R$38</f>
        <v>2.3105051398492022E-2</v>
      </c>
      <c r="J4" s="520">
        <f>+H4+I4</f>
        <v>9.3455726104824874E-2</v>
      </c>
      <c r="K4" s="69"/>
      <c r="L4" s="444" t="s">
        <v>71</v>
      </c>
      <c r="M4" s="442">
        <f>ITECountywide!B4</f>
        <v>1.67</v>
      </c>
      <c r="O4" s="692" t="s">
        <v>120</v>
      </c>
      <c r="P4" s="680"/>
      <c r="Q4" s="681">
        <f>+RoadCapCost!L15</f>
        <v>261.71052631578948</v>
      </c>
      <c r="R4" s="681">
        <f>+TransitCapCost!AB13</f>
        <v>405.42115030277023</v>
      </c>
      <c r="S4" s="536">
        <f>+WalkBikeCapCost!$V$7</f>
        <v>37.9060089869281</v>
      </c>
      <c r="T4" s="11"/>
    </row>
    <row r="5" spans="1:36" ht="17.100000000000001" customHeight="1" thickBot="1" x14ac:dyDescent="0.3">
      <c r="B5" s="808"/>
      <c r="C5" s="806"/>
      <c r="E5" s="445" t="s">
        <v>70</v>
      </c>
      <c r="F5" s="518">
        <f>'2045_24hr_all_attractions'!$Q$38</f>
        <v>0.85182987994952053</v>
      </c>
      <c r="G5" s="518">
        <f>'2045_24hr_all_attractions'!$S$38</f>
        <v>5.4804715729525083E-2</v>
      </c>
      <c r="H5" s="519">
        <f>'2045_24hr_all_attractions'!$T$38</f>
        <v>7.0261349785893795E-2</v>
      </c>
      <c r="I5" s="518">
        <f>'2045_24hr_all_attractions'!$R$38</f>
        <v>2.3104054535060564E-2</v>
      </c>
      <c r="J5" s="520">
        <f>+H5+I5</f>
        <v>9.3365404320954359E-2</v>
      </c>
      <c r="K5" s="69"/>
      <c r="S5" s="429"/>
      <c r="T5" s="11"/>
    </row>
    <row r="6" spans="1:36" ht="17.100000000000001" customHeight="1" x14ac:dyDescent="0.25">
      <c r="B6" s="803" t="s">
        <v>54</v>
      </c>
      <c r="C6" s="805" t="s">
        <v>56</v>
      </c>
      <c r="E6" s="445" t="s">
        <v>72</v>
      </c>
      <c r="F6" s="434">
        <f>'2045_24hr_all_productions'!$M$38</f>
        <v>6.9881027582887967</v>
      </c>
      <c r="G6" s="434">
        <f>'2045_24hr_all_productions'!$O$38</f>
        <v>8.0354910450698682</v>
      </c>
      <c r="H6" s="435">
        <f>'2045_24hr_all_productions'!$P$38</f>
        <v>0.86804814474087699</v>
      </c>
      <c r="I6" s="434">
        <f>'2045_24hr_all_productions'!$N$38</f>
        <v>3.0142857142857142</v>
      </c>
      <c r="J6" s="447">
        <f>+((H4/J4)*H6)+(I4/J4*I6)</f>
        <v>1.3986622807017546</v>
      </c>
      <c r="K6" s="69"/>
      <c r="O6" s="69"/>
      <c r="P6" s="11"/>
      <c r="S6" s="429"/>
      <c r="U6" s="20"/>
      <c r="V6" s="422"/>
      <c r="W6" s="20"/>
      <c r="X6" s="20"/>
    </row>
    <row r="7" spans="1:36" ht="17.100000000000001" customHeight="1" thickBot="1" x14ac:dyDescent="0.3">
      <c r="B7" s="804"/>
      <c r="C7" s="806"/>
      <c r="E7" s="448" t="s">
        <v>73</v>
      </c>
      <c r="F7" s="449">
        <f>'2045_24hr_all_attractions'!$M$38</f>
        <v>7.049105275153849</v>
      </c>
      <c r="G7" s="449">
        <f>'2045_24hr_all_attractions'!$O$38</f>
        <v>8.3157606770320793</v>
      </c>
      <c r="H7" s="451">
        <f>'2045_24hr_all_attractions'!$P$38</f>
        <v>0.87356770033773412</v>
      </c>
      <c r="I7" s="449">
        <f>'2045_24hr_all_attractions'!$N$38</f>
        <v>3.0427777777777778</v>
      </c>
      <c r="J7" s="450">
        <f>+((H5/J5)*H7)+(I5/J5*I7)</f>
        <v>1.4103569778188538</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2" t="s">
        <v>121</v>
      </c>
      <c r="C9" s="793"/>
      <c r="D9" s="793"/>
      <c r="E9" s="793"/>
      <c r="F9" s="793"/>
      <c r="G9" s="793"/>
      <c r="H9" s="793"/>
      <c r="I9" s="797" t="s">
        <v>74</v>
      </c>
      <c r="J9" s="798"/>
      <c r="K9" s="798"/>
      <c r="L9" s="798"/>
      <c r="M9" s="798"/>
      <c r="N9" s="798"/>
      <c r="O9" s="799"/>
      <c r="P9" s="794" t="s">
        <v>75</v>
      </c>
      <c r="Q9" s="795"/>
      <c r="R9" s="795"/>
      <c r="S9" s="796"/>
      <c r="T9" s="794" t="s">
        <v>61</v>
      </c>
      <c r="U9" s="795"/>
      <c r="V9" s="796"/>
      <c r="W9" s="794" t="s">
        <v>62</v>
      </c>
      <c r="X9" s="795"/>
      <c r="Y9" s="796"/>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10094.279247771145</v>
      </c>
      <c r="I12" s="553">
        <f>ITECountywide!$B$9*E12</f>
        <v>17.853918169193626</v>
      </c>
      <c r="J12" s="554">
        <f>IF(F12="Prod",$M$3,$M$4)</f>
        <v>1.67</v>
      </c>
      <c r="K12" s="416">
        <f>IF(F12="Prod",$F$4,$F$5)</f>
        <v>0.85182987994952053</v>
      </c>
      <c r="L12" s="554">
        <f>Passby_Length_Adj!H7</f>
        <v>1</v>
      </c>
      <c r="M12" s="554">
        <f>Passby_Length_Adj!J7</f>
        <v>1</v>
      </c>
      <c r="N12" s="416">
        <v>0.5</v>
      </c>
      <c r="O12" s="546">
        <f>L12*M12*N12</f>
        <v>0.5</v>
      </c>
      <c r="P12" s="555">
        <f>IF($F12="Prod",$I12*$O12*$F$4*$F$6,$I12*O12*$F$5*$F$7)</f>
        <v>53.603162209846417</v>
      </c>
      <c r="Q12" s="556">
        <f>+P12/J12</f>
        <v>32.097701922063727</v>
      </c>
      <c r="R12" s="557">
        <f>+$Q$4</f>
        <v>261.71052631578948</v>
      </c>
      <c r="S12" s="582">
        <f>+Q12*R12</f>
        <v>8400.3064635506253</v>
      </c>
      <c r="T12" s="555">
        <f>IF($F12="Prod",$I12*$O12*$G$4*$G$6,$I12*$O12*$G$5*$G$7)</f>
        <v>4.0683982212125489</v>
      </c>
      <c r="U12" s="559">
        <f>+$R$4</f>
        <v>405.42115030277023</v>
      </c>
      <c r="V12" s="582">
        <f>+T12*U12</f>
        <v>1649.4146867337358</v>
      </c>
      <c r="W12" s="555">
        <f>IF($F12="Prod",$I12*$O12*$J$4*$J$6,$I12*$O12*$J$5*$J$7)</f>
        <v>1.175489023446108</v>
      </c>
      <c r="X12" s="559">
        <f>$S$4</f>
        <v>37.9060089869281</v>
      </c>
      <c r="Y12" s="582">
        <f>+W12*X12</f>
        <v>44.558097486783502</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5083.0076212126769</v>
      </c>
      <c r="I14" s="553">
        <f>ITECountywide!$B$9*E14</f>
        <v>8.9903994029645062</v>
      </c>
      <c r="J14" s="554">
        <f t="shared" ref="J14:J20" si="1">IF(F14="Prod",$M$3,$M$4)</f>
        <v>1.67</v>
      </c>
      <c r="K14" s="416">
        <f t="shared" ref="K14:K20" si="2">IF(F14="Prod",$F$4,$F$5)</f>
        <v>0.85182987994952053</v>
      </c>
      <c r="L14" s="554">
        <f>Passby_Length_Adj!H9</f>
        <v>1</v>
      </c>
      <c r="M14" s="554">
        <f>Passby_Length_Adj!J9</f>
        <v>1</v>
      </c>
      <c r="N14" s="416">
        <v>0.5</v>
      </c>
      <c r="O14" s="546">
        <f t="shared" ref="O14:O20" si="3">L14*M14*N14</f>
        <v>0.5</v>
      </c>
      <c r="P14" s="555">
        <f t="shared" ref="P14:P20" si="4">IF($F14="Prod",$I14*$O14*$F$4*$F$6,$I14*O14*$F$5*$F$7)</f>
        <v>26.992049193993729</v>
      </c>
      <c r="Q14" s="556">
        <f t="shared" ref="Q14:Q20" si="5">+P14/J14</f>
        <v>16.162903708978281</v>
      </c>
      <c r="R14" s="561">
        <f t="shared" ref="R14:R20" si="6">+$Q$4</f>
        <v>261.71052631578948</v>
      </c>
      <c r="S14" s="582">
        <f t="shared" ref="S14:S20" si="7">+Q14*R14</f>
        <v>4230.0020364681313</v>
      </c>
      <c r="T14" s="555">
        <f t="shared" ref="T14:T20" si="8">IF($F14="Prod",$I14*$O14*$G$4*$G$6,$I14*$O14*$G$5*$G$7)</f>
        <v>2.0486553479405325</v>
      </c>
      <c r="U14" s="559">
        <f t="shared" ref="U14:U20" si="9">+$R$4</f>
        <v>405.42115030277023</v>
      </c>
      <c r="V14" s="582">
        <f t="shared" ref="V14:V20" si="10">+T14*U14</f>
        <v>830.56820773597269</v>
      </c>
      <c r="W14" s="555">
        <f t="shared" ref="W14:W20" si="11">IF($F14="Prod",$I14*$O14*$J$4*$J$6,$I14*$O14*$J$5*$J$7)</f>
        <v>0.59192137627337005</v>
      </c>
      <c r="X14" s="559">
        <f t="shared" ref="X14:X20" si="12">$S$4</f>
        <v>37.9060089869281</v>
      </c>
      <c r="Y14" s="582">
        <f t="shared" ref="Y14:Y20" si="13">+W14*X14</f>
        <v>22.437377008573215</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3453.5757426384525</v>
      </c>
      <c r="I15" s="553">
        <f>ITECountywide!$B$9*E15</f>
        <v>6.1083963685464484</v>
      </c>
      <c r="J15" s="554">
        <f t="shared" si="1"/>
        <v>1.67</v>
      </c>
      <c r="K15" s="416">
        <f t="shared" si="2"/>
        <v>0.85182987994952053</v>
      </c>
      <c r="L15" s="554">
        <f>Passby_Length_Adj!H10</f>
        <v>1</v>
      </c>
      <c r="M15" s="554">
        <f>Passby_Length_Adj!J10</f>
        <v>1</v>
      </c>
      <c r="N15" s="416">
        <v>0.5</v>
      </c>
      <c r="O15" s="546">
        <f t="shared" si="3"/>
        <v>0.5</v>
      </c>
      <c r="P15" s="555">
        <f t="shared" si="4"/>
        <v>18.339356004790094</v>
      </c>
      <c r="Q15" s="556">
        <f t="shared" si="5"/>
        <v>10.981650302269518</v>
      </c>
      <c r="R15" s="561">
        <f t="shared" si="6"/>
        <v>261.71052631578948</v>
      </c>
      <c r="S15" s="582">
        <f t="shared" si="7"/>
        <v>2874.0134804229042</v>
      </c>
      <c r="T15" s="555">
        <f t="shared" si="8"/>
        <v>1.3919291376128213</v>
      </c>
      <c r="U15" s="559">
        <f t="shared" si="9"/>
        <v>405.42115030277023</v>
      </c>
      <c r="V15" s="582">
        <f t="shared" si="10"/>
        <v>564.31751211093297</v>
      </c>
      <c r="W15" s="555">
        <f t="shared" si="11"/>
        <v>0.40217238670186634</v>
      </c>
      <c r="X15" s="559">
        <f t="shared" si="12"/>
        <v>37.9060089869281</v>
      </c>
      <c r="Y15" s="582">
        <f t="shared" si="13"/>
        <v>15.244750104615269</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4027.4636998721417</v>
      </c>
      <c r="I16" s="553">
        <f>ITECountywide!$B$9*E16</f>
        <v>7.1234414624295379</v>
      </c>
      <c r="J16" s="554">
        <f t="shared" si="1"/>
        <v>1.67</v>
      </c>
      <c r="K16" s="416">
        <f t="shared" si="2"/>
        <v>0.85182987994952053</v>
      </c>
      <c r="L16" s="554">
        <f>Passby_Length_Adj!H11</f>
        <v>1</v>
      </c>
      <c r="M16" s="554">
        <f>Passby_Length_Adj!J11</f>
        <v>1</v>
      </c>
      <c r="N16" s="416">
        <v>0.5</v>
      </c>
      <c r="O16" s="546">
        <f t="shared" si="3"/>
        <v>0.5</v>
      </c>
      <c r="P16" s="555">
        <f t="shared" si="4"/>
        <v>21.386845429918417</v>
      </c>
      <c r="Q16" s="556">
        <f t="shared" si="5"/>
        <v>12.806494269412227</v>
      </c>
      <c r="R16" s="561">
        <f t="shared" si="6"/>
        <v>261.71052631578948</v>
      </c>
      <c r="S16" s="582">
        <f t="shared" si="7"/>
        <v>3351.5943555080157</v>
      </c>
      <c r="T16" s="555">
        <f t="shared" si="8"/>
        <v>1.6232289349609459</v>
      </c>
      <c r="U16" s="559">
        <f t="shared" si="9"/>
        <v>405.42115030277023</v>
      </c>
      <c r="V16" s="582">
        <f t="shared" si="10"/>
        <v>658.09134201660731</v>
      </c>
      <c r="W16" s="555">
        <f t="shared" si="11"/>
        <v>0.46900221950692428</v>
      </c>
      <c r="X16" s="559">
        <f t="shared" si="12"/>
        <v>37.9060089869281</v>
      </c>
      <c r="Y16" s="582">
        <f t="shared" si="13"/>
        <v>17.778002347518697</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1783.1518671189633</v>
      </c>
      <c r="I17" s="553">
        <f>ITECountywide!$B$9*E17</f>
        <v>3.1538901131367418</v>
      </c>
      <c r="J17" s="554">
        <f t="shared" si="1"/>
        <v>1.67</v>
      </c>
      <c r="K17" s="416">
        <f t="shared" si="2"/>
        <v>0.85182987994952053</v>
      </c>
      <c r="L17" s="554">
        <f>Passby_Length_Adj!H12</f>
        <v>1</v>
      </c>
      <c r="M17" s="554">
        <f>Passby_Length_Adj!J12</f>
        <v>1</v>
      </c>
      <c r="N17" s="416">
        <v>0.5</v>
      </c>
      <c r="O17" s="546">
        <f t="shared" si="3"/>
        <v>0.5</v>
      </c>
      <c r="P17" s="555">
        <f t="shared" si="4"/>
        <v>9.4689849995058637</v>
      </c>
      <c r="Q17" s="556">
        <f t="shared" si="5"/>
        <v>5.6700508979077027</v>
      </c>
      <c r="R17" s="561">
        <f t="shared" si="6"/>
        <v>261.71052631578948</v>
      </c>
      <c r="S17" s="582">
        <f t="shared" si="7"/>
        <v>1483.9120047287395</v>
      </c>
      <c r="T17" s="555">
        <f t="shared" si="8"/>
        <v>0.71868151318881568</v>
      </c>
      <c r="U17" s="559">
        <f t="shared" si="9"/>
        <v>405.42115030277023</v>
      </c>
      <c r="V17" s="582">
        <f t="shared" si="10"/>
        <v>291.3686857783452</v>
      </c>
      <c r="W17" s="555">
        <f t="shared" si="11"/>
        <v>0.20764983764428707</v>
      </c>
      <c r="X17" s="559">
        <f t="shared" si="12"/>
        <v>37.9060089869281</v>
      </c>
      <c r="Y17" s="582">
        <f t="shared" si="13"/>
        <v>7.8711766118785063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1547.447884683698</v>
      </c>
      <c r="I18" s="553">
        <f>ITECountywide!$B$9*E18</f>
        <v>2.736996592434759</v>
      </c>
      <c r="J18" s="562">
        <f t="shared" si="1"/>
        <v>1.67</v>
      </c>
      <c r="K18" s="416">
        <f t="shared" si="2"/>
        <v>0.85182987994952053</v>
      </c>
      <c r="L18" s="554">
        <f>Passby_Length_Adj!H13</f>
        <v>1</v>
      </c>
      <c r="M18" s="554">
        <f>Passby_Length_Adj!J13</f>
        <v>1</v>
      </c>
      <c r="N18" s="416">
        <v>0.5</v>
      </c>
      <c r="O18" s="546">
        <f t="shared" si="3"/>
        <v>0.5</v>
      </c>
      <c r="P18" s="555">
        <f t="shared" si="4"/>
        <v>8.2173375570424447</v>
      </c>
      <c r="Q18" s="556">
        <f t="shared" si="5"/>
        <v>4.9205614114026615</v>
      </c>
      <c r="R18" s="561">
        <f t="shared" si="6"/>
        <v>261.71052631578948</v>
      </c>
      <c r="S18" s="582">
        <f t="shared" si="7"/>
        <v>1287.7627167473545</v>
      </c>
      <c r="T18" s="555">
        <f t="shared" si="8"/>
        <v>0.62368338213512176</v>
      </c>
      <c r="U18" s="559">
        <f t="shared" si="9"/>
        <v>405.42115030277023</v>
      </c>
      <c r="V18" s="582">
        <f t="shared" si="10"/>
        <v>252.85443420994326</v>
      </c>
      <c r="W18" s="555">
        <f t="shared" si="11"/>
        <v>0.18020187059935258</v>
      </c>
      <c r="X18" s="559">
        <f t="shared" si="12"/>
        <v>37.9060089869281</v>
      </c>
      <c r="Y18" s="582">
        <f t="shared" si="13"/>
        <v>6.8307337264003136</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1014.5519243952723</v>
      </c>
      <c r="I19" s="553">
        <f>ITECountywide!$B$9*E19</f>
        <v>1.7944547195433187</v>
      </c>
      <c r="J19" s="554">
        <f t="shared" si="1"/>
        <v>1.67</v>
      </c>
      <c r="K19" s="416">
        <f t="shared" si="2"/>
        <v>0.85182987994952053</v>
      </c>
      <c r="L19" s="554">
        <f>Passby_Length_Adj!H14</f>
        <v>1</v>
      </c>
      <c r="M19" s="554">
        <f>Passby_Length_Adj!J14</f>
        <v>1</v>
      </c>
      <c r="N19" s="416">
        <v>0.5</v>
      </c>
      <c r="O19" s="546">
        <f t="shared" si="3"/>
        <v>0.5</v>
      </c>
      <c r="P19" s="555">
        <f t="shared" si="4"/>
        <v>5.3875259479947157</v>
      </c>
      <c r="Q19" s="556">
        <f t="shared" si="5"/>
        <v>3.2260634419130034</v>
      </c>
      <c r="R19" s="561">
        <f t="shared" si="6"/>
        <v>261.71052631578948</v>
      </c>
      <c r="S19" s="582">
        <f t="shared" si="7"/>
        <v>844.29476131117951</v>
      </c>
      <c r="T19" s="555">
        <f t="shared" si="8"/>
        <v>0.40890499888329174</v>
      </c>
      <c r="U19" s="559">
        <f t="shared" si="9"/>
        <v>405.42115030277023</v>
      </c>
      <c r="V19" s="582">
        <f t="shared" si="10"/>
        <v>165.7787350118171</v>
      </c>
      <c r="W19" s="555">
        <f t="shared" si="11"/>
        <v>0.11814559728037023</v>
      </c>
      <c r="X19" s="559">
        <f t="shared" si="12"/>
        <v>37.9060089869281</v>
      </c>
      <c r="Y19" s="582">
        <f t="shared" si="13"/>
        <v>4.4784280722757019</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13568.35098888223</v>
      </c>
      <c r="I20" s="553">
        <f>ITECountywide!$B$9*E20</f>
        <v>23.998566148235899</v>
      </c>
      <c r="J20" s="554">
        <f t="shared" si="1"/>
        <v>1.67</v>
      </c>
      <c r="K20" s="416">
        <f t="shared" si="2"/>
        <v>0.85182987994952053</v>
      </c>
      <c r="L20" s="554">
        <f>Passby_Length_Adj!H15</f>
        <v>1</v>
      </c>
      <c r="M20" s="554">
        <f>Passby_Length_Adj!J15</f>
        <v>1</v>
      </c>
      <c r="N20" s="416">
        <v>0.5</v>
      </c>
      <c r="O20" s="546">
        <f t="shared" si="3"/>
        <v>0.5</v>
      </c>
      <c r="P20" s="555">
        <f t="shared" si="4"/>
        <v>72.051357122676805</v>
      </c>
      <c r="Q20" s="556">
        <f t="shared" si="5"/>
        <v>43.144525223159768</v>
      </c>
      <c r="R20" s="561">
        <f t="shared" si="6"/>
        <v>261.71052631578948</v>
      </c>
      <c r="S20" s="582">
        <f t="shared" si="7"/>
        <v>11291.376403797998</v>
      </c>
      <c r="T20" s="555">
        <f t="shared" si="8"/>
        <v>5.4685880658735178</v>
      </c>
      <c r="U20" s="559">
        <f t="shared" si="9"/>
        <v>405.42115030277023</v>
      </c>
      <c r="V20" s="582">
        <f t="shared" si="10"/>
        <v>2217.081264198443</v>
      </c>
      <c r="W20" s="555">
        <f t="shared" si="11"/>
        <v>1.5800481898910121</v>
      </c>
      <c r="X20" s="559">
        <f t="shared" si="12"/>
        <v>37.9060089869281</v>
      </c>
      <c r="Y20" s="582">
        <f t="shared" si="13"/>
        <v>59.893320885788185</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9550.048853028884</v>
      </c>
      <c r="I22" s="553">
        <f>ITECountywide!$B$9*E22</f>
        <v>17.110760154029219</v>
      </c>
      <c r="J22" s="554">
        <f t="shared" ref="J22:J35" si="14">IF(F22="Prod",$M$3,$M$4)</f>
        <v>1.67</v>
      </c>
      <c r="K22" s="416">
        <f t="shared" ref="K22:K35" si="15">IF(F22="Prod",$F$4,$F$5)</f>
        <v>0.85173719352368216</v>
      </c>
      <c r="L22" s="554">
        <f>Passby_Length_Adj!H17</f>
        <v>1</v>
      </c>
      <c r="M22" s="554">
        <f>Passby_Length_Adj!J17</f>
        <v>1</v>
      </c>
      <c r="N22" s="416">
        <v>0.5</v>
      </c>
      <c r="O22" s="546">
        <f t="shared" ref="O22:O35" si="16">L22*M22*N22</f>
        <v>0.5</v>
      </c>
      <c r="P22" s="555">
        <f t="shared" ref="P22:P35" si="17">IF($F22="Prod",$I22*$O22*$F$4*$F$6,$I22*O22*$F$5*$F$7)</f>
        <v>50.921853482291986</v>
      </c>
      <c r="Q22" s="556">
        <f t="shared" ref="Q22:Q35" si="18">+P22/J22</f>
        <v>30.492127833707777</v>
      </c>
      <c r="R22" s="561">
        <f t="shared" ref="R22:R35" si="19">+$Q$4</f>
        <v>261.71052631578948</v>
      </c>
      <c r="S22" s="582">
        <f t="shared" ref="S22:S35" si="20">+Q22*R22</f>
        <v>7980.1108238479956</v>
      </c>
      <c r="T22" s="555">
        <f t="shared" ref="T22:T35" si="21">IF($F22="Prod",$I22*$O22*$G$4*$G$6,$I22*$O22*$G$5*$G$7)</f>
        <v>3.7678048158151798</v>
      </c>
      <c r="U22" s="559">
        <f t="shared" ref="U22:U35" si="22">+$R$4</f>
        <v>405.42115030277023</v>
      </c>
      <c r="V22" s="582">
        <f t="shared" ref="V22:V35" si="23">+T22*U22</f>
        <v>1527.5477625441074</v>
      </c>
      <c r="W22" s="555">
        <f t="shared" ref="W22:W35" si="24">IF($F22="Prod",$I22*$O22*$J$4*$J$6,$I22*$O22*$J$5*$J$7)</f>
        <v>1.1182993876089595</v>
      </c>
      <c r="X22" s="559">
        <f t="shared" ref="X22:X35" si="25">$S$4</f>
        <v>37.9060089869281</v>
      </c>
      <c r="Y22" s="582">
        <f t="shared" ref="Y22:Y35" si="26">+W22*X22</f>
        <v>42.390266636781412</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7405.3344919673145</v>
      </c>
      <c r="I23" s="553">
        <f>ITECountywide!$B$9*E23</f>
        <v>13.268089441471812</v>
      </c>
      <c r="J23" s="554">
        <f t="shared" si="14"/>
        <v>1.67</v>
      </c>
      <c r="K23" s="416">
        <f t="shared" si="15"/>
        <v>0.85173719352368216</v>
      </c>
      <c r="L23" s="554">
        <f>Passby_Length_Adj!H18</f>
        <v>1</v>
      </c>
      <c r="M23" s="554">
        <f>Passby_Length_Adj!J18</f>
        <v>1</v>
      </c>
      <c r="N23" s="416">
        <v>0.5</v>
      </c>
      <c r="O23" s="546">
        <f t="shared" si="16"/>
        <v>0.5</v>
      </c>
      <c r="P23" s="555">
        <f t="shared" si="17"/>
        <v>39.486013505336587</v>
      </c>
      <c r="Q23" s="556">
        <f t="shared" si="18"/>
        <v>23.644319464273405</v>
      </c>
      <c r="R23" s="561">
        <f t="shared" si="19"/>
        <v>261.71052631578948</v>
      </c>
      <c r="S23" s="582">
        <f t="shared" si="20"/>
        <v>6187.9672913736586</v>
      </c>
      <c r="T23" s="555">
        <f t="shared" si="21"/>
        <v>2.9216452597210938</v>
      </c>
      <c r="U23" s="559">
        <f t="shared" si="22"/>
        <v>405.42115030277023</v>
      </c>
      <c r="V23" s="582">
        <f t="shared" si="23"/>
        <v>1184.4967819727617</v>
      </c>
      <c r="W23" s="555">
        <f t="shared" si="24"/>
        <v>0.86715588106965946</v>
      </c>
      <c r="X23" s="559">
        <f t="shared" si="25"/>
        <v>37.9060089869281</v>
      </c>
      <c r="Y23" s="582">
        <f t="shared" si="26"/>
        <v>32.870418620894064</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5503.4179831013917</v>
      </c>
      <c r="I24" s="553">
        <f>ITECountywide!$B$9*E24</f>
        <v>9.8604380548642965</v>
      </c>
      <c r="J24" s="554">
        <f t="shared" si="14"/>
        <v>1.67</v>
      </c>
      <c r="K24" s="416">
        <f t="shared" si="15"/>
        <v>0.85173719352368216</v>
      </c>
      <c r="L24" s="554">
        <f>Passby_Length_Adj!H19</f>
        <v>1</v>
      </c>
      <c r="M24" s="554">
        <f>Passby_Length_Adj!J19</f>
        <v>1</v>
      </c>
      <c r="N24" s="416">
        <v>0.5</v>
      </c>
      <c r="O24" s="546">
        <f t="shared" si="16"/>
        <v>0.5</v>
      </c>
      <c r="P24" s="555">
        <f t="shared" si="17"/>
        <v>29.344796921998771</v>
      </c>
      <c r="Q24" s="556">
        <f t="shared" si="18"/>
        <v>17.5717346838316</v>
      </c>
      <c r="R24" s="561">
        <f t="shared" si="19"/>
        <v>261.71052631578948</v>
      </c>
      <c r="S24" s="582">
        <f t="shared" si="20"/>
        <v>4598.7079323869812</v>
      </c>
      <c r="T24" s="555">
        <f t="shared" si="21"/>
        <v>2.1712773514867139</v>
      </c>
      <c r="U24" s="559">
        <f t="shared" si="22"/>
        <v>405.42115030277023</v>
      </c>
      <c r="V24" s="582">
        <f t="shared" si="23"/>
        <v>880.28176146609587</v>
      </c>
      <c r="W24" s="555">
        <f t="shared" si="24"/>
        <v>0.64444371489329877</v>
      </c>
      <c r="X24" s="559">
        <f t="shared" si="25"/>
        <v>37.9060089869281</v>
      </c>
      <c r="Y24" s="582">
        <f t="shared" si="26"/>
        <v>24.428289248314712</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4501.8768427943369</v>
      </c>
      <c r="I25" s="553">
        <f>ITECountywide!$B$9*E25</f>
        <v>8.0659833353209791</v>
      </c>
      <c r="J25" s="554">
        <f t="shared" si="14"/>
        <v>1.67</v>
      </c>
      <c r="K25" s="416">
        <f t="shared" si="15"/>
        <v>0.85173719352368216</v>
      </c>
      <c r="L25" s="554">
        <f>Passby_Length_Adj!H20</f>
        <v>1</v>
      </c>
      <c r="M25" s="554">
        <f>Passby_Length_Adj!J20</f>
        <v>1</v>
      </c>
      <c r="N25" s="416">
        <v>0.5</v>
      </c>
      <c r="O25" s="546">
        <f t="shared" si="16"/>
        <v>0.5</v>
      </c>
      <c r="P25" s="555">
        <f t="shared" si="17"/>
        <v>24.004475423326205</v>
      </c>
      <c r="Q25" s="556">
        <f t="shared" si="18"/>
        <v>14.373937379237249</v>
      </c>
      <c r="R25" s="561">
        <f t="shared" si="19"/>
        <v>261.71052631578948</v>
      </c>
      <c r="S25" s="582">
        <f t="shared" si="20"/>
        <v>3761.8107167503804</v>
      </c>
      <c r="T25" s="555">
        <f t="shared" si="21"/>
        <v>1.7761368040654191</v>
      </c>
      <c r="U25" s="559">
        <f t="shared" si="22"/>
        <v>405.42115030277023</v>
      </c>
      <c r="V25" s="582">
        <f t="shared" si="23"/>
        <v>720.08342619928817</v>
      </c>
      <c r="W25" s="555">
        <f t="shared" si="24"/>
        <v>0.5271644358961729</v>
      </c>
      <c r="X25" s="559">
        <f t="shared" si="25"/>
        <v>37.9060089869281</v>
      </c>
      <c r="Y25" s="582">
        <f t="shared" si="26"/>
        <v>19.982699844669213</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5928.3142244437795</v>
      </c>
      <c r="I26" s="553">
        <f>ITECountywide!$B$9*E26</f>
        <v>10.621721875276615</v>
      </c>
      <c r="J26" s="554">
        <f t="shared" si="14"/>
        <v>1.67</v>
      </c>
      <c r="K26" s="416">
        <f t="shared" si="15"/>
        <v>0.85173719352368216</v>
      </c>
      <c r="L26" s="554">
        <f>Passby_Length_Adj!H22</f>
        <v>1</v>
      </c>
      <c r="M26" s="554">
        <f>Passby_Length_Adj!J22</f>
        <v>1</v>
      </c>
      <c r="N26" s="416">
        <v>0.5</v>
      </c>
      <c r="O26" s="546">
        <f t="shared" si="16"/>
        <v>0.5</v>
      </c>
      <c r="P26" s="555">
        <f t="shared" si="17"/>
        <v>31.610387860829565</v>
      </c>
      <c r="Q26" s="556">
        <f t="shared" si="18"/>
        <v>18.928375964568602</v>
      </c>
      <c r="R26" s="561">
        <f t="shared" si="19"/>
        <v>261.71052631578948</v>
      </c>
      <c r="S26" s="582">
        <f t="shared" si="20"/>
        <v>4953.7552359903884</v>
      </c>
      <c r="T26" s="555">
        <f t="shared" si="21"/>
        <v>2.3389127352412031</v>
      </c>
      <c r="U26" s="559">
        <f t="shared" si="22"/>
        <v>405.42115030277023</v>
      </c>
      <c r="V26" s="582">
        <f t="shared" si="23"/>
        <v>948.24469157928729</v>
      </c>
      <c r="W26" s="555">
        <f t="shared" si="24"/>
        <v>0.69419856052844331</v>
      </c>
      <c r="X26" s="559">
        <f t="shared" si="25"/>
        <v>37.9060089869281</v>
      </c>
      <c r="Y26" s="582">
        <f t="shared" si="26"/>
        <v>26.314296874103722</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3480.1025481376446</v>
      </c>
      <c r="I27" s="553">
        <f>ITECountywide!$B$9*E27</f>
        <v>6.2352770052818345</v>
      </c>
      <c r="J27" s="554">
        <f t="shared" si="14"/>
        <v>1.67</v>
      </c>
      <c r="K27" s="416">
        <f t="shared" si="15"/>
        <v>0.85173719352368216</v>
      </c>
      <c r="L27" s="554">
        <f>Passby_Length_Adj!H22</f>
        <v>1</v>
      </c>
      <c r="M27" s="554">
        <f>Passby_Length_Adj!J22</f>
        <v>1</v>
      </c>
      <c r="N27" s="416">
        <v>0.5</v>
      </c>
      <c r="O27" s="546">
        <f t="shared" si="16"/>
        <v>0.5</v>
      </c>
      <c r="P27" s="555">
        <f t="shared" si="17"/>
        <v>18.556268641852164</v>
      </c>
      <c r="Q27" s="556">
        <f t="shared" si="18"/>
        <v>11.111538108893512</v>
      </c>
      <c r="R27" s="561">
        <f t="shared" si="19"/>
        <v>261.71052631578948</v>
      </c>
      <c r="S27" s="582">
        <f t="shared" si="20"/>
        <v>2908.006486656473</v>
      </c>
      <c r="T27" s="555">
        <f t="shared" si="21"/>
        <v>1.3730136193224809</v>
      </c>
      <c r="U27" s="559">
        <f t="shared" si="22"/>
        <v>405.42115030277023</v>
      </c>
      <c r="V27" s="582">
        <f t="shared" si="23"/>
        <v>556.64876092709005</v>
      </c>
      <c r="W27" s="555">
        <f t="shared" si="24"/>
        <v>0.40751587853546833</v>
      </c>
      <c r="X27" s="559">
        <f t="shared" si="25"/>
        <v>37.9060089869281</v>
      </c>
      <c r="Y27" s="582">
        <f t="shared" si="26"/>
        <v>15.447300554081362</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5058.2885874093681</v>
      </c>
      <c r="I28" s="553">
        <f>ITECountywide!$B$9*E28</f>
        <v>9.0629026239561554</v>
      </c>
      <c r="J28" s="554">
        <f t="shared" si="14"/>
        <v>1.67</v>
      </c>
      <c r="K28" s="416">
        <f t="shared" si="15"/>
        <v>0.85173719352368216</v>
      </c>
      <c r="L28" s="554">
        <f>Passby_Length_Adj!H23</f>
        <v>1</v>
      </c>
      <c r="M28" s="554">
        <f>Passby_Length_Adj!J23</f>
        <v>1</v>
      </c>
      <c r="N28" s="416">
        <v>0.5</v>
      </c>
      <c r="O28" s="546">
        <f t="shared" si="16"/>
        <v>0.5</v>
      </c>
      <c r="P28" s="555">
        <f t="shared" si="17"/>
        <v>26.971320700366523</v>
      </c>
      <c r="Q28" s="556">
        <f t="shared" si="18"/>
        <v>16.150491437345224</v>
      </c>
      <c r="R28" s="561">
        <f t="shared" si="19"/>
        <v>261.71052631578948</v>
      </c>
      <c r="S28" s="582">
        <f t="shared" si="20"/>
        <v>4226.7536143262696</v>
      </c>
      <c r="T28" s="555">
        <f t="shared" si="21"/>
        <v>1.995659330410583</v>
      </c>
      <c r="U28" s="559">
        <f t="shared" si="22"/>
        <v>405.42115030277023</v>
      </c>
      <c r="V28" s="582">
        <f t="shared" si="23"/>
        <v>809.08250134751472</v>
      </c>
      <c r="W28" s="555">
        <f t="shared" si="24"/>
        <v>0.59231959089457609</v>
      </c>
      <c r="X28" s="559">
        <f t="shared" si="25"/>
        <v>37.9060089869281</v>
      </c>
      <c r="Y28" s="582">
        <f t="shared" si="26"/>
        <v>22.452471735583376</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4319.7784536475992</v>
      </c>
      <c r="I29" s="553">
        <f>ITECountywide!$B$9*E29</f>
        <v>7.739718840858556</v>
      </c>
      <c r="J29" s="554">
        <f t="shared" si="14"/>
        <v>1.67</v>
      </c>
      <c r="K29" s="416">
        <f t="shared" si="15"/>
        <v>0.85173719352368216</v>
      </c>
      <c r="L29" s="554">
        <f>Passby_Length_Adj!H24</f>
        <v>1</v>
      </c>
      <c r="M29" s="554">
        <f>Passby_Length_Adj!J24</f>
        <v>1</v>
      </c>
      <c r="N29" s="416">
        <v>0.5</v>
      </c>
      <c r="O29" s="546">
        <f t="shared" si="16"/>
        <v>0.5</v>
      </c>
      <c r="P29" s="555">
        <f t="shared" si="17"/>
        <v>23.033507878113006</v>
      </c>
      <c r="Q29" s="556">
        <f t="shared" si="18"/>
        <v>13.792519687492819</v>
      </c>
      <c r="R29" s="561">
        <f t="shared" si="19"/>
        <v>261.71052631578948</v>
      </c>
      <c r="S29" s="582">
        <f t="shared" si="20"/>
        <v>3609.6475866346336</v>
      </c>
      <c r="T29" s="555">
        <f t="shared" si="21"/>
        <v>1.7042930681706376</v>
      </c>
      <c r="U29" s="559">
        <f t="shared" si="22"/>
        <v>405.42115030277023</v>
      </c>
      <c r="V29" s="582">
        <f t="shared" si="23"/>
        <v>690.95645615077751</v>
      </c>
      <c r="W29" s="555">
        <f t="shared" si="24"/>
        <v>0.50584093062396795</v>
      </c>
      <c r="X29" s="559">
        <f t="shared" si="25"/>
        <v>37.9060089869281</v>
      </c>
      <c r="Y29" s="582">
        <f t="shared" si="26"/>
        <v>19.174410862188203</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3743.1335546829323</v>
      </c>
      <c r="I30" s="553">
        <f>ITECountywide!$B$9*E30</f>
        <v>6.7065479417275551</v>
      </c>
      <c r="J30" s="554">
        <f t="shared" si="14"/>
        <v>1.67</v>
      </c>
      <c r="K30" s="416">
        <f t="shared" si="15"/>
        <v>0.85173719352368216</v>
      </c>
      <c r="L30" s="554">
        <f>Passby_Length_Adj!H25</f>
        <v>1</v>
      </c>
      <c r="M30" s="554">
        <f>Passby_Length_Adj!J25</f>
        <v>1</v>
      </c>
      <c r="N30" s="416">
        <v>0.5</v>
      </c>
      <c r="O30" s="546">
        <f t="shared" si="16"/>
        <v>0.5</v>
      </c>
      <c r="P30" s="555">
        <f t="shared" si="17"/>
        <v>19.958777318271228</v>
      </c>
      <c r="Q30" s="556">
        <f t="shared" si="18"/>
        <v>11.951363663635465</v>
      </c>
      <c r="R30" s="561">
        <f t="shared" si="19"/>
        <v>261.71052631578948</v>
      </c>
      <c r="S30" s="582">
        <f t="shared" si="20"/>
        <v>3127.7976746014397</v>
      </c>
      <c r="T30" s="555">
        <f t="shared" si="21"/>
        <v>1.4767879045038312</v>
      </c>
      <c r="U30" s="559">
        <f t="shared" si="22"/>
        <v>405.42115030277023</v>
      </c>
      <c r="V30" s="582">
        <f t="shared" si="23"/>
        <v>598.72105099716089</v>
      </c>
      <c r="W30" s="555">
        <f t="shared" si="24"/>
        <v>0.43831649726198635</v>
      </c>
      <c r="X30" s="559">
        <f t="shared" si="25"/>
        <v>37.9060089869281</v>
      </c>
      <c r="Y30" s="582">
        <f t="shared" si="26"/>
        <v>16.614829084331699</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2043.5485893133844</v>
      </c>
      <c r="I31" s="553">
        <f>ITECountywide!$B$9*E31</f>
        <v>3.6614126600782866</v>
      </c>
      <c r="J31" s="554">
        <f t="shared" si="14"/>
        <v>1.67</v>
      </c>
      <c r="K31" s="416">
        <f t="shared" si="15"/>
        <v>0.85173719352368216</v>
      </c>
      <c r="L31" s="554">
        <f>Passby_Length_Adj!H26</f>
        <v>1</v>
      </c>
      <c r="M31" s="554">
        <f>Passby_Length_Adj!J26</f>
        <v>1</v>
      </c>
      <c r="N31" s="416">
        <v>0.5</v>
      </c>
      <c r="O31" s="546">
        <f t="shared" si="16"/>
        <v>0.5</v>
      </c>
      <c r="P31" s="555">
        <f t="shared" si="17"/>
        <v>10.896413562948073</v>
      </c>
      <c r="Q31" s="556">
        <f t="shared" si="18"/>
        <v>6.5247985406874687</v>
      </c>
      <c r="R31" s="557">
        <f t="shared" si="19"/>
        <v>261.71052631578948</v>
      </c>
      <c r="S31" s="582">
        <f t="shared" si="20"/>
        <v>1707.6084601878126</v>
      </c>
      <c r="T31" s="555">
        <f t="shared" si="21"/>
        <v>0.80624636948587547</v>
      </c>
      <c r="U31" s="559">
        <f t="shared" si="22"/>
        <v>405.42115030277023</v>
      </c>
      <c r="V31" s="582">
        <f t="shared" si="23"/>
        <v>326.86933054439595</v>
      </c>
      <c r="W31" s="555">
        <f t="shared" si="24"/>
        <v>0.23929711472140874</v>
      </c>
      <c r="X31" s="559">
        <f t="shared" si="25"/>
        <v>37.9060089869281</v>
      </c>
      <c r="Y31" s="582">
        <f t="shared" si="26"/>
        <v>9.0707985811756853</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2630.3100654528707</v>
      </c>
      <c r="I32" s="553">
        <f>ITECountywide!$B$9*E32</f>
        <v>4.7127093644572007</v>
      </c>
      <c r="J32" s="562">
        <f t="shared" si="14"/>
        <v>1.67</v>
      </c>
      <c r="K32" s="416">
        <f t="shared" si="15"/>
        <v>0.85173719352368216</v>
      </c>
      <c r="L32" s="554">
        <f>Passby_Length_Adj!H27</f>
        <v>1</v>
      </c>
      <c r="M32" s="554">
        <f>Passby_Length_Adj!J27</f>
        <v>1</v>
      </c>
      <c r="N32" s="416">
        <v>0.5</v>
      </c>
      <c r="O32" s="546">
        <f t="shared" si="16"/>
        <v>0.5</v>
      </c>
      <c r="P32" s="555">
        <f t="shared" si="17"/>
        <v>14.02508676419059</v>
      </c>
      <c r="Q32" s="556">
        <f t="shared" si="18"/>
        <v>8.3982555474195149</v>
      </c>
      <c r="R32" s="557">
        <f t="shared" si="19"/>
        <v>261.71052631578948</v>
      </c>
      <c r="S32" s="582">
        <f t="shared" si="20"/>
        <v>2197.9118794496599</v>
      </c>
      <c r="T32" s="555">
        <f t="shared" si="21"/>
        <v>1.037742851813503</v>
      </c>
      <c r="U32" s="563">
        <f t="shared" si="22"/>
        <v>405.42115030277023</v>
      </c>
      <c r="V32" s="583">
        <f t="shared" si="23"/>
        <v>420.72290070070761</v>
      </c>
      <c r="W32" s="555">
        <f t="shared" si="24"/>
        <v>0.30800618726517959</v>
      </c>
      <c r="X32" s="563">
        <f t="shared" si="25"/>
        <v>37.9060089869281</v>
      </c>
      <c r="Y32" s="583">
        <f t="shared" si="26"/>
        <v>11.675285302503356</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2427.978521956496</v>
      </c>
      <c r="I33" s="553">
        <f>ITECountywide!$B$9*E33</f>
        <v>4.3501932594989539</v>
      </c>
      <c r="J33" s="562">
        <f t="shared" si="14"/>
        <v>1.67</v>
      </c>
      <c r="K33" s="416">
        <f t="shared" si="15"/>
        <v>0.85173719352368216</v>
      </c>
      <c r="L33" s="554">
        <f>Passby_Length_Adj!H28</f>
        <v>1</v>
      </c>
      <c r="M33" s="554">
        <f>Passby_Length_Adj!J28</f>
        <v>1</v>
      </c>
      <c r="N33" s="416">
        <v>0.5</v>
      </c>
      <c r="O33" s="546">
        <f t="shared" si="16"/>
        <v>0.5</v>
      </c>
      <c r="P33" s="555">
        <f t="shared" si="17"/>
        <v>12.946233936175927</v>
      </c>
      <c r="Q33" s="556">
        <f t="shared" si="18"/>
        <v>7.7522358899257053</v>
      </c>
      <c r="R33" s="557">
        <f t="shared" si="19"/>
        <v>261.71052631578948</v>
      </c>
      <c r="S33" s="582">
        <f t="shared" si="20"/>
        <v>2028.8417348766091</v>
      </c>
      <c r="T33" s="555">
        <f t="shared" si="21"/>
        <v>0.95791647859707973</v>
      </c>
      <c r="U33" s="559">
        <f t="shared" si="22"/>
        <v>405.42115030277023</v>
      </c>
      <c r="V33" s="582">
        <f t="shared" si="23"/>
        <v>388.35960064680705</v>
      </c>
      <c r="W33" s="555">
        <f t="shared" si="24"/>
        <v>0.2843134036293965</v>
      </c>
      <c r="X33" s="559">
        <f t="shared" si="25"/>
        <v>37.9060089869281</v>
      </c>
      <c r="Y33" s="582">
        <f t="shared" si="26"/>
        <v>10.77718643308002</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8730.6061018685705</v>
      </c>
      <c r="I34" s="553">
        <f>ITECountywide!$B$9*E34</f>
        <v>15.642569928948324</v>
      </c>
      <c r="J34" s="562">
        <f t="shared" si="14"/>
        <v>1.67</v>
      </c>
      <c r="K34" s="416">
        <f t="shared" si="15"/>
        <v>0.85173719352368216</v>
      </c>
      <c r="L34" s="554">
        <f>Passby_Length_Adj!H29</f>
        <v>1</v>
      </c>
      <c r="M34" s="554">
        <f>Passby_Length_Adj!J29</f>
        <v>1</v>
      </c>
      <c r="N34" s="416">
        <v>0.5</v>
      </c>
      <c r="O34" s="546">
        <f t="shared" si="16"/>
        <v>0.5</v>
      </c>
      <c r="P34" s="555">
        <f t="shared" si="17"/>
        <v>46.55249952883262</v>
      </c>
      <c r="Q34" s="556">
        <f t="shared" si="18"/>
        <v>27.875748220857858</v>
      </c>
      <c r="R34" s="557">
        <f t="shared" si="19"/>
        <v>261.71052631578948</v>
      </c>
      <c r="S34" s="582">
        <f t="shared" si="20"/>
        <v>7295.3767383271424</v>
      </c>
      <c r="T34" s="555">
        <f t="shared" si="21"/>
        <v>3.4445080042886662</v>
      </c>
      <c r="U34" s="559">
        <f t="shared" si="22"/>
        <v>405.42115030277023</v>
      </c>
      <c r="V34" s="582">
        <f t="shared" si="23"/>
        <v>1396.4763973258105</v>
      </c>
      <c r="W34" s="555">
        <f t="shared" si="24"/>
        <v>1.0223436138840383</v>
      </c>
      <c r="X34" s="559">
        <f t="shared" si="25"/>
        <v>37.9060089869281</v>
      </c>
      <c r="Y34" s="582">
        <f t="shared" si="26"/>
        <v>38.752966215616908</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7921.2799278830698</v>
      </c>
      <c r="I35" s="553">
        <f>ITECountywide!$B$9*E35</f>
        <v>14.192505509115339</v>
      </c>
      <c r="J35" s="562">
        <f t="shared" si="14"/>
        <v>1.67</v>
      </c>
      <c r="K35" s="416">
        <f t="shared" si="15"/>
        <v>0.85173719352368216</v>
      </c>
      <c r="L35" s="554">
        <f>Passby_Length_Adj!H30</f>
        <v>1</v>
      </c>
      <c r="M35" s="554">
        <f>Passby_Length_Adj!J30</f>
        <v>1</v>
      </c>
      <c r="N35" s="416">
        <v>0.5</v>
      </c>
      <c r="O35" s="546">
        <f t="shared" si="16"/>
        <v>0.5</v>
      </c>
      <c r="P35" s="555">
        <f t="shared" si="17"/>
        <v>42.237088216773969</v>
      </c>
      <c r="Q35" s="556">
        <f t="shared" si="18"/>
        <v>25.291669590882616</v>
      </c>
      <c r="R35" s="561">
        <f t="shared" si="19"/>
        <v>261.71052631578948</v>
      </c>
      <c r="S35" s="582">
        <f t="shared" si="20"/>
        <v>6619.0961600349374</v>
      </c>
      <c r="T35" s="555">
        <f t="shared" si="21"/>
        <v>3.1252025114229727</v>
      </c>
      <c r="U35" s="559">
        <f t="shared" si="22"/>
        <v>405.42115030277023</v>
      </c>
      <c r="V35" s="582">
        <f t="shared" si="23"/>
        <v>1267.023197110208</v>
      </c>
      <c r="W35" s="555">
        <f t="shared" si="24"/>
        <v>0.92757247934090625</v>
      </c>
      <c r="X35" s="559">
        <f t="shared" si="25"/>
        <v>37.9060089869281</v>
      </c>
      <c r="Y35" s="582">
        <f t="shared" si="26"/>
        <v>35.160570737923571</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8457.4585181484617</v>
      </c>
      <c r="I37" s="553">
        <f>ITECountywide!$B$9*E37</f>
        <v>15.153173187254691</v>
      </c>
      <c r="J37" s="562">
        <f>IF(F37="Prod",$M$3,$M$4)</f>
        <v>1.67</v>
      </c>
      <c r="K37" s="416">
        <f>IF(F37="Prod",$F$4,$F$5)</f>
        <v>0.85173719352368216</v>
      </c>
      <c r="L37" s="554">
        <f>Passby_Length_Adj!H32</f>
        <v>1</v>
      </c>
      <c r="M37" s="554">
        <f>Passby_Length_Adj!J32</f>
        <v>1</v>
      </c>
      <c r="N37" s="416">
        <v>0.5</v>
      </c>
      <c r="O37" s="546">
        <f>L37*M37*N37</f>
        <v>0.5</v>
      </c>
      <c r="P37" s="555">
        <f>IF($F37="Prod",$I37*$O37*$F$4*$F$6,$I37*O37*$F$5*$F$7)</f>
        <v>45.096048211012821</v>
      </c>
      <c r="Q37" s="556">
        <f>+P37/J37</f>
        <v>27.00362168324121</v>
      </c>
      <c r="R37" s="561">
        <f>+$Q$4</f>
        <v>261.71052631578948</v>
      </c>
      <c r="S37" s="582">
        <f>+Q37*R37</f>
        <v>7067.1320431535223</v>
      </c>
      <c r="T37" s="555">
        <f>IF($F37="Prod",$I37*$O37*$G$4*$G$6,$I37*$O37*$G$5*$G$7)</f>
        <v>3.3367424004464943</v>
      </c>
      <c r="U37" s="559">
        <f>+$R$4</f>
        <v>405.42115030277023</v>
      </c>
      <c r="V37" s="582">
        <f>+T37*U37</f>
        <v>1352.7859422530446</v>
      </c>
      <c r="W37" s="555">
        <f>IF($F37="Prod",$I37*$O37*$J$4*$J$6,$I37*$O37*$J$5*$J$7)</f>
        <v>0.99035835597573119</v>
      </c>
      <c r="X37" s="559">
        <f>$S$4</f>
        <v>37.9060089869281</v>
      </c>
      <c r="Y37" s="582">
        <f>+W37*X37</f>
        <v>37.540532741895404</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4511.9934199691561</v>
      </c>
      <c r="I38" s="553">
        <f>ITECountywide!$B$9*E38</f>
        <v>8.0841091405688896</v>
      </c>
      <c r="J38" s="562">
        <f>IF(F38="Prod",$M$3,$M$4)</f>
        <v>1.67</v>
      </c>
      <c r="K38" s="416">
        <f>IF(F38="Prod",$F$4,$F$5)</f>
        <v>0.85173719352368216</v>
      </c>
      <c r="L38" s="554">
        <f>Passby_Length_Adj!H33</f>
        <v>1</v>
      </c>
      <c r="M38" s="554">
        <f>Passby_Length_Adj!J33</f>
        <v>1</v>
      </c>
      <c r="N38" s="416">
        <v>0.5</v>
      </c>
      <c r="O38" s="546">
        <f>L38*M38*N38</f>
        <v>0.5</v>
      </c>
      <c r="P38" s="555">
        <f>IF($F38="Prod",$I38*$O38*$F$4*$F$6,$I38*O38*$F$5*$F$7)</f>
        <v>24.058418064726933</v>
      </c>
      <c r="Q38" s="556">
        <f>+P38/J38</f>
        <v>14.406238362111937</v>
      </c>
      <c r="R38" s="561">
        <f>+$Q$4</f>
        <v>261.71052631578948</v>
      </c>
      <c r="S38" s="582">
        <f>+Q38*R38</f>
        <v>3770.2642239790321</v>
      </c>
      <c r="T38" s="555">
        <f>IF($F38="Prod",$I38*$O38*$G$4*$G$6,$I38*$O38*$G$5*$G$7)</f>
        <v>1.7801281227262398</v>
      </c>
      <c r="U38" s="559">
        <f>+$R$4</f>
        <v>405.42115030277023</v>
      </c>
      <c r="V38" s="582">
        <f>+T38*U38</f>
        <v>721.70159120198309</v>
      </c>
      <c r="W38" s="555">
        <f>IF($F38="Prod",$I38*$O38*$J$4*$J$6,$I38*$O38*$J$5*$J$7)</f>
        <v>0.52834907507796181</v>
      </c>
      <c r="X38" s="559">
        <f>$S$4</f>
        <v>37.9060089869281</v>
      </c>
      <c r="Y38" s="582">
        <f>+W38*X38</f>
        <v>20.027604788140369</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3389.0533535642767</v>
      </c>
      <c r="I39" s="553">
        <f>ITECountywide!$B$9*E39</f>
        <v>6.0721447580506238</v>
      </c>
      <c r="J39" s="562">
        <f>IF(F39="Prod",$M$3,$M$4)</f>
        <v>1.67</v>
      </c>
      <c r="K39" s="416">
        <f>IF(F39="Prod",$F$4,$F$5)</f>
        <v>0.85173719352368216</v>
      </c>
      <c r="L39" s="554">
        <f>Passby_Length_Adj!H34</f>
        <v>1</v>
      </c>
      <c r="M39" s="554">
        <f>Passby_Length_Adj!J34</f>
        <v>1</v>
      </c>
      <c r="N39" s="416">
        <v>0.5</v>
      </c>
      <c r="O39" s="546">
        <f>L39*M39*N39</f>
        <v>0.5</v>
      </c>
      <c r="P39" s="555">
        <f>IF($F39="Prod",$I39*$O39*$F$4*$F$6,$I39*O39*$F$5*$F$7)</f>
        <v>18.070784869245571</v>
      </c>
      <c r="Q39" s="556">
        <f>+P39/J39</f>
        <v>10.820829263021301</v>
      </c>
      <c r="R39" s="561">
        <f>+$Q$4</f>
        <v>261.71052631578948</v>
      </c>
      <c r="S39" s="582">
        <f>+Q39*R39</f>
        <v>2831.924921598601</v>
      </c>
      <c r="T39" s="555">
        <f>IF($F39="Prod",$I39*$O39*$G$4*$G$6,$I39*$O39*$G$5*$G$7)</f>
        <v>1.3370917513750904</v>
      </c>
      <c r="U39" s="559">
        <f>+$R$4</f>
        <v>405.42115030277023</v>
      </c>
      <c r="V39" s="582">
        <f>+T39*U39</f>
        <v>542.08527590283484</v>
      </c>
      <c r="W39" s="555">
        <f>IF($F39="Prod",$I39*$O39*$J$4*$J$6,$I39*$O39*$J$5*$J$7)</f>
        <v>0.39685412589936597</v>
      </c>
      <c r="X39" s="559">
        <f>$S$4</f>
        <v>37.9060089869281</v>
      </c>
      <c r="Y39" s="582">
        <f>+W39*X39</f>
        <v>15.043156062840863</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4066.8640242771312</v>
      </c>
      <c r="I40" s="553">
        <f>ITECountywide!$B$9*E40</f>
        <v>7.2865737096607477</v>
      </c>
      <c r="J40" s="562">
        <f>IF(F40="Prod",$M$3,$M$4)</f>
        <v>1.67</v>
      </c>
      <c r="K40" s="416">
        <f>IF(F40="Prod",$F$4,$F$5)</f>
        <v>0.85173719352368216</v>
      </c>
      <c r="L40" s="554">
        <f>Passby_Length_Adj!H35</f>
        <v>1</v>
      </c>
      <c r="M40" s="554">
        <f>Passby_Length_Adj!J35</f>
        <v>1</v>
      </c>
      <c r="N40" s="416">
        <v>0.5</v>
      </c>
      <c r="O40" s="546">
        <f>L40*M40*N40</f>
        <v>0.5</v>
      </c>
      <c r="P40" s="555">
        <f>IF($F40="Prod",$I40*$O40*$F$4*$F$6,$I40*O40*$F$5*$F$7)</f>
        <v>21.684941843094681</v>
      </c>
      <c r="Q40" s="556">
        <f>+P40/J40</f>
        <v>12.984995115625559</v>
      </c>
      <c r="R40" s="561">
        <f>+$Q$4</f>
        <v>261.71052631578948</v>
      </c>
      <c r="S40" s="582">
        <f>+Q40*R40</f>
        <v>3398.3099059183205</v>
      </c>
      <c r="T40" s="555">
        <f>IF($F40="Prod",$I40*$O40*$G$4*$G$6,$I40*$O40*$G$5*$G$7)</f>
        <v>1.6045101016501084</v>
      </c>
      <c r="U40" s="559">
        <f>+$R$4</f>
        <v>405.42115030277023</v>
      </c>
      <c r="V40" s="582">
        <f>+T40*U40</f>
        <v>650.50233108340171</v>
      </c>
      <c r="W40" s="555">
        <f>IF($F40="Prod",$I40*$O40*$J$4*$J$6,$I40*$O40*$J$5*$J$7)</f>
        <v>0.47622495107923918</v>
      </c>
      <c r="X40" s="559">
        <f>$S$4</f>
        <v>37.9060089869281</v>
      </c>
      <c r="Y40" s="582">
        <f>+W40*X40</f>
        <v>18.051787275409033</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1087.9277833166277</v>
      </c>
      <c r="I42" s="553">
        <f>ITECountywide!$B$9*E42</f>
        <v>4.368319064746867</v>
      </c>
      <c r="J42" s="562">
        <f t="shared" ref="J42:J50" si="27">IF(F42="Prod",$M$3,$M$4)</f>
        <v>1.67</v>
      </c>
      <c r="K42" s="416">
        <f t="shared" ref="K42:K50" si="28">IF(F42="Prod",$F$4,$F$5)</f>
        <v>0.85182987994952053</v>
      </c>
      <c r="L42" s="554">
        <f>Passby_Length_Adj!H37</f>
        <v>0.4404979999697734</v>
      </c>
      <c r="M42" s="554">
        <f>Passby_Length_Adj!J37</f>
        <v>1</v>
      </c>
      <c r="N42" s="416">
        <v>0.5</v>
      </c>
      <c r="O42" s="546">
        <f t="shared" ref="O42:O50" si="29">L42*M42*N42</f>
        <v>0.2202489999848867</v>
      </c>
      <c r="P42" s="555">
        <f t="shared" ref="P42:P50" si="30">IF($F42="Prod",$I42*$O42*$F$4*$F$6,$I42*O42*$F$5*$F$7)</f>
        <v>5.7771702179327287</v>
      </c>
      <c r="Q42" s="556">
        <f t="shared" ref="Q42:Q50" si="31">+P42/J42</f>
        <v>3.4593833640315741</v>
      </c>
      <c r="R42" s="557">
        <f t="shared" ref="R42:R50" si="32">+$Q$4</f>
        <v>261.71052631578948</v>
      </c>
      <c r="S42" s="582">
        <f t="shared" ref="S42:S50" si="33">+Q42*R42</f>
        <v>905.35704092878962</v>
      </c>
      <c r="T42" s="555">
        <f t="shared" ref="T42:T50" si="34">IF($F42="Prod",$I42*$O42*$G$4*$G$6,$I42*$O42*$G$5*$G$7)</f>
        <v>0.43847840443193459</v>
      </c>
      <c r="U42" s="559">
        <f t="shared" ref="U42:U50" si="35">+$R$4</f>
        <v>405.42115030277023</v>
      </c>
      <c r="V42" s="583">
        <f t="shared" ref="V42:V50" si="36">+T42*U42</f>
        <v>177.76841910771822</v>
      </c>
      <c r="W42" s="555">
        <f t="shared" ref="W42:W50" si="37">IF($F42="Prod",$I42*$O42*$J$4*$J$6,$I42*$O42*$J$5*$J$7)</f>
        <v>0.12669029023276981</v>
      </c>
      <c r="X42" s="563">
        <f t="shared" ref="X42:X50" si="38">$S$4</f>
        <v>37.9060089869281</v>
      </c>
      <c r="Y42" s="583">
        <f t="shared" ref="Y42:Y50" si="39">+W42*X42</f>
        <v>4.8023232801199018</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13714.209982223709</v>
      </c>
      <c r="I43" s="553">
        <f>ITECountywide!$B$9*E43</f>
        <v>55.066196343157593</v>
      </c>
      <c r="J43" s="562">
        <f t="shared" si="27"/>
        <v>1.67</v>
      </c>
      <c r="K43" s="416">
        <f t="shared" si="28"/>
        <v>0.85182987994952053</v>
      </c>
      <c r="L43" s="554">
        <f>Passby_Length_Adj!H38</f>
        <v>0.4404979999697734</v>
      </c>
      <c r="M43" s="554">
        <f>Passby_Length_Adj!J38</f>
        <v>1</v>
      </c>
      <c r="N43" s="416">
        <v>0.5</v>
      </c>
      <c r="O43" s="546">
        <f t="shared" si="29"/>
        <v>0.2202489999848867</v>
      </c>
      <c r="P43" s="555">
        <f t="shared" si="30"/>
        <v>72.825905070869808</v>
      </c>
      <c r="Q43" s="556">
        <f t="shared" si="31"/>
        <v>43.608326389742402</v>
      </c>
      <c r="R43" s="557">
        <f t="shared" si="32"/>
        <v>261.71052631578948</v>
      </c>
      <c r="S43" s="582">
        <f t="shared" si="33"/>
        <v>11412.758051210216</v>
      </c>
      <c r="T43" s="555">
        <f t="shared" si="34"/>
        <v>5.5273750732955049</v>
      </c>
      <c r="U43" s="559">
        <f t="shared" si="35"/>
        <v>405.42115030277023</v>
      </c>
      <c r="V43" s="583">
        <f t="shared" si="36"/>
        <v>2240.9147603703227</v>
      </c>
      <c r="W43" s="555">
        <f t="shared" si="37"/>
        <v>1.5970336171251227</v>
      </c>
      <c r="X43" s="563">
        <f t="shared" si="38"/>
        <v>37.9060089869281</v>
      </c>
      <c r="Y43" s="583">
        <f t="shared" si="39"/>
        <v>60.537170643171194</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35251.568713359105</v>
      </c>
      <c r="I44" s="553">
        <f>ITECountywide!$B$9*E44</f>
        <v>141.54441318094723</v>
      </c>
      <c r="J44" s="562">
        <f t="shared" si="27"/>
        <v>1.67</v>
      </c>
      <c r="K44" s="416">
        <f t="shared" si="28"/>
        <v>0.85182987994952053</v>
      </c>
      <c r="L44" s="554">
        <f>Passby_Length_Adj!H39</f>
        <v>0.4404979999697734</v>
      </c>
      <c r="M44" s="554">
        <f>Passby_Length_Adj!J39</f>
        <v>1</v>
      </c>
      <c r="N44" s="416">
        <v>0.5</v>
      </c>
      <c r="O44" s="546">
        <f t="shared" si="29"/>
        <v>0.2202489999848867</v>
      </c>
      <c r="P44" s="555">
        <f t="shared" si="30"/>
        <v>187.19469805741358</v>
      </c>
      <c r="Q44" s="556">
        <f t="shared" si="31"/>
        <v>112.09263356731353</v>
      </c>
      <c r="R44" s="557">
        <f t="shared" si="32"/>
        <v>261.71052631578948</v>
      </c>
      <c r="S44" s="582">
        <f t="shared" si="33"/>
        <v>29335.822127024552</v>
      </c>
      <c r="T44" s="555">
        <f t="shared" si="34"/>
        <v>14.207791951074592</v>
      </c>
      <c r="U44" s="559">
        <f t="shared" si="35"/>
        <v>405.42115030277023</v>
      </c>
      <c r="V44" s="582">
        <f t="shared" si="36"/>
        <v>5760.1393560671013</v>
      </c>
      <c r="W44" s="555">
        <f t="shared" si="37"/>
        <v>4.1050808150526947</v>
      </c>
      <c r="X44" s="559">
        <f t="shared" si="38"/>
        <v>37.9060089869281</v>
      </c>
      <c r="Y44" s="582">
        <f t="shared" si="39"/>
        <v>155.60723026745359</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99312.909680356053</v>
      </c>
      <c r="I45" s="553">
        <f>ITECountywide!$B$9*E45</f>
        <v>398.76771545407081</v>
      </c>
      <c r="J45" s="562">
        <f t="shared" si="27"/>
        <v>1.67</v>
      </c>
      <c r="K45" s="416">
        <f t="shared" si="28"/>
        <v>0.85182987994952053</v>
      </c>
      <c r="L45" s="554">
        <f>Passby_Length_Adj!H40</f>
        <v>0.4404979999697734</v>
      </c>
      <c r="M45" s="554">
        <f>Passby_Length_Adj!J40</f>
        <v>1</v>
      </c>
      <c r="N45" s="416">
        <v>0.5</v>
      </c>
      <c r="O45" s="546">
        <f t="shared" si="29"/>
        <v>0.2202489999848867</v>
      </c>
      <c r="P45" s="555">
        <f t="shared" si="30"/>
        <v>527.37653441709551</v>
      </c>
      <c r="Q45" s="556">
        <f t="shared" si="31"/>
        <v>315.79433198628476</v>
      </c>
      <c r="R45" s="557">
        <f t="shared" si="32"/>
        <v>261.71052631578948</v>
      </c>
      <c r="S45" s="582">
        <f t="shared" si="33"/>
        <v>82646.700831673734</v>
      </c>
      <c r="T45" s="555">
        <f t="shared" si="34"/>
        <v>40.027074263496097</v>
      </c>
      <c r="U45" s="559">
        <f t="shared" si="35"/>
        <v>405.42115030277023</v>
      </c>
      <c r="V45" s="583">
        <f t="shared" si="36"/>
        <v>16227.822491160998</v>
      </c>
      <c r="W45" s="555">
        <f t="shared" si="37"/>
        <v>11.565088734941641</v>
      </c>
      <c r="X45" s="563">
        <f t="shared" si="38"/>
        <v>37.9060089869281</v>
      </c>
      <c r="Y45" s="583">
        <f t="shared" si="39"/>
        <v>438.38635752131876</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24110.465936490076</v>
      </c>
      <c r="I46" s="553">
        <f>ITECountywide!$B$9*E46</f>
        <v>96.80992582909964</v>
      </c>
      <c r="J46" s="562">
        <f t="shared" si="27"/>
        <v>1.67</v>
      </c>
      <c r="K46" s="416">
        <f t="shared" si="28"/>
        <v>0.85182987994952053</v>
      </c>
      <c r="L46" s="554">
        <f>Passby_Length_Adj!H41</f>
        <v>0.4404979999697734</v>
      </c>
      <c r="M46" s="554">
        <f>Passby_Length_Adj!J41</f>
        <v>1</v>
      </c>
      <c r="N46" s="416">
        <v>0.5</v>
      </c>
      <c r="O46" s="546">
        <f t="shared" si="29"/>
        <v>0.2202489999848867</v>
      </c>
      <c r="P46" s="555">
        <f t="shared" si="30"/>
        <v>128.0326395600776</v>
      </c>
      <c r="Q46" s="556">
        <f t="shared" si="31"/>
        <v>76.666251233579402</v>
      </c>
      <c r="R46" s="557">
        <f t="shared" si="32"/>
        <v>261.71052631578948</v>
      </c>
      <c r="S46" s="582">
        <f t="shared" si="33"/>
        <v>20064.36496099861</v>
      </c>
      <c r="T46" s="555">
        <f t="shared" si="34"/>
        <v>9.7174819836969384</v>
      </c>
      <c r="U46" s="559">
        <f t="shared" si="35"/>
        <v>405.42115030277023</v>
      </c>
      <c r="V46" s="583">
        <f t="shared" si="36"/>
        <v>3939.6727238768581</v>
      </c>
      <c r="W46" s="555">
        <f t="shared" si="37"/>
        <v>2.8076881333328774</v>
      </c>
      <c r="X46" s="563">
        <f t="shared" si="38"/>
        <v>37.9060089869281</v>
      </c>
      <c r="Y46" s="583">
        <f t="shared" si="39"/>
        <v>106.42825161460743</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13687.124643219979</v>
      </c>
      <c r="I47" s="553">
        <f>ITECountywide!$B$9*E47</f>
        <v>54.957441511670126</v>
      </c>
      <c r="J47" s="562">
        <f t="shared" si="27"/>
        <v>1.67</v>
      </c>
      <c r="K47" s="416">
        <f t="shared" si="28"/>
        <v>0.85182987994952053</v>
      </c>
      <c r="L47" s="554">
        <f>Passby_Length_Adj!H42</f>
        <v>0.4404979999697734</v>
      </c>
      <c r="M47" s="554">
        <f>Passby_Length_Adj!J42</f>
        <v>1</v>
      </c>
      <c r="N47" s="416">
        <v>0.5</v>
      </c>
      <c r="O47" s="546">
        <f t="shared" si="29"/>
        <v>0.2202489999848867</v>
      </c>
      <c r="P47" s="555">
        <f t="shared" si="30"/>
        <v>72.682075106937887</v>
      </c>
      <c r="Q47" s="556">
        <f t="shared" si="31"/>
        <v>43.522200662837058</v>
      </c>
      <c r="R47" s="557">
        <f t="shared" si="32"/>
        <v>261.71052631578948</v>
      </c>
      <c r="S47" s="582">
        <f t="shared" si="33"/>
        <v>11390.218041892489</v>
      </c>
      <c r="T47" s="555">
        <f t="shared" si="34"/>
        <v>5.5164585984963717</v>
      </c>
      <c r="U47" s="559">
        <f t="shared" si="35"/>
        <v>405.42115030277023</v>
      </c>
      <c r="V47" s="583">
        <f t="shared" si="36"/>
        <v>2236.4889906000067</v>
      </c>
      <c r="W47" s="555">
        <f t="shared" si="37"/>
        <v>1.5938795020155934</v>
      </c>
      <c r="X47" s="563">
        <f t="shared" si="38"/>
        <v>37.9060089869281</v>
      </c>
      <c r="Y47" s="583">
        <f t="shared" si="39"/>
        <v>60.41761072748357</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17470.043657408089</v>
      </c>
      <c r="I48" s="553">
        <f>ITECountywide!$B$9*E48</f>
        <v>70.146866309420645</v>
      </c>
      <c r="J48" s="562">
        <f t="shared" si="27"/>
        <v>1.67</v>
      </c>
      <c r="K48" s="416">
        <f t="shared" si="28"/>
        <v>0.85182987994952053</v>
      </c>
      <c r="L48" s="554">
        <f>Passby_Length_Adj!H43</f>
        <v>0.4404979999697734</v>
      </c>
      <c r="M48" s="554">
        <f>Passby_Length_Adj!J43</f>
        <v>1</v>
      </c>
      <c r="N48" s="416">
        <v>0.5</v>
      </c>
      <c r="O48" s="546">
        <f t="shared" si="29"/>
        <v>0.2202489999848867</v>
      </c>
      <c r="P48" s="555">
        <f t="shared" si="30"/>
        <v>92.77032673609817</v>
      </c>
      <c r="Q48" s="556">
        <f t="shared" si="31"/>
        <v>55.551093853951002</v>
      </c>
      <c r="R48" s="557">
        <f t="shared" si="32"/>
        <v>261.71052631578948</v>
      </c>
      <c r="S48" s="582">
        <f t="shared" si="33"/>
        <v>14538.306009935335</v>
      </c>
      <c r="T48" s="555">
        <f t="shared" si="34"/>
        <v>7.0411262454422685</v>
      </c>
      <c r="U48" s="559">
        <f t="shared" si="35"/>
        <v>405.42115030277023</v>
      </c>
      <c r="V48" s="583">
        <f t="shared" si="36"/>
        <v>2854.6215018542302</v>
      </c>
      <c r="W48" s="555">
        <f t="shared" si="37"/>
        <v>2.0344042456465523</v>
      </c>
      <c r="X48" s="563">
        <f t="shared" si="38"/>
        <v>37.9060089869281</v>
      </c>
      <c r="Y48" s="583">
        <f t="shared" si="39"/>
        <v>77.116145618522893</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1814.717713250142</v>
      </c>
      <c r="I49" s="553">
        <f>ITECountywide!$B$9*E49</f>
        <v>7.2865737096607477</v>
      </c>
      <c r="J49" s="562">
        <f t="shared" si="27"/>
        <v>1.67</v>
      </c>
      <c r="K49" s="416">
        <f t="shared" si="28"/>
        <v>0.85182987994952053</v>
      </c>
      <c r="L49" s="554">
        <f>Passby_Length_Adj!H44</f>
        <v>0.4404979999697734</v>
      </c>
      <c r="M49" s="554">
        <f>Passby_Length_Adj!J44</f>
        <v>1</v>
      </c>
      <c r="N49" s="416">
        <v>0.5</v>
      </c>
      <c r="O49" s="546">
        <f t="shared" si="29"/>
        <v>0.2202489999848867</v>
      </c>
      <c r="P49" s="555">
        <f t="shared" si="30"/>
        <v>9.6366075834396518</v>
      </c>
      <c r="Q49" s="556">
        <f t="shared" si="31"/>
        <v>5.7704237026584746</v>
      </c>
      <c r="R49" s="561">
        <f t="shared" si="32"/>
        <v>261.71052631578948</v>
      </c>
      <c r="S49" s="583">
        <f t="shared" si="33"/>
        <v>1510.1806242878561</v>
      </c>
      <c r="T49" s="555">
        <f t="shared" si="34"/>
        <v>0.73140381154206491</v>
      </c>
      <c r="U49" s="559">
        <f t="shared" si="35"/>
        <v>405.42115030277023</v>
      </c>
      <c r="V49" s="582">
        <f t="shared" si="36"/>
        <v>296.52657461121453</v>
      </c>
      <c r="W49" s="555">
        <f t="shared" si="37"/>
        <v>0.21132571233847902</v>
      </c>
      <c r="X49" s="559">
        <f t="shared" si="38"/>
        <v>37.9060089869281</v>
      </c>
      <c r="Y49" s="582">
        <f t="shared" si="39"/>
        <v>8.0105143510713681</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13009.99116812664</v>
      </c>
      <c r="I50" s="553">
        <f>ITECountywide!$B$9*E50</f>
        <v>52.238570724483274</v>
      </c>
      <c r="J50" s="562">
        <f t="shared" si="27"/>
        <v>1.67</v>
      </c>
      <c r="K50" s="416">
        <f t="shared" si="28"/>
        <v>0.85182987994952053</v>
      </c>
      <c r="L50" s="554">
        <f>Passby_Length_Adj!H45</f>
        <v>0.4404979999697734</v>
      </c>
      <c r="M50" s="554">
        <f>Passby_Length_Adj!J45</f>
        <v>1</v>
      </c>
      <c r="N50" s="416">
        <v>0.5</v>
      </c>
      <c r="O50" s="546">
        <f t="shared" si="29"/>
        <v>0.2202489999848867</v>
      </c>
      <c r="P50" s="555">
        <f t="shared" si="30"/>
        <v>69.086326008639503</v>
      </c>
      <c r="Q50" s="556">
        <f t="shared" si="31"/>
        <v>41.369057490203296</v>
      </c>
      <c r="R50" s="561">
        <f t="shared" si="32"/>
        <v>261.71052631578948</v>
      </c>
      <c r="S50" s="583">
        <f t="shared" si="33"/>
        <v>10826.717808949257</v>
      </c>
      <c r="T50" s="555">
        <f t="shared" si="34"/>
        <v>5.2435467285179884</v>
      </c>
      <c r="U50" s="559">
        <f t="shared" si="35"/>
        <v>405.42115030277023</v>
      </c>
      <c r="V50" s="582">
        <f t="shared" si="36"/>
        <v>2125.8447463420907</v>
      </c>
      <c r="W50" s="555">
        <f t="shared" si="37"/>
        <v>1.5150266242773547</v>
      </c>
      <c r="X50" s="559">
        <f t="shared" si="38"/>
        <v>37.9060089869281</v>
      </c>
      <c r="Y50" s="582">
        <f t="shared" si="39"/>
        <v>57.428612835292746</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1936.8718556637011</v>
      </c>
      <c r="I52" s="553">
        <f>ITECountywide!$B$9*E52</f>
        <v>3.4257771918554263</v>
      </c>
      <c r="J52" s="562">
        <f t="shared" ref="J52:J60" si="40">IF(F52="Prod",$M$3,$M$4)</f>
        <v>1.67</v>
      </c>
      <c r="K52" s="416">
        <f t="shared" ref="K52:K60" si="41">IF(F52="Prod",$F$4,$F$5)</f>
        <v>0.85182987994952053</v>
      </c>
      <c r="L52" s="554">
        <f>Passby_Length_Adj!H47</f>
        <v>1</v>
      </c>
      <c r="M52" s="554">
        <f>Passby_Length_Adj!J47</f>
        <v>1</v>
      </c>
      <c r="N52" s="416">
        <v>0.5</v>
      </c>
      <c r="O52" s="546">
        <f t="shared" ref="O52:O60" si="42">L52*M52*N52</f>
        <v>0.5</v>
      </c>
      <c r="P52" s="555">
        <f t="shared" ref="P52:P60" si="43">IF($F52="Prod",$I52*$O52*$F$4*$F$6,$I52*O52*$F$5*$F$7)</f>
        <v>10.285276809808092</v>
      </c>
      <c r="Q52" s="556">
        <f t="shared" ref="Q52:Q60" si="44">+P52/J52</f>
        <v>6.1588483891066419</v>
      </c>
      <c r="R52" s="557">
        <f t="shared" ref="R52:R60" si="45">+$Q$4</f>
        <v>261.71052631578948</v>
      </c>
      <c r="S52" s="582">
        <f t="shared" ref="S52:S60" si="46">+Q52*R52</f>
        <v>1611.8354534122514</v>
      </c>
      <c r="T52" s="555">
        <f t="shared" ref="T52:T60" si="47">IF($F52="Prod",$I52*$O52*$G$4*$G$6,$I52*$O52*$G$5*$G$7)</f>
        <v>0.78063681604992041</v>
      </c>
      <c r="U52" s="563">
        <f t="shared" ref="U52:U60" si="48">+$R$4</f>
        <v>405.42115030277023</v>
      </c>
      <c r="V52" s="583">
        <f t="shared" ref="V52:V60" si="49">+T52*U52</f>
        <v>316.48667593165078</v>
      </c>
      <c r="W52" s="555">
        <f t="shared" ref="W52:W60" si="50">IF($F52="Prod",$I52*$O52*$J$4*$J$6,$I52*$O52*$J$5*$J$7)</f>
        <v>0.22555068571707043</v>
      </c>
      <c r="X52" s="563">
        <f t="shared" ref="X52:X60" si="51">$S$4</f>
        <v>37.9060089869281</v>
      </c>
      <c r="Y52" s="583">
        <f t="shared" ref="Y52:Y60" si="52">+W52*X52</f>
        <v>8.5497263197990669</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2080.3438449721239</v>
      </c>
      <c r="I53" s="553">
        <f>ITECountywide!$B$9*E53</f>
        <v>3.6795384653261984</v>
      </c>
      <c r="J53" s="562">
        <f t="shared" si="40"/>
        <v>1.67</v>
      </c>
      <c r="K53" s="416">
        <f t="shared" si="41"/>
        <v>0.85182987994952053</v>
      </c>
      <c r="L53" s="554">
        <f>Passby_Length_Adj!H48</f>
        <v>1</v>
      </c>
      <c r="M53" s="554">
        <f>Passby_Length_Adj!J48</f>
        <v>1</v>
      </c>
      <c r="N53" s="416">
        <v>0.5</v>
      </c>
      <c r="O53" s="546">
        <f t="shared" si="42"/>
        <v>0.5</v>
      </c>
      <c r="P53" s="555">
        <f t="shared" si="43"/>
        <v>11.047149166090174</v>
      </c>
      <c r="Q53" s="556">
        <f t="shared" si="44"/>
        <v>6.6150593808923199</v>
      </c>
      <c r="R53" s="557">
        <f t="shared" si="45"/>
        <v>261.71052631578948</v>
      </c>
      <c r="S53" s="582">
        <f t="shared" si="46"/>
        <v>1731.2306721835296</v>
      </c>
      <c r="T53" s="555">
        <f t="shared" si="47"/>
        <v>0.83846176538695161</v>
      </c>
      <c r="U53" s="563">
        <f t="shared" si="48"/>
        <v>405.42115030277023</v>
      </c>
      <c r="V53" s="583">
        <f t="shared" si="49"/>
        <v>339.93013340806937</v>
      </c>
      <c r="W53" s="555">
        <f t="shared" si="50"/>
        <v>0.24225814391833486</v>
      </c>
      <c r="X53" s="563">
        <f t="shared" si="51"/>
        <v>37.9060089869281</v>
      </c>
      <c r="Y53" s="583">
        <f t="shared" si="52"/>
        <v>9.1830393805249226</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2166.7237302194821</v>
      </c>
      <c r="I54" s="553">
        <f>ITECountywide!$B$9*E54</f>
        <v>7.4497059568919601</v>
      </c>
      <c r="J54" s="562">
        <f t="shared" si="40"/>
        <v>1.67</v>
      </c>
      <c r="K54" s="416">
        <f t="shared" si="41"/>
        <v>0.85182987994952053</v>
      </c>
      <c r="L54" s="554">
        <f>Passby_Length_Adj!H49</f>
        <v>0.51442567196884992</v>
      </c>
      <c r="M54" s="554">
        <f>Passby_Length_Adj!J49</f>
        <v>1</v>
      </c>
      <c r="N54" s="416">
        <v>0.5</v>
      </c>
      <c r="O54" s="546">
        <f t="shared" si="42"/>
        <v>0.25721283598442496</v>
      </c>
      <c r="P54" s="555">
        <f t="shared" si="43"/>
        <v>11.505848087224582</v>
      </c>
      <c r="Q54" s="556">
        <f t="shared" si="44"/>
        <v>6.889729393547654</v>
      </c>
      <c r="R54" s="557">
        <f t="shared" si="45"/>
        <v>261.71052631578948</v>
      </c>
      <c r="S54" s="582">
        <f t="shared" si="46"/>
        <v>1803.1147057587216</v>
      </c>
      <c r="T54" s="555">
        <f t="shared" si="47"/>
        <v>0.87327631359419422</v>
      </c>
      <c r="U54" s="563">
        <f t="shared" si="48"/>
        <v>405.42115030277023</v>
      </c>
      <c r="V54" s="583">
        <f t="shared" si="49"/>
        <v>354.04468758952095</v>
      </c>
      <c r="W54" s="555">
        <f t="shared" si="50"/>
        <v>0.25231716888311623</v>
      </c>
      <c r="X54" s="563">
        <f t="shared" si="51"/>
        <v>37.9060089869281</v>
      </c>
      <c r="Y54" s="583">
        <f t="shared" si="52"/>
        <v>9.564336871239659</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1307.4148055825583</v>
      </c>
      <c r="I55" s="553">
        <f>ITECountywide!$B$9*E55</f>
        <v>4.4951997014822531</v>
      </c>
      <c r="J55" s="562">
        <f t="shared" si="40"/>
        <v>1.67</v>
      </c>
      <c r="K55" s="416">
        <f t="shared" si="41"/>
        <v>0.85182987994952053</v>
      </c>
      <c r="L55" s="554">
        <f>Passby_Length_Adj!H50</f>
        <v>0.51442567196884992</v>
      </c>
      <c r="M55" s="554">
        <f>Passby_Length_Adj!J50</f>
        <v>1</v>
      </c>
      <c r="N55" s="416">
        <v>0.5</v>
      </c>
      <c r="O55" s="546">
        <f t="shared" si="42"/>
        <v>0.25721283598442496</v>
      </c>
      <c r="P55" s="555">
        <f t="shared" si="43"/>
        <v>6.942701522218238</v>
      </c>
      <c r="Q55" s="556">
        <f t="shared" si="44"/>
        <v>4.1573063007294841</v>
      </c>
      <c r="R55" s="557">
        <f t="shared" si="45"/>
        <v>261.71052631578948</v>
      </c>
      <c r="S55" s="582">
        <f t="shared" si="46"/>
        <v>1088.0108200198611</v>
      </c>
      <c r="T55" s="555">
        <f t="shared" si="47"/>
        <v>0.52694045199844308</v>
      </c>
      <c r="U55" s="563">
        <f t="shared" si="48"/>
        <v>405.42115030277023</v>
      </c>
      <c r="V55" s="583">
        <f t="shared" si="49"/>
        <v>213.63280419027046</v>
      </c>
      <c r="W55" s="555">
        <f t="shared" si="50"/>
        <v>0.15224977587107741</v>
      </c>
      <c r="X55" s="563">
        <f t="shared" si="51"/>
        <v>37.9060089869281</v>
      </c>
      <c r="Y55" s="583">
        <f t="shared" si="52"/>
        <v>5.7711813724268488</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1895.8798587184385</v>
      </c>
      <c r="I56" s="553">
        <f>ITECountywide!$B$9*E56</f>
        <v>3.3532739708637775</v>
      </c>
      <c r="J56" s="562">
        <f t="shared" si="40"/>
        <v>1.67</v>
      </c>
      <c r="K56" s="416">
        <f t="shared" si="41"/>
        <v>0.85182987994952053</v>
      </c>
      <c r="L56" s="554">
        <f>Passby_Length_Adj!H51</f>
        <v>1</v>
      </c>
      <c r="M56" s="554">
        <f>Passby_Length_Adj!J51</f>
        <v>1</v>
      </c>
      <c r="N56" s="416">
        <v>0.5</v>
      </c>
      <c r="O56" s="546">
        <f t="shared" si="42"/>
        <v>0.5</v>
      </c>
      <c r="P56" s="555">
        <f t="shared" si="43"/>
        <v>10.067598993727501</v>
      </c>
      <c r="Q56" s="556">
        <f t="shared" si="44"/>
        <v>6.0285023914535936</v>
      </c>
      <c r="R56" s="557">
        <f t="shared" si="45"/>
        <v>261.71052631578948</v>
      </c>
      <c r="S56" s="582">
        <f t="shared" si="46"/>
        <v>1577.7225337633156</v>
      </c>
      <c r="T56" s="555">
        <f t="shared" si="47"/>
        <v>0.76411540195362604</v>
      </c>
      <c r="U56" s="563">
        <f t="shared" si="48"/>
        <v>405.42115030277023</v>
      </c>
      <c r="V56" s="583">
        <f t="shared" si="49"/>
        <v>309.78854522410273</v>
      </c>
      <c r="W56" s="555">
        <f t="shared" si="50"/>
        <v>0.22077712623099491</v>
      </c>
      <c r="X56" s="563">
        <f t="shared" si="51"/>
        <v>37.9060089869281</v>
      </c>
      <c r="Y56" s="583">
        <f t="shared" si="52"/>
        <v>8.3687797310202523</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606.26089774997672</v>
      </c>
      <c r="I57" s="553">
        <f>ITECountywide!$B$9*E57</f>
        <v>2.0844676035099154</v>
      </c>
      <c r="J57" s="562">
        <f t="shared" si="40"/>
        <v>1.67</v>
      </c>
      <c r="K57" s="416">
        <f t="shared" si="41"/>
        <v>0.85182987994952053</v>
      </c>
      <c r="L57" s="554">
        <f>Passby_Length_Adj!H52</f>
        <v>0.51442567196884992</v>
      </c>
      <c r="M57" s="554">
        <f>Passby_Length_Adj!J52</f>
        <v>1</v>
      </c>
      <c r="N57" s="416">
        <v>0.5</v>
      </c>
      <c r="O57" s="546">
        <f t="shared" si="42"/>
        <v>0.25721283598442496</v>
      </c>
      <c r="P57" s="555">
        <f t="shared" si="43"/>
        <v>3.2193978832866832</v>
      </c>
      <c r="Q57" s="556">
        <f t="shared" si="44"/>
        <v>1.9277831636447205</v>
      </c>
      <c r="R57" s="557">
        <f t="shared" si="45"/>
        <v>261.71052631578948</v>
      </c>
      <c r="S57" s="582">
        <f t="shared" si="46"/>
        <v>504.52114638017753</v>
      </c>
      <c r="T57" s="555">
        <f t="shared" si="47"/>
        <v>0.24434738701540706</v>
      </c>
      <c r="U57" s="563">
        <f t="shared" si="48"/>
        <v>405.42115030277023</v>
      </c>
      <c r="V57" s="583">
        <f t="shared" si="49"/>
        <v>99.063598717262508</v>
      </c>
      <c r="W57" s="555">
        <f t="shared" si="50"/>
        <v>7.0599694456346368E-2</v>
      </c>
      <c r="X57" s="563">
        <f t="shared" si="51"/>
        <v>37.9060089869281</v>
      </c>
      <c r="Y57" s="583">
        <f t="shared" si="52"/>
        <v>2.6761526525366435</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822.4060873825772</v>
      </c>
      <c r="I58" s="553">
        <f>ITECountywide!$B$9*E58</f>
        <v>2.8276256186743205</v>
      </c>
      <c r="J58" s="562">
        <f t="shared" si="40"/>
        <v>1.67</v>
      </c>
      <c r="K58" s="416">
        <f t="shared" si="41"/>
        <v>0.85182987994952053</v>
      </c>
      <c r="L58" s="554">
        <f>Passby_Length_Adj!H53</f>
        <v>0.51442567196884992</v>
      </c>
      <c r="M58" s="554">
        <f>Passby_Length_Adj!J53</f>
        <v>1</v>
      </c>
      <c r="N58" s="416">
        <v>0.5</v>
      </c>
      <c r="O58" s="546">
        <f t="shared" si="42"/>
        <v>0.25721283598442496</v>
      </c>
      <c r="P58" s="555">
        <f t="shared" si="43"/>
        <v>4.3671832155888923</v>
      </c>
      <c r="Q58" s="556">
        <f t="shared" si="44"/>
        <v>2.615079769813708</v>
      </c>
      <c r="R58" s="557">
        <f t="shared" si="45"/>
        <v>261.71052631578948</v>
      </c>
      <c r="S58" s="582">
        <f t="shared" si="46"/>
        <v>684.39390291571908</v>
      </c>
      <c r="T58" s="555">
        <f t="shared" si="47"/>
        <v>0.3314625423861175</v>
      </c>
      <c r="U58" s="563">
        <f t="shared" si="48"/>
        <v>405.42115030277023</v>
      </c>
      <c r="V58" s="583">
        <f t="shared" si="49"/>
        <v>134.3819252164605</v>
      </c>
      <c r="W58" s="555">
        <f t="shared" si="50"/>
        <v>9.577002030600032E-2</v>
      </c>
      <c r="X58" s="563">
        <f t="shared" si="51"/>
        <v>37.9060089869281</v>
      </c>
      <c r="Y58" s="583">
        <f t="shared" si="52"/>
        <v>3.6302592503975348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3105.3581363191734</v>
      </c>
      <c r="I59" s="553">
        <f>ITECountywide!$B$9*E59</f>
        <v>12.597434647299055</v>
      </c>
      <c r="J59" s="562">
        <f t="shared" si="40"/>
        <v>1.67</v>
      </c>
      <c r="K59" s="416">
        <f t="shared" si="41"/>
        <v>0.85182987994952053</v>
      </c>
      <c r="L59" s="554">
        <f>Passby_Length_Adj!H54</f>
        <v>0.4360013208727776</v>
      </c>
      <c r="M59" s="554">
        <f>Passby_Length_Adj!J54</f>
        <v>1</v>
      </c>
      <c r="N59" s="416">
        <v>0.5</v>
      </c>
      <c r="O59" s="546">
        <f t="shared" si="42"/>
        <v>0.2180006604363888</v>
      </c>
      <c r="P59" s="555">
        <f t="shared" si="43"/>
        <v>16.490232914602334</v>
      </c>
      <c r="Q59" s="556">
        <f t="shared" si="44"/>
        <v>9.874390966827745</v>
      </c>
      <c r="R59" s="557">
        <f t="shared" si="45"/>
        <v>261.71052631578948</v>
      </c>
      <c r="S59" s="582">
        <f t="shared" si="46"/>
        <v>2584.2320569763665</v>
      </c>
      <c r="T59" s="555">
        <f t="shared" si="47"/>
        <v>1.2515835165565132</v>
      </c>
      <c r="U59" s="559">
        <f t="shared" si="48"/>
        <v>405.42115030277023</v>
      </c>
      <c r="V59" s="582">
        <f t="shared" si="49"/>
        <v>507.41842898232784</v>
      </c>
      <c r="W59" s="555">
        <f t="shared" si="50"/>
        <v>0.36162209440740944</v>
      </c>
      <c r="X59" s="559">
        <f t="shared" si="51"/>
        <v>37.9060089869281</v>
      </c>
      <c r="Y59" s="582">
        <f t="shared" si="52"/>
        <v>13.707650360479024</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48800.972363336223</v>
      </c>
      <c r="I60" s="553">
        <f>ITECountywide!$B$9*E60</f>
        <v>86.315084590558413</v>
      </c>
      <c r="J60" s="562">
        <f t="shared" si="40"/>
        <v>1.67</v>
      </c>
      <c r="K60" s="416">
        <f t="shared" si="41"/>
        <v>0.85182987994952053</v>
      </c>
      <c r="L60" s="554">
        <f>Passby_Length_Adj!H55</f>
        <v>1</v>
      </c>
      <c r="M60" s="554">
        <f>Passby_Length_Adj!J55</f>
        <v>1</v>
      </c>
      <c r="N60" s="416">
        <v>0.5</v>
      </c>
      <c r="O60" s="546">
        <f t="shared" si="42"/>
        <v>0.5</v>
      </c>
      <c r="P60" s="555">
        <f t="shared" si="43"/>
        <v>259.14544004394781</v>
      </c>
      <c r="Q60" s="556">
        <f t="shared" si="44"/>
        <v>155.17691020595677</v>
      </c>
      <c r="R60" s="561">
        <f t="shared" si="45"/>
        <v>261.71052631578948</v>
      </c>
      <c r="S60" s="583">
        <f t="shared" si="46"/>
        <v>40611.430842058951</v>
      </c>
      <c r="T60" s="555">
        <f t="shared" si="47"/>
        <v>19.668743481638739</v>
      </c>
      <c r="U60" s="559">
        <f t="shared" si="48"/>
        <v>405.42115030277023</v>
      </c>
      <c r="V60" s="582">
        <f t="shared" si="49"/>
        <v>7974.1246073360917</v>
      </c>
      <c r="W60" s="555">
        <f t="shared" si="50"/>
        <v>5.6829225681729589</v>
      </c>
      <c r="X60" s="559">
        <f t="shared" si="51"/>
        <v>37.9060089869281</v>
      </c>
      <c r="Y60" s="582">
        <f t="shared" si="52"/>
        <v>215.4169139411807</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10985.855181330626</v>
      </c>
      <c r="I62" s="553">
        <f>ITECountywide!$B$9*E62</f>
        <v>19.430863225761996</v>
      </c>
      <c r="J62" s="562">
        <f>IF(F62="Prod",$M$3,$M$4)</f>
        <v>1.67</v>
      </c>
      <c r="K62" s="416">
        <f>IF(F62="Prod",$F$4,$F$5)</f>
        <v>0.85182987994952053</v>
      </c>
      <c r="L62" s="554">
        <f>Passby_Length_Adj!H57</f>
        <v>1</v>
      </c>
      <c r="M62" s="554">
        <f>Passby_Length_Adj!J57</f>
        <v>1</v>
      </c>
      <c r="N62" s="416">
        <v>0.5</v>
      </c>
      <c r="O62" s="546">
        <f>L62*M62*N62</f>
        <v>0.5</v>
      </c>
      <c r="P62" s="555">
        <f>IF($F62="Prod",$I62*$O62*$F$4*$F$6,$I62*O62*$F$5*$F$7)</f>
        <v>58.337654709599356</v>
      </c>
      <c r="Q62" s="556">
        <f>+P62/J62</f>
        <v>34.932727371017577</v>
      </c>
      <c r="R62" s="557">
        <f>+$Q$4</f>
        <v>261.71052631578948</v>
      </c>
      <c r="S62" s="582">
        <f>+Q62*R62</f>
        <v>9142.2624659149951</v>
      </c>
      <c r="T62" s="555">
        <f>IF($F62="Prod",$I62*$O62*$G$4*$G$6,$I62*$O62*$G$5*$G$7)</f>
        <v>4.4277389778069569</v>
      </c>
      <c r="U62" s="559">
        <f>+$R$4</f>
        <v>405.42115030277023</v>
      </c>
      <c r="V62" s="582">
        <f>+T62*U62</f>
        <v>1795.0990296229086</v>
      </c>
      <c r="W62" s="555">
        <f>IF($F62="Prod",$I62*$O62*$J$4*$J$6,$I62*$O62*$J$5*$J$7)</f>
        <v>1.2793139422682513</v>
      </c>
      <c r="X62" s="559">
        <f>$S$4</f>
        <v>37.9060089869281</v>
      </c>
      <c r="Y62" s="582">
        <f>+W62*X62</f>
        <v>48.493685792722751</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3135.88776631266</v>
      </c>
      <c r="I63" s="553">
        <f>ITECountywide!$B$9*E63</f>
        <v>5.5464964058611672</v>
      </c>
      <c r="J63" s="562">
        <f>IF(F63="Prod",$M$3,$M$4)</f>
        <v>1.67</v>
      </c>
      <c r="K63" s="416">
        <f>IF(F63="Prod",$F$4,$F$5)</f>
        <v>0.85182987994952053</v>
      </c>
      <c r="L63" s="554">
        <f>Passby_Length_Adj!H58</f>
        <v>1</v>
      </c>
      <c r="M63" s="554">
        <f>Passby_Length_Adj!J58</f>
        <v>1</v>
      </c>
      <c r="N63" s="416">
        <v>0.5</v>
      </c>
      <c r="O63" s="546">
        <f>L63*M63*N63</f>
        <v>0.5</v>
      </c>
      <c r="P63" s="555">
        <f>IF($F63="Prod",$I63*$O63*$F$4*$F$6,$I63*O63*$F$5*$F$7)</f>
        <v>16.652352930165485</v>
      </c>
      <c r="Q63" s="556">
        <f>+P63/J63</f>
        <v>9.9714688204583748</v>
      </c>
      <c r="R63" s="557">
        <f>+$Q$4</f>
        <v>261.71052631578948</v>
      </c>
      <c r="S63" s="582">
        <f>+Q63*R63</f>
        <v>2609.6383531436459</v>
      </c>
      <c r="T63" s="555">
        <f>IF($F63="Prod",$I63*$O63*$G$4*$G$6,$I63*$O63*$G$5*$G$7)</f>
        <v>1.2638881783665381</v>
      </c>
      <c r="U63" s="563">
        <f>+$R$4</f>
        <v>405.42115030277023</v>
      </c>
      <c r="V63" s="583">
        <f>+T63*U63</f>
        <v>512.40699912743469</v>
      </c>
      <c r="W63" s="555">
        <f>IF($F63="Prod",$I63*$O63*$J$4*$J$6,$I63*$O63*$J$5*$J$7)</f>
        <v>0.36517730068478071</v>
      </c>
      <c r="X63" s="563">
        <f>$S$4</f>
        <v>37.9060089869281</v>
      </c>
      <c r="Y63" s="583">
        <f>+W63*X63</f>
        <v>13.842414041579444</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15041.429081241113</v>
      </c>
      <c r="I64" s="553">
        <f>ITECountywide!$B$9*E64</f>
        <v>69.168072826033367</v>
      </c>
      <c r="J64" s="562">
        <f>IF(F64="Prod",$M$3,$M$4)</f>
        <v>1.67</v>
      </c>
      <c r="K64" s="416">
        <f>IF(F64="Prod",$F$4,$F$5)</f>
        <v>0.85182987994952053</v>
      </c>
      <c r="L64" s="554">
        <f>Passby_Length_Adj!H59</f>
        <v>0.3846286671810874</v>
      </c>
      <c r="M64" s="554">
        <f>Passby_Length_Adj!J59</f>
        <v>1</v>
      </c>
      <c r="N64" s="416">
        <v>0.5</v>
      </c>
      <c r="O64" s="546">
        <f>L64*M64*N64</f>
        <v>0.1923143335905437</v>
      </c>
      <c r="P64" s="555">
        <f>IF($F64="Prod",$I64*$O64*$F$4*$F$6,$I64*O64*$F$5*$F$7)</f>
        <v>79.873772373366393</v>
      </c>
      <c r="Q64" s="556">
        <f>+P64/J64</f>
        <v>47.828606211596643</v>
      </c>
      <c r="R64" s="557">
        <f>+$Q$4</f>
        <v>261.71052631578948</v>
      </c>
      <c r="S64" s="582">
        <f>+Q64*R64</f>
        <v>12517.249704587595</v>
      </c>
      <c r="T64" s="555">
        <f>IF($F64="Prod",$I64*$O64*$G$4*$G$6,$I64*$O64*$G$5*$G$7)</f>
        <v>6.0622974475496143</v>
      </c>
      <c r="U64" s="559">
        <f>+$R$4</f>
        <v>405.42115030277023</v>
      </c>
      <c r="V64" s="582">
        <f>+T64*U64</f>
        <v>2457.7836046631123</v>
      </c>
      <c r="W64" s="555">
        <f>IF($F64="Prod",$I64*$O64*$J$4*$J$6,$I64*$O64*$J$5*$J$7)</f>
        <v>1.7515896229882923</v>
      </c>
      <c r="X64" s="559">
        <f>$S$4</f>
        <v>37.9060089869281</v>
      </c>
      <c r="Y64" s="582">
        <f>+W64*X64</f>
        <v>66.395771990404214</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8474.5997182045048</v>
      </c>
      <c r="I65" s="553">
        <f>ITECountywide!$B$9*E65</f>
        <v>38.970481283011466</v>
      </c>
      <c r="J65" s="562">
        <f>IF(F65="Prod",$M$3,$M$4)</f>
        <v>1.67</v>
      </c>
      <c r="K65" s="416">
        <f>IF(F65="Prod",$F$4,$F$5)</f>
        <v>0.85182987994952053</v>
      </c>
      <c r="L65" s="554">
        <f>Passby_Length_Adj!H60</f>
        <v>0.3846286671810874</v>
      </c>
      <c r="M65" s="554">
        <f>Passby_Length_Adj!J60</f>
        <v>1</v>
      </c>
      <c r="N65" s="416">
        <v>0.5</v>
      </c>
      <c r="O65" s="546">
        <f>L65*M65*N65</f>
        <v>0.1923143335905437</v>
      </c>
      <c r="P65" s="555">
        <f>IF($F65="Prod",$I65*$O65*$F$4*$F$6,$I65*O65*$F$5*$F$7)</f>
        <v>45.002256447258318</v>
      </c>
      <c r="Q65" s="556">
        <f>+P65/J65</f>
        <v>26.947458950454084</v>
      </c>
      <c r="R65" s="557">
        <f>+$Q$4</f>
        <v>261.71052631578948</v>
      </c>
      <c r="S65" s="582">
        <f>+Q65*R65</f>
        <v>7052.4336647964701</v>
      </c>
      <c r="T65" s="555">
        <f>IF($F65="Prod",$I65*$O65*$G$4*$G$6,$I65*$O65*$G$5*$G$7)</f>
        <v>3.4156025975449871</v>
      </c>
      <c r="U65" s="559">
        <f>+$R$4</f>
        <v>405.42115030277023</v>
      </c>
      <c r="V65" s="582">
        <f>+T65*U65</f>
        <v>1384.7575340738185</v>
      </c>
      <c r="W65" s="555">
        <f>IF($F65="Prod",$I65*$O65*$J$4*$J$6,$I65*$O65*$J$5*$J$7)</f>
        <v>0.98687570477589848</v>
      </c>
      <c r="X65" s="559">
        <f>$S$4</f>
        <v>37.9060089869281</v>
      </c>
      <c r="Y65" s="582">
        <f>+W65*X65</f>
        <v>37.408519334216209</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9830.5356731172269</v>
      </c>
      <c r="I66" s="553">
        <f>ITECountywide!$B$9*E66</f>
        <v>45.205758288293303</v>
      </c>
      <c r="J66" s="562">
        <f>IF(F66="Prod",$M$3,$M$4)</f>
        <v>1.67</v>
      </c>
      <c r="K66" s="416">
        <f>IF(F66="Prod",$F$4,$F$5)</f>
        <v>0.85182987994952053</v>
      </c>
      <c r="L66" s="554">
        <f>Passby_Length_Adj!H61</f>
        <v>0.3846286671810874</v>
      </c>
      <c r="M66" s="554">
        <f>Passby_Length_Adj!J61</f>
        <v>1</v>
      </c>
      <c r="N66" s="416">
        <v>0.5</v>
      </c>
      <c r="O66" s="546">
        <f>L66*M66*N66</f>
        <v>0.1923143335905437</v>
      </c>
      <c r="P66" s="555">
        <f>IF($F66="Prod",$I66*$O66*$F$4*$F$6,$I66*O66*$F$5*$F$7)</f>
        <v>52.202617478819661</v>
      </c>
      <c r="Q66" s="556">
        <f>+P66/J66</f>
        <v>31.259052382526743</v>
      </c>
      <c r="R66" s="557">
        <f>+$Q$4</f>
        <v>261.71052631578948</v>
      </c>
      <c r="S66" s="582">
        <f>+Q66*R66</f>
        <v>8180.8230511639067</v>
      </c>
      <c r="T66" s="555">
        <f>IF($F66="Prod",$I66*$O66*$G$4*$G$6,$I66*$O66*$G$5*$G$7)</f>
        <v>3.9620990131521858</v>
      </c>
      <c r="U66" s="559">
        <f>+$R$4</f>
        <v>405.42115030277023</v>
      </c>
      <c r="V66" s="582">
        <f>+T66*U66</f>
        <v>1606.31873952563</v>
      </c>
      <c r="W66" s="555">
        <f>IF($F66="Prod",$I66*$O66*$J$4*$J$6,$I66*$O66*$J$5*$J$7)</f>
        <v>1.1447758175400424</v>
      </c>
      <c r="X66" s="559">
        <f>$S$4</f>
        <v>37.9060089869281</v>
      </c>
      <c r="Y66" s="582">
        <f>+W66*X66</f>
        <v>43.393882427690812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14973.350904021416</v>
      </c>
      <c r="I68" s="553">
        <f>ITECountywide!$B$9*E68</f>
        <v>20.049119939245994</v>
      </c>
      <c r="J68" s="562">
        <f t="shared" ref="J68:J87" si="53">IF(F68="Prod",$M$3,$M$4)</f>
        <v>1.67</v>
      </c>
      <c r="K68" s="416">
        <f t="shared" ref="K68:K87" si="54">IF(F68="Prod",$F$4,$F$5)</f>
        <v>0.85182987994952053</v>
      </c>
      <c r="L68" s="554">
        <f>Passby_Length_Adj!H63</f>
        <v>1.3209364175632392</v>
      </c>
      <c r="M68" s="554">
        <f>Passby_Length_Adj!J63</f>
        <v>1</v>
      </c>
      <c r="N68" s="416">
        <v>0.5</v>
      </c>
      <c r="O68" s="546">
        <f t="shared" ref="O68:O87" si="55">L68*M68*N68</f>
        <v>0.6604682087816196</v>
      </c>
      <c r="P68" s="555">
        <f t="shared" ref="P68:P87" si="56">IF($F68="Prod",$I68*$O68*$F$4*$F$6,$I68*O68*$F$5*$F$7)</f>
        <v>79.5122601259948</v>
      </c>
      <c r="Q68" s="556">
        <f t="shared" ref="Q68:Q87" si="57">+P68/J68</f>
        <v>47.612131811972937</v>
      </c>
      <c r="R68" s="561">
        <f t="shared" ref="R68:R87" si="58">+$Q$4</f>
        <v>261.71052631578948</v>
      </c>
      <c r="S68" s="583">
        <f t="shared" ref="S68:S87" si="59">+Q68*R68</f>
        <v>12460.596075528181</v>
      </c>
      <c r="T68" s="555">
        <f t="shared" ref="T68:T87" si="60">IF($F68="Prod",$I68*$O68*$G$4*$G$6,$I68*$O68*$G$5*$G$7)</f>
        <v>6.0348592195884478</v>
      </c>
      <c r="U68" s="559">
        <f t="shared" ref="U68:U87" si="61">+$R$4</f>
        <v>405.42115030277023</v>
      </c>
      <c r="V68" s="582">
        <f t="shared" ref="V68:V87" si="62">+T68*U68</f>
        <v>2446.6595667208267</v>
      </c>
      <c r="W68" s="555">
        <f t="shared" ref="W68:W87" si="63">IF($F68="Prod",$I68*$O68*$J$4*$J$6,$I68*$O68*$J$5*$J$7)</f>
        <v>1.7436618504258636</v>
      </c>
      <c r="X68" s="559">
        <f t="shared" ref="X68:X87" si="64">$S$4</f>
        <v>37.9060089869281</v>
      </c>
      <c r="Y68" s="582">
        <f t="shared" ref="Y68:Y87" si="65">+W68*X68</f>
        <v>66.095261772406474</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14487.897503929444</v>
      </c>
      <c r="I69" s="553">
        <f>ITECountywide!$B$9*E69</f>
        <v>19.399104220937762</v>
      </c>
      <c r="J69" s="562">
        <f t="shared" si="53"/>
        <v>1.67</v>
      </c>
      <c r="K69" s="416">
        <f t="shared" si="54"/>
        <v>0.85182987994952053</v>
      </c>
      <c r="L69" s="554">
        <f>Passby_Length_Adj!H64</f>
        <v>1.3209364175632392</v>
      </c>
      <c r="M69" s="554">
        <f>Passby_Length_Adj!J64</f>
        <v>1</v>
      </c>
      <c r="N69" s="416">
        <v>0.5</v>
      </c>
      <c r="O69" s="546">
        <f t="shared" si="55"/>
        <v>0.6604682087816196</v>
      </c>
      <c r="P69" s="555">
        <f t="shared" si="56"/>
        <v>76.934380446650977</v>
      </c>
      <c r="Q69" s="556">
        <f t="shared" si="57"/>
        <v>46.068491285419746</v>
      </c>
      <c r="R69" s="561">
        <f t="shared" si="58"/>
        <v>261.71052631578948</v>
      </c>
      <c r="S69" s="583">
        <f t="shared" si="59"/>
        <v>12056.609100881562</v>
      </c>
      <c r="T69" s="555">
        <f t="shared" si="60"/>
        <v>5.8392020853901991</v>
      </c>
      <c r="U69" s="559">
        <f t="shared" si="61"/>
        <v>405.42115030277023</v>
      </c>
      <c r="V69" s="582">
        <f t="shared" si="62"/>
        <v>2367.3360263092295</v>
      </c>
      <c r="W69" s="555">
        <f t="shared" si="63"/>
        <v>1.687130311204903</v>
      </c>
      <c r="X69" s="559">
        <f t="shared" si="64"/>
        <v>37.9060089869281</v>
      </c>
      <c r="Y69" s="582">
        <f t="shared" si="65"/>
        <v>63.952376738651857</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14267.566399174273</v>
      </c>
      <c r="I70" s="553">
        <f>ITECountywide!$B$9*E70</f>
        <v>19.10408376934355</v>
      </c>
      <c r="J70" s="562">
        <f t="shared" si="53"/>
        <v>1.67</v>
      </c>
      <c r="K70" s="416">
        <f t="shared" si="54"/>
        <v>0.85182987994952053</v>
      </c>
      <c r="L70" s="554">
        <f>Passby_Length_Adj!H65</f>
        <v>1.3209364175632392</v>
      </c>
      <c r="M70" s="554">
        <f>Passby_Length_Adj!J65</f>
        <v>1</v>
      </c>
      <c r="N70" s="416">
        <v>0.5</v>
      </c>
      <c r="O70" s="546">
        <f t="shared" si="55"/>
        <v>0.6604682087816196</v>
      </c>
      <c r="P70" s="555">
        <f t="shared" si="56"/>
        <v>75.764366852002908</v>
      </c>
      <c r="Q70" s="556">
        <f t="shared" si="57"/>
        <v>45.36788434251671</v>
      </c>
      <c r="R70" s="561">
        <f t="shared" si="58"/>
        <v>261.71052631578948</v>
      </c>
      <c r="S70" s="583">
        <f t="shared" si="59"/>
        <v>11873.252889113914</v>
      </c>
      <c r="T70" s="555">
        <f t="shared" si="60"/>
        <v>5.7503998388244861</v>
      </c>
      <c r="U70" s="559">
        <f t="shared" si="61"/>
        <v>405.42115030277023</v>
      </c>
      <c r="V70" s="582">
        <f t="shared" si="62"/>
        <v>2331.3337173570876</v>
      </c>
      <c r="W70" s="555">
        <f t="shared" si="63"/>
        <v>1.6614725313073788</v>
      </c>
      <c r="X70" s="559">
        <f t="shared" si="64"/>
        <v>37.9060089869281</v>
      </c>
      <c r="Y70" s="582">
        <f t="shared" si="65"/>
        <v>62.979792703271677</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14124.271637202235</v>
      </c>
      <c r="I71" s="553">
        <f>ITECountywide!$B$9*E71</f>
        <v>18.912213967596532</v>
      </c>
      <c r="J71" s="562">
        <f t="shared" si="53"/>
        <v>1.67</v>
      </c>
      <c r="K71" s="416">
        <f t="shared" si="54"/>
        <v>0.85182987994952053</v>
      </c>
      <c r="L71" s="554">
        <f>Passby_Length_Adj!H66</f>
        <v>1.3209364175632392</v>
      </c>
      <c r="M71" s="554">
        <f>Passby_Length_Adj!J66</f>
        <v>1</v>
      </c>
      <c r="N71" s="416">
        <v>0.5</v>
      </c>
      <c r="O71" s="546">
        <f t="shared" si="55"/>
        <v>0.6604682087816196</v>
      </c>
      <c r="P71" s="555">
        <f t="shared" si="56"/>
        <v>75.003435617461861</v>
      </c>
      <c r="Q71" s="556">
        <f t="shared" si="57"/>
        <v>44.912236896683751</v>
      </c>
      <c r="R71" s="561">
        <f t="shared" si="58"/>
        <v>261.71052631578948</v>
      </c>
      <c r="S71" s="583">
        <f t="shared" si="59"/>
        <v>11754.005156250525</v>
      </c>
      <c r="T71" s="555">
        <f t="shared" si="60"/>
        <v>5.6926463191915868</v>
      </c>
      <c r="U71" s="559">
        <f t="shared" si="61"/>
        <v>405.42115030277023</v>
      </c>
      <c r="V71" s="582">
        <f t="shared" si="62"/>
        <v>2307.9192189934838</v>
      </c>
      <c r="W71" s="555">
        <f t="shared" si="63"/>
        <v>1.6447857114086084</v>
      </c>
      <c r="X71" s="559">
        <f t="shared" si="64"/>
        <v>37.9060089869281</v>
      </c>
      <c r="Y71" s="582">
        <f t="shared" si="65"/>
        <v>62.347261958225637</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13973.944128520496</v>
      </c>
      <c r="I72" s="553">
        <f>ITECountywide!$B$9*E72</f>
        <v>18.710927410496026</v>
      </c>
      <c r="J72" s="562">
        <f t="shared" si="53"/>
        <v>1.67</v>
      </c>
      <c r="K72" s="416">
        <f t="shared" si="54"/>
        <v>0.85182987994952053</v>
      </c>
      <c r="L72" s="554">
        <f>Passby_Length_Adj!H67</f>
        <v>1.3209364175632392</v>
      </c>
      <c r="M72" s="554">
        <f>Passby_Length_Adj!J67</f>
        <v>1</v>
      </c>
      <c r="N72" s="416">
        <v>0.5</v>
      </c>
      <c r="O72" s="546">
        <f t="shared" si="55"/>
        <v>0.6604682087816196</v>
      </c>
      <c r="P72" s="555">
        <f t="shared" si="56"/>
        <v>74.205158728673737</v>
      </c>
      <c r="Q72" s="556">
        <f t="shared" si="57"/>
        <v>44.434226783636973</v>
      </c>
      <c r="R72" s="561">
        <f t="shared" si="58"/>
        <v>261.71052631578948</v>
      </c>
      <c r="S72" s="583">
        <f t="shared" si="59"/>
        <v>11628.904877980782</v>
      </c>
      <c r="T72" s="555">
        <f t="shared" si="60"/>
        <v>5.6320583213852897</v>
      </c>
      <c r="U72" s="559">
        <f t="shared" si="61"/>
        <v>405.42115030277023</v>
      </c>
      <c r="V72" s="582">
        <f t="shared" si="62"/>
        <v>2283.3555632283133</v>
      </c>
      <c r="W72" s="555">
        <f t="shared" si="63"/>
        <v>1.6272799210455764</v>
      </c>
      <c r="X72" s="559">
        <f t="shared" si="64"/>
        <v>37.9060089869281</v>
      </c>
      <c r="Y72" s="582">
        <f t="shared" si="65"/>
        <v>61.683687311401265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13833.598330107196</v>
      </c>
      <c r="I73" s="553">
        <f>ITECountywide!$B$9*E73</f>
        <v>18.523006232171017</v>
      </c>
      <c r="J73" s="562">
        <f t="shared" si="53"/>
        <v>1.67</v>
      </c>
      <c r="K73" s="416">
        <f t="shared" si="54"/>
        <v>0.85182987994952053</v>
      </c>
      <c r="L73" s="554">
        <f>Passby_Length_Adj!H68</f>
        <v>1.3209364175632392</v>
      </c>
      <c r="M73" s="554">
        <f>Passby_Length_Adj!J68</f>
        <v>1</v>
      </c>
      <c r="N73" s="416">
        <v>0.5</v>
      </c>
      <c r="O73" s="546">
        <f t="shared" si="55"/>
        <v>0.6604682087816196</v>
      </c>
      <c r="P73" s="555">
        <f t="shared" si="56"/>
        <v>73.459887232496357</v>
      </c>
      <c r="Q73" s="556">
        <f t="shared" si="57"/>
        <v>43.98795642664453</v>
      </c>
      <c r="R73" s="561">
        <f t="shared" si="58"/>
        <v>261.71052631578948</v>
      </c>
      <c r="S73" s="583">
        <f t="shared" si="59"/>
        <v>11512.111227973155</v>
      </c>
      <c r="T73" s="555">
        <f t="shared" si="60"/>
        <v>5.5754933519997438</v>
      </c>
      <c r="U73" s="559">
        <f t="shared" si="61"/>
        <v>405.42115030277023</v>
      </c>
      <c r="V73" s="582">
        <f t="shared" si="62"/>
        <v>2260.4229282731844</v>
      </c>
      <c r="W73" s="555">
        <f t="shared" si="63"/>
        <v>1.6109365109345433</v>
      </c>
      <c r="X73" s="559">
        <f t="shared" si="64"/>
        <v>37.9060089869281</v>
      </c>
      <c r="Y73" s="582">
        <f t="shared" si="65"/>
        <v>61.064173860855398</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13729.693030151722</v>
      </c>
      <c r="I74" s="553">
        <f>ITECountywide!$B$9*E74</f>
        <v>18.383878402035741</v>
      </c>
      <c r="J74" s="562">
        <f t="shared" si="53"/>
        <v>1.67</v>
      </c>
      <c r="K74" s="416">
        <f t="shared" si="54"/>
        <v>0.85182987994952053</v>
      </c>
      <c r="L74" s="554">
        <f>Passby_Length_Adj!H69</f>
        <v>1.3209364175632392</v>
      </c>
      <c r="M74" s="554">
        <f>Passby_Length_Adj!J69</f>
        <v>1</v>
      </c>
      <c r="N74" s="416">
        <v>0.5</v>
      </c>
      <c r="O74" s="546">
        <f t="shared" si="55"/>
        <v>0.6604682087816196</v>
      </c>
      <c r="P74" s="555">
        <f t="shared" si="56"/>
        <v>72.908123950416979</v>
      </c>
      <c r="Q74" s="556">
        <f t="shared" si="57"/>
        <v>43.657559251746697</v>
      </c>
      <c r="R74" s="561">
        <f t="shared" si="58"/>
        <v>261.71052631578948</v>
      </c>
      <c r="S74" s="583">
        <f t="shared" si="59"/>
        <v>11425.642809437393</v>
      </c>
      <c r="T74" s="555">
        <f t="shared" si="60"/>
        <v>5.5336153607992591</v>
      </c>
      <c r="U74" s="559">
        <f t="shared" si="61"/>
        <v>405.42115030277023</v>
      </c>
      <c r="V74" s="582">
        <f t="shared" si="62"/>
        <v>2243.4447049083146</v>
      </c>
      <c r="W74" s="555">
        <f t="shared" si="63"/>
        <v>1.5988366337092821</v>
      </c>
      <c r="X74" s="559">
        <f t="shared" si="64"/>
        <v>37.9060089869281</v>
      </c>
      <c r="Y74" s="582">
        <f t="shared" si="65"/>
        <v>60.605515806013919</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13647.286914952239</v>
      </c>
      <c r="I75" s="553">
        <f>ITECountywide!$B$9*E75</f>
        <v>18.273537697543336</v>
      </c>
      <c r="J75" s="562">
        <f t="shared" si="53"/>
        <v>1.67</v>
      </c>
      <c r="K75" s="416">
        <f t="shared" si="54"/>
        <v>0.85182987994952053</v>
      </c>
      <c r="L75" s="554">
        <f>Passby_Length_Adj!H70</f>
        <v>1.3209364175632392</v>
      </c>
      <c r="M75" s="554">
        <f>Passby_Length_Adj!J70</f>
        <v>1</v>
      </c>
      <c r="N75" s="416">
        <v>0.5</v>
      </c>
      <c r="O75" s="546">
        <f t="shared" si="55"/>
        <v>0.6604682087816196</v>
      </c>
      <c r="P75" s="555">
        <f t="shared" si="56"/>
        <v>72.470526747912757</v>
      </c>
      <c r="Q75" s="556">
        <f t="shared" si="57"/>
        <v>43.395524998750155</v>
      </c>
      <c r="R75" s="561">
        <f t="shared" si="58"/>
        <v>261.71052631578948</v>
      </c>
      <c r="S75" s="583">
        <f t="shared" si="59"/>
        <v>11357.065687172902</v>
      </c>
      <c r="T75" s="555">
        <f t="shared" si="60"/>
        <v>5.5004024008379391</v>
      </c>
      <c r="U75" s="559">
        <f t="shared" si="61"/>
        <v>405.42115030277023</v>
      </c>
      <c r="V75" s="582">
        <f t="shared" si="62"/>
        <v>2229.9794684758363</v>
      </c>
      <c r="W75" s="555">
        <f t="shared" si="63"/>
        <v>1.58924035828395</v>
      </c>
      <c r="X75" s="559">
        <f t="shared" si="64"/>
        <v>37.9060089869281</v>
      </c>
      <c r="Y75" s="582">
        <f t="shared" si="65"/>
        <v>60.241759303500245</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13579.062963382292</v>
      </c>
      <c r="I76" s="553">
        <f>ITECountywide!$B$9*E76</f>
        <v>18.182186723634896</v>
      </c>
      <c r="J76" s="562">
        <f t="shared" si="53"/>
        <v>1.67</v>
      </c>
      <c r="K76" s="416">
        <f t="shared" si="54"/>
        <v>0.85182987994952053</v>
      </c>
      <c r="L76" s="554">
        <f>Passby_Length_Adj!H71</f>
        <v>1.3209364175632392</v>
      </c>
      <c r="M76" s="554">
        <f>Passby_Length_Adj!J71</f>
        <v>1</v>
      </c>
      <c r="N76" s="416">
        <v>0.5</v>
      </c>
      <c r="O76" s="546">
        <f t="shared" si="55"/>
        <v>0.6604682087816196</v>
      </c>
      <c r="P76" s="555">
        <f t="shared" si="56"/>
        <v>72.108240402069086</v>
      </c>
      <c r="Q76" s="556">
        <f t="shared" si="57"/>
        <v>43.178587067107237</v>
      </c>
      <c r="R76" s="561">
        <f t="shared" si="58"/>
        <v>261.71052631578948</v>
      </c>
      <c r="S76" s="583">
        <f t="shared" si="59"/>
        <v>11300.290746904777</v>
      </c>
      <c r="T76" s="555">
        <f t="shared" si="60"/>
        <v>5.4729054199839018</v>
      </c>
      <c r="U76" s="559">
        <f t="shared" si="61"/>
        <v>405.42115030277023</v>
      </c>
      <c r="V76" s="582">
        <f t="shared" si="62"/>
        <v>2218.8316108681393</v>
      </c>
      <c r="W76" s="555">
        <f t="shared" si="63"/>
        <v>1.5812956101510607</v>
      </c>
      <c r="X76" s="559">
        <f t="shared" si="64"/>
        <v>37.9060089869281</v>
      </c>
      <c r="Y76" s="582">
        <f t="shared" si="65"/>
        <v>59.940605609376057</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13494.739429083593</v>
      </c>
      <c r="I77" s="553">
        <f>ITECountywide!$B$9*E77</f>
        <v>18.069278620185472</v>
      </c>
      <c r="J77" s="562">
        <f t="shared" si="53"/>
        <v>1.67</v>
      </c>
      <c r="K77" s="416">
        <f t="shared" si="54"/>
        <v>0.85182987994952053</v>
      </c>
      <c r="L77" s="554">
        <f>Passby_Length_Adj!H72</f>
        <v>1.3209364175632392</v>
      </c>
      <c r="M77" s="554">
        <f>Passby_Length_Adj!J72</f>
        <v>1</v>
      </c>
      <c r="N77" s="416">
        <v>0.5</v>
      </c>
      <c r="O77" s="546">
        <f t="shared" si="55"/>
        <v>0.6604682087816196</v>
      </c>
      <c r="P77" s="555">
        <f t="shared" si="56"/>
        <v>71.660461221785482</v>
      </c>
      <c r="Q77" s="556">
        <f t="shared" si="57"/>
        <v>42.910455821428435</v>
      </c>
      <c r="R77" s="561">
        <f t="shared" si="58"/>
        <v>261.71052631578948</v>
      </c>
      <c r="S77" s="583">
        <f t="shared" si="59"/>
        <v>11230.117977476468</v>
      </c>
      <c r="T77" s="555">
        <f t="shared" si="60"/>
        <v>5.438919663445323</v>
      </c>
      <c r="U77" s="559">
        <f t="shared" si="61"/>
        <v>405.42115030277023</v>
      </c>
      <c r="V77" s="582">
        <f t="shared" si="62"/>
        <v>2205.0530663583586</v>
      </c>
      <c r="W77" s="555">
        <f t="shared" si="63"/>
        <v>1.5714760493331659</v>
      </c>
      <c r="X77" s="559">
        <f t="shared" si="64"/>
        <v>37.9060089869281</v>
      </c>
      <c r="Y77" s="582">
        <f t="shared" si="65"/>
        <v>59.568385248765253</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21916.330790025651</v>
      </c>
      <c r="I78" s="553">
        <f>ITECountywide!$B$9*E78</f>
        <v>29.345678696370033</v>
      </c>
      <c r="J78" s="562">
        <f t="shared" si="53"/>
        <v>1.67</v>
      </c>
      <c r="K78" s="416">
        <f t="shared" si="54"/>
        <v>0.85182987994952053</v>
      </c>
      <c r="L78" s="554">
        <f>Passby_Length_Adj!H73</f>
        <v>1.3209364175632392</v>
      </c>
      <c r="M78" s="554">
        <f>Passby_Length_Adj!J73</f>
        <v>1</v>
      </c>
      <c r="N78" s="416">
        <v>0.5</v>
      </c>
      <c r="O78" s="546">
        <f t="shared" si="55"/>
        <v>0.6604682087816196</v>
      </c>
      <c r="P78" s="555">
        <f t="shared" si="56"/>
        <v>116.38122995673946</v>
      </c>
      <c r="Q78" s="556">
        <f t="shared" si="57"/>
        <v>69.689359255532608</v>
      </c>
      <c r="R78" s="561">
        <f t="shared" si="58"/>
        <v>261.71052631578948</v>
      </c>
      <c r="S78" s="583">
        <f t="shared" si="59"/>
        <v>18238.438889375575</v>
      </c>
      <c r="T78" s="555">
        <f t="shared" si="60"/>
        <v>8.833157773135115</v>
      </c>
      <c r="U78" s="559">
        <f t="shared" si="61"/>
        <v>405.42115030277023</v>
      </c>
      <c r="V78" s="582">
        <f t="shared" si="62"/>
        <v>3581.1489851902948</v>
      </c>
      <c r="W78" s="555">
        <f t="shared" si="63"/>
        <v>2.5521788773158374</v>
      </c>
      <c r="X78" s="559">
        <f t="shared" si="64"/>
        <v>37.9060089869281</v>
      </c>
      <c r="Y78" s="582">
        <f t="shared" si="65"/>
        <v>96.742915459782196</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10761.879541735882</v>
      </c>
      <c r="I79" s="553">
        <f>ITECountywide!$B$9*E79</f>
        <v>14.410015172090286</v>
      </c>
      <c r="J79" s="562">
        <f t="shared" si="53"/>
        <v>1.67</v>
      </c>
      <c r="K79" s="416">
        <f t="shared" si="54"/>
        <v>0.85182987994952053</v>
      </c>
      <c r="L79" s="554">
        <f>Passby_Length_Adj!H74</f>
        <v>1.3209364175632392</v>
      </c>
      <c r="M79" s="554">
        <f>Passby_Length_Adj!J74</f>
        <v>1</v>
      </c>
      <c r="N79" s="416">
        <v>0.5</v>
      </c>
      <c r="O79" s="546">
        <f t="shared" si="55"/>
        <v>0.6604682087816196</v>
      </c>
      <c r="P79" s="555">
        <f t="shared" si="56"/>
        <v>57.148287718102445</v>
      </c>
      <c r="Q79" s="556">
        <f t="shared" si="57"/>
        <v>34.220531567726013</v>
      </c>
      <c r="R79" s="561">
        <f t="shared" si="58"/>
        <v>261.71052631578948</v>
      </c>
      <c r="S79" s="583">
        <f t="shared" si="59"/>
        <v>8955.8733273956641</v>
      </c>
      <c r="T79" s="555">
        <f t="shared" si="60"/>
        <v>4.3374678379508449</v>
      </c>
      <c r="U79" s="559">
        <f t="shared" si="61"/>
        <v>405.42115030277023</v>
      </c>
      <c r="V79" s="582">
        <f t="shared" si="62"/>
        <v>1758.5012002633014</v>
      </c>
      <c r="W79" s="555">
        <f t="shared" si="63"/>
        <v>1.2532317526041328</v>
      </c>
      <c r="X79" s="559">
        <f t="shared" si="64"/>
        <v>37.9060089869281</v>
      </c>
      <c r="Y79" s="582">
        <f t="shared" si="65"/>
        <v>47.505014076915913</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15229.074823211151</v>
      </c>
      <c r="I80" s="553">
        <f>ITECountywide!$B$9*E80</f>
        <v>20.391530903901348</v>
      </c>
      <c r="J80" s="562">
        <f t="shared" si="53"/>
        <v>1.67</v>
      </c>
      <c r="K80" s="416">
        <f t="shared" si="54"/>
        <v>0.85182987994952053</v>
      </c>
      <c r="L80" s="554">
        <f>Passby_Length_Adj!H75</f>
        <v>1.3209364175632392</v>
      </c>
      <c r="M80" s="554">
        <f>Passby_Length_Adj!J75</f>
        <v>1</v>
      </c>
      <c r="N80" s="416">
        <v>0.5</v>
      </c>
      <c r="O80" s="546">
        <f t="shared" si="55"/>
        <v>0.6604682087816196</v>
      </c>
      <c r="P80" s="555">
        <f t="shared" si="56"/>
        <v>80.870218469012883</v>
      </c>
      <c r="Q80" s="556">
        <f t="shared" si="57"/>
        <v>48.425280520366996</v>
      </c>
      <c r="R80" s="561">
        <f t="shared" si="58"/>
        <v>261.71052631578948</v>
      </c>
      <c r="S80" s="583">
        <f t="shared" si="59"/>
        <v>12673.405651974994</v>
      </c>
      <c r="T80" s="555">
        <f t="shared" si="60"/>
        <v>6.1379261857794969</v>
      </c>
      <c r="U80" s="559">
        <f t="shared" si="61"/>
        <v>405.42115030277023</v>
      </c>
      <c r="V80" s="582">
        <f t="shared" si="62"/>
        <v>2488.4450947122186</v>
      </c>
      <c r="W80" s="555">
        <f t="shared" si="63"/>
        <v>1.7734411593454709</v>
      </c>
      <c r="X80" s="559">
        <f t="shared" si="64"/>
        <v>37.9060089869281</v>
      </c>
      <c r="Y80" s="582">
        <f t="shared" si="65"/>
        <v>67.224076523937612</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13717.026520628688</v>
      </c>
      <c r="I81" s="553">
        <f>ITECountywide!$B$9*E81</f>
        <v>63.077802262734835</v>
      </c>
      <c r="J81" s="562">
        <f t="shared" si="53"/>
        <v>1.67</v>
      </c>
      <c r="K81" s="416">
        <f t="shared" si="54"/>
        <v>0.85182987994952053</v>
      </c>
      <c r="L81" s="554">
        <f>Passby_Length_Adj!H76</f>
        <v>0.3846286671810874</v>
      </c>
      <c r="M81" s="554">
        <f>Passby_Length_Adj!J76</f>
        <v>1</v>
      </c>
      <c r="N81" s="416">
        <v>0.5</v>
      </c>
      <c r="O81" s="546">
        <f t="shared" si="55"/>
        <v>0.1923143335905437</v>
      </c>
      <c r="P81" s="555">
        <f t="shared" si="56"/>
        <v>72.840861598353001</v>
      </c>
      <c r="Q81" s="556">
        <f t="shared" si="57"/>
        <v>43.617282394223359</v>
      </c>
      <c r="R81" s="561">
        <f t="shared" si="58"/>
        <v>261.71052631578948</v>
      </c>
      <c r="S81" s="583">
        <f t="shared" si="59"/>
        <v>11415.101931856614</v>
      </c>
      <c r="T81" s="555">
        <f t="shared" si="60"/>
        <v>5.528510250910025</v>
      </c>
      <c r="U81" s="559">
        <f t="shared" si="61"/>
        <v>405.42115030277023</v>
      </c>
      <c r="V81" s="582">
        <f t="shared" si="62"/>
        <v>2241.3749853845993</v>
      </c>
      <c r="W81" s="555">
        <f t="shared" si="63"/>
        <v>1.5973616058698263</v>
      </c>
      <c r="X81" s="559">
        <f t="shared" si="64"/>
        <v>37.9060089869281</v>
      </c>
      <c r="Y81" s="582">
        <f t="shared" si="65"/>
        <v>60.549603387475535</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30579.982245007992</v>
      </c>
      <c r="I82" s="553">
        <f>ITECountywide!$B$9*E82</f>
        <v>40.946194055033907</v>
      </c>
      <c r="J82" s="562">
        <f t="shared" si="53"/>
        <v>1.67</v>
      </c>
      <c r="K82" s="416">
        <f t="shared" si="54"/>
        <v>0.85182987994952053</v>
      </c>
      <c r="L82" s="554">
        <f>Passby_Length_Adj!H77</f>
        <v>1.3209364175632392</v>
      </c>
      <c r="M82" s="554">
        <f>Passby_Length_Adj!J77</f>
        <v>1</v>
      </c>
      <c r="N82" s="416">
        <v>0.5</v>
      </c>
      <c r="O82" s="546">
        <f t="shared" si="55"/>
        <v>0.6604682087816196</v>
      </c>
      <c r="P82" s="555">
        <f t="shared" si="56"/>
        <v>162.38739868577787</v>
      </c>
      <c r="Q82" s="556">
        <f t="shared" si="57"/>
        <v>97.237963284896935</v>
      </c>
      <c r="R82" s="561">
        <f t="shared" si="58"/>
        <v>261.71052631578948</v>
      </c>
      <c r="S82" s="583">
        <f t="shared" si="59"/>
        <v>25448.198549165791</v>
      </c>
      <c r="T82" s="555">
        <f t="shared" si="60"/>
        <v>12.324955781045228</v>
      </c>
      <c r="U82" s="559">
        <f t="shared" si="61"/>
        <v>405.42115030277023</v>
      </c>
      <c r="V82" s="582">
        <f t="shared" si="62"/>
        <v>4996.7977501821342</v>
      </c>
      <c r="W82" s="555">
        <f t="shared" si="63"/>
        <v>3.561069847965705</v>
      </c>
      <c r="X82" s="559">
        <f t="shared" si="64"/>
        <v>37.9060089869281</v>
      </c>
      <c r="Y82" s="582">
        <f t="shared" si="65"/>
        <v>134.9859456600667</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4418.6168763289543</v>
      </c>
      <c r="I83" s="553">
        <f>ITECountywide!$B$9*E83</f>
        <v>20.319027682909702</v>
      </c>
      <c r="J83" s="562">
        <f t="shared" si="53"/>
        <v>1.67</v>
      </c>
      <c r="K83" s="416">
        <f t="shared" si="54"/>
        <v>0.85182987994952053</v>
      </c>
      <c r="L83" s="554">
        <f>Passby_Length_Adj!H78</f>
        <v>0.3846286671810874</v>
      </c>
      <c r="M83" s="554">
        <f>Passby_Length_Adj!J78</f>
        <v>1</v>
      </c>
      <c r="N83" s="416">
        <v>0.5</v>
      </c>
      <c r="O83" s="546">
        <f t="shared" si="55"/>
        <v>0.1923143335905437</v>
      </c>
      <c r="P83" s="555">
        <f t="shared" si="56"/>
        <v>23.463967198779809</v>
      </c>
      <c r="Q83" s="556">
        <f t="shared" si="57"/>
        <v>14.050279759748388</v>
      </c>
      <c r="R83" s="561">
        <f t="shared" si="58"/>
        <v>261.71052631578948</v>
      </c>
      <c r="S83" s="583">
        <f t="shared" si="59"/>
        <v>3677.1061108078347</v>
      </c>
      <c r="T83" s="555">
        <f t="shared" si="60"/>
        <v>1.780879307836247</v>
      </c>
      <c r="U83" s="559">
        <f t="shared" si="61"/>
        <v>405.42115030277023</v>
      </c>
      <c r="V83" s="582">
        <f t="shared" si="62"/>
        <v>722.00613753337257</v>
      </c>
      <c r="W83" s="555">
        <f t="shared" si="63"/>
        <v>0.51455240235059652</v>
      </c>
      <c r="X83" s="559">
        <f t="shared" si="64"/>
        <v>37.9060089869281</v>
      </c>
      <c r="Y83" s="582">
        <f t="shared" si="65"/>
        <v>19.504627987747156</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45998.574443796882</v>
      </c>
      <c r="I84" s="553">
        <f>ITECountywide!$B$9*E84</f>
        <v>61.591486232406027</v>
      </c>
      <c r="J84" s="562">
        <f t="shared" si="53"/>
        <v>1.67</v>
      </c>
      <c r="K84" s="416">
        <f t="shared" si="54"/>
        <v>0.85182987994952053</v>
      </c>
      <c r="L84" s="554">
        <f>Passby_Length_Adj!H79</f>
        <v>1.3209364175632392</v>
      </c>
      <c r="M84" s="554">
        <f>Passby_Length_Adj!J79</f>
        <v>1</v>
      </c>
      <c r="N84" s="416">
        <v>0.5</v>
      </c>
      <c r="O84" s="546">
        <f t="shared" si="55"/>
        <v>0.6604682087816196</v>
      </c>
      <c r="P84" s="555">
        <f t="shared" si="56"/>
        <v>244.26400209573848</v>
      </c>
      <c r="Q84" s="556">
        <f t="shared" si="57"/>
        <v>146.26586951840628</v>
      </c>
      <c r="R84" s="561">
        <f t="shared" si="58"/>
        <v>261.71052631578948</v>
      </c>
      <c r="S84" s="583">
        <f t="shared" si="59"/>
        <v>38279.317693698693</v>
      </c>
      <c r="T84" s="555">
        <f t="shared" si="60"/>
        <v>18.53926504824776</v>
      </c>
      <c r="U84" s="559">
        <f t="shared" si="61"/>
        <v>405.42115030277023</v>
      </c>
      <c r="V84" s="582">
        <f t="shared" si="62"/>
        <v>7516.2101616285499</v>
      </c>
      <c r="W84" s="555">
        <f t="shared" si="63"/>
        <v>5.3565804972941411</v>
      </c>
      <c r="X84" s="559">
        <f t="shared" si="64"/>
        <v>37.9060089869281</v>
      </c>
      <c r="Y84" s="582">
        <f t="shared" si="65"/>
        <v>203.04658846963551</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14985.409626039773</v>
      </c>
      <c r="I85" s="553">
        <f>ITECountywide!$B$9*E85</f>
        <v>20.065266409438927</v>
      </c>
      <c r="J85" s="562">
        <f t="shared" si="53"/>
        <v>1.67</v>
      </c>
      <c r="K85" s="416">
        <f t="shared" si="54"/>
        <v>0.85182987994952053</v>
      </c>
      <c r="L85" s="554">
        <f>Passby_Length_Adj!H80</f>
        <v>1.3209364175632392</v>
      </c>
      <c r="M85" s="554">
        <f>Passby_Length_Adj!J80</f>
        <v>1</v>
      </c>
      <c r="N85" s="416">
        <v>0.5</v>
      </c>
      <c r="O85" s="546">
        <f t="shared" si="55"/>
        <v>0.6604682087816196</v>
      </c>
      <c r="P85" s="555">
        <f t="shared" si="56"/>
        <v>79.576294973508681</v>
      </c>
      <c r="Q85" s="556">
        <f t="shared" si="57"/>
        <v>47.650476032041126</v>
      </c>
      <c r="R85" s="561">
        <f t="shared" si="58"/>
        <v>261.71052631578948</v>
      </c>
      <c r="S85" s="583">
        <f t="shared" si="59"/>
        <v>12470.631161543395</v>
      </c>
      <c r="T85" s="555">
        <f t="shared" si="60"/>
        <v>6.0397193668070246</v>
      </c>
      <c r="U85" s="559">
        <f t="shared" si="61"/>
        <v>405.42115030277023</v>
      </c>
      <c r="V85" s="582">
        <f t="shared" si="62"/>
        <v>2448.6299731968229</v>
      </c>
      <c r="W85" s="555">
        <f t="shared" si="63"/>
        <v>1.7450661007959432</v>
      </c>
      <c r="X85" s="559">
        <f t="shared" si="64"/>
        <v>37.9060089869281</v>
      </c>
      <c r="Y85" s="582">
        <f t="shared" si="65"/>
        <v>66.148491299554593</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15242.611778609566</v>
      </c>
      <c r="I86" s="553">
        <f>ITECountywide!$B$9*E86</f>
        <v>20.40965670914926</v>
      </c>
      <c r="J86" s="562">
        <f t="shared" si="53"/>
        <v>1.67</v>
      </c>
      <c r="K86" s="416">
        <f t="shared" si="54"/>
        <v>0.85182987994952053</v>
      </c>
      <c r="L86" s="554">
        <f>Passby_Length_Adj!H81</f>
        <v>1.3209364175632392</v>
      </c>
      <c r="M86" s="554">
        <f>Passby_Length_Adj!J81</f>
        <v>1</v>
      </c>
      <c r="N86" s="416">
        <v>0.5</v>
      </c>
      <c r="O86" s="546">
        <f t="shared" si="55"/>
        <v>0.6604682087816196</v>
      </c>
      <c r="P86" s="555">
        <f t="shared" si="56"/>
        <v>80.942103107652017</v>
      </c>
      <c r="Q86" s="556">
        <f t="shared" si="57"/>
        <v>48.468325214162888</v>
      </c>
      <c r="R86" s="561">
        <f t="shared" si="58"/>
        <v>261.71052631578948</v>
      </c>
      <c r="S86" s="583">
        <f t="shared" si="59"/>
        <v>12684.67090144342</v>
      </c>
      <c r="T86" s="555">
        <f t="shared" si="60"/>
        <v>6.1433821201668559</v>
      </c>
      <c r="U86" s="559">
        <f t="shared" si="61"/>
        <v>405.42115030277023</v>
      </c>
      <c r="V86" s="582">
        <f t="shared" si="62"/>
        <v>2490.6570459075183</v>
      </c>
      <c r="W86" s="555">
        <f t="shared" si="63"/>
        <v>1.7750175514871112</v>
      </c>
      <c r="X86" s="559">
        <f t="shared" si="64"/>
        <v>37.9060089869281</v>
      </c>
      <c r="Y86" s="582">
        <f t="shared" si="65"/>
        <v>67.283831258625554</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16839.972515621928</v>
      </c>
      <c r="I87" s="553">
        <f>ITECountywide!$B$9*E87</f>
        <v>22.548501728402911</v>
      </c>
      <c r="J87" s="562">
        <f t="shared" si="53"/>
        <v>1.67</v>
      </c>
      <c r="K87" s="416">
        <f t="shared" si="54"/>
        <v>0.85182987994952053</v>
      </c>
      <c r="L87" s="554">
        <f>Passby_Length_Adj!H82</f>
        <v>1.3209364175632392</v>
      </c>
      <c r="M87" s="554">
        <f>Passby_Length_Adj!J82</f>
        <v>1</v>
      </c>
      <c r="N87" s="416">
        <v>0.5</v>
      </c>
      <c r="O87" s="546">
        <f t="shared" si="55"/>
        <v>0.6604682087816196</v>
      </c>
      <c r="P87" s="555">
        <f t="shared" si="56"/>
        <v>89.424490467068466</v>
      </c>
      <c r="Q87" s="556">
        <f t="shared" si="57"/>
        <v>53.547599082076928</v>
      </c>
      <c r="R87" s="561">
        <f t="shared" si="58"/>
        <v>261.71052631578948</v>
      </c>
      <c r="S87" s="583">
        <f t="shared" si="59"/>
        <v>14013.970338717239</v>
      </c>
      <c r="T87" s="555">
        <f t="shared" si="60"/>
        <v>6.7871823778752827</v>
      </c>
      <c r="U87" s="559">
        <f t="shared" si="61"/>
        <v>405.42115030277023</v>
      </c>
      <c r="V87" s="582">
        <f t="shared" si="62"/>
        <v>2751.6672869528884</v>
      </c>
      <c r="W87" s="555">
        <f t="shared" si="63"/>
        <v>1.9610318242006803</v>
      </c>
      <c r="X87" s="559">
        <f t="shared" si="64"/>
        <v>37.9060089869281</v>
      </c>
      <c r="Y87" s="582">
        <f t="shared" si="65"/>
        <v>74.334889951802992</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8675.2068222229136</v>
      </c>
      <c r="I89" s="553">
        <f>ITECountywide!$B$9*E89</f>
        <v>32.717078472481724</v>
      </c>
      <c r="J89" s="562">
        <f t="shared" ref="J89:J126" si="67">IF(F89="Prod",$M$3,$M$4)</f>
        <v>1.67</v>
      </c>
      <c r="K89" s="416">
        <f t="shared" ref="K89:K126" si="68">IF(F89="Prod",$F$4,$F$5)</f>
        <v>0.85182987994952053</v>
      </c>
      <c r="L89" s="554">
        <f>Passby_Length_Adj!H84</f>
        <v>0.4689899613519371</v>
      </c>
      <c r="M89" s="554">
        <f>Passby_Length_Adj!J84</f>
        <v>1</v>
      </c>
      <c r="N89" s="416">
        <v>0.5</v>
      </c>
      <c r="O89" s="546">
        <f t="shared" ref="O89:O126" si="69">L89*M89*N89</f>
        <v>0.23449498067596855</v>
      </c>
      <c r="P89" s="555">
        <f t="shared" ref="P89:P126" si="70">IF($F89="Prod",$I89*$O89*$F$4*$F$6,$I89*O89*$F$5*$F$7)</f>
        <v>46.067530636053981</v>
      </c>
      <c r="Q89" s="556">
        <f t="shared" ref="Q89:Q126" si="71">+P89/J89</f>
        <v>27.585347686259869</v>
      </c>
      <c r="R89" s="561">
        <f t="shared" ref="R89:R126" si="72">+$Q$4</f>
        <v>261.71052631578948</v>
      </c>
      <c r="S89" s="583">
        <f t="shared" ref="S89:S126" si="73">+Q89*R89</f>
        <v>7219.3758615751158</v>
      </c>
      <c r="T89" s="555">
        <f t="shared" ref="T89:T126" si="74">IF($F89="Prod",$I89*$O89*$G$4*$G$6,$I89*$O89*$G$5*$G$7)</f>
        <v>3.4964552830233786</v>
      </c>
      <c r="U89" s="559">
        <f t="shared" ref="U89:U126" si="75">+$R$4</f>
        <v>405.42115030277023</v>
      </c>
      <c r="V89" s="582">
        <f t="shared" ref="V89:V126" si="76">+T89*U89</f>
        <v>1417.5369228255363</v>
      </c>
      <c r="W89" s="555">
        <f t="shared" ref="W89:W126" si="77">IF($F89="Prod",$I89*$O89*$J$4*$J$6,$I89*$O89*$J$5*$J$7)</f>
        <v>1.0102366048471956</v>
      </c>
      <c r="X89" s="559">
        <f t="shared" ref="X89:X126" si="78">$S$4</f>
        <v>37.9060089869281</v>
      </c>
      <c r="Y89" s="582">
        <f t="shared" ref="Y89:Y126" si="79">+W89*X89</f>
        <v>38.294037822261529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24367.478442476542</v>
      </c>
      <c r="I90" s="553">
        <f>ITECountywide!$B$9*E90</f>
        <v>91.897832606915415</v>
      </c>
      <c r="J90" s="562">
        <f t="shared" si="67"/>
        <v>1.67</v>
      </c>
      <c r="K90" s="416">
        <f t="shared" si="68"/>
        <v>0.85182987994952053</v>
      </c>
      <c r="L90" s="554">
        <f>Passby_Length_Adj!H85</f>
        <v>0.4689899613519371</v>
      </c>
      <c r="M90" s="554">
        <f>Passby_Length_Adj!J85</f>
        <v>1</v>
      </c>
      <c r="N90" s="416">
        <v>0.5</v>
      </c>
      <c r="O90" s="546">
        <f t="shared" si="69"/>
        <v>0.23449498067596855</v>
      </c>
      <c r="P90" s="555">
        <f t="shared" si="70"/>
        <v>129.39744062315435</v>
      </c>
      <c r="Q90" s="556">
        <f t="shared" si="71"/>
        <v>77.483497379134349</v>
      </c>
      <c r="R90" s="561">
        <f t="shared" si="72"/>
        <v>261.71052631578948</v>
      </c>
      <c r="S90" s="583">
        <f t="shared" si="73"/>
        <v>20278.246879881346</v>
      </c>
      <c r="T90" s="555">
        <f t="shared" si="74"/>
        <v>9.8210683018994605</v>
      </c>
      <c r="U90" s="559">
        <f t="shared" si="75"/>
        <v>405.42115030277023</v>
      </c>
      <c r="V90" s="582">
        <f t="shared" si="76"/>
        <v>3981.6688081581538</v>
      </c>
      <c r="W90" s="555">
        <f t="shared" si="77"/>
        <v>2.8376174994876906</v>
      </c>
      <c r="X90" s="559">
        <f t="shared" si="78"/>
        <v>37.9060089869281</v>
      </c>
      <c r="Y90" s="582">
        <f t="shared" si="79"/>
        <v>107.56275443704484</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4392.8748119178626</v>
      </c>
      <c r="I91" s="553">
        <f>ITECountywide!$B$9*E91</f>
        <v>16.566985996591853</v>
      </c>
      <c r="J91" s="562">
        <f t="shared" si="67"/>
        <v>1.67</v>
      </c>
      <c r="K91" s="416">
        <f t="shared" si="68"/>
        <v>0.85182987994952053</v>
      </c>
      <c r="L91" s="554">
        <f>Passby_Length_Adj!H86</f>
        <v>0.4689899613519371</v>
      </c>
      <c r="M91" s="554">
        <f>Passby_Length_Adj!J86</f>
        <v>1</v>
      </c>
      <c r="N91" s="416">
        <v>0.5</v>
      </c>
      <c r="O91" s="546">
        <f t="shared" si="69"/>
        <v>0.23449498067596855</v>
      </c>
      <c r="P91" s="555">
        <f t="shared" si="70"/>
        <v>23.327270360860574</v>
      </c>
      <c r="Q91" s="556">
        <f t="shared" si="71"/>
        <v>13.968425365784775</v>
      </c>
      <c r="R91" s="561">
        <f t="shared" si="72"/>
        <v>261.71052631578948</v>
      </c>
      <c r="S91" s="583">
        <f t="shared" si="73"/>
        <v>3655.6839542823577</v>
      </c>
      <c r="T91" s="555">
        <f t="shared" si="74"/>
        <v>1.7705042264173785</v>
      </c>
      <c r="U91" s="559">
        <f t="shared" si="75"/>
        <v>405.42115030277023</v>
      </c>
      <c r="V91" s="582">
        <f t="shared" si="76"/>
        <v>717.79986009004995</v>
      </c>
      <c r="W91" s="555">
        <f t="shared" si="77"/>
        <v>0.51155471292539445</v>
      </c>
      <c r="X91" s="559">
        <f t="shared" si="78"/>
        <v>37.9060089869281</v>
      </c>
      <c r="Y91" s="582">
        <f t="shared" si="79"/>
        <v>19.390997545455427</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32730.281694924117</v>
      </c>
      <c r="I92" s="553">
        <f>ITECountywide!$B$9*E92</f>
        <v>123.43673373828283</v>
      </c>
      <c r="J92" s="562">
        <f t="shared" si="67"/>
        <v>1.67</v>
      </c>
      <c r="K92" s="416">
        <f t="shared" si="68"/>
        <v>0.85182987994952053</v>
      </c>
      <c r="L92" s="554">
        <f>Passby_Length_Adj!H87</f>
        <v>0.4689899613519371</v>
      </c>
      <c r="M92" s="554">
        <f>Passby_Length_Adj!J87</f>
        <v>1</v>
      </c>
      <c r="N92" s="416">
        <v>0.5</v>
      </c>
      <c r="O92" s="546">
        <f t="shared" si="69"/>
        <v>0.23449498067596855</v>
      </c>
      <c r="P92" s="555">
        <f t="shared" si="70"/>
        <v>173.80602971275763</v>
      </c>
      <c r="Q92" s="556">
        <f t="shared" si="71"/>
        <v>104.07546689386685</v>
      </c>
      <c r="R92" s="561">
        <f t="shared" si="72"/>
        <v>261.71052631578948</v>
      </c>
      <c r="S92" s="583">
        <f t="shared" si="73"/>
        <v>27237.645217355417</v>
      </c>
      <c r="T92" s="555">
        <f t="shared" si="74"/>
        <v>13.191612452847204</v>
      </c>
      <c r="U92" s="559">
        <f t="shared" si="75"/>
        <v>405.42115030277023</v>
      </c>
      <c r="V92" s="582">
        <f t="shared" si="76"/>
        <v>5348.1586949816619</v>
      </c>
      <c r="W92" s="555">
        <f t="shared" si="77"/>
        <v>3.8114743928029924</v>
      </c>
      <c r="X92" s="559">
        <f t="shared" si="78"/>
        <v>37.9060089869281</v>
      </c>
      <c r="Y92" s="582">
        <f t="shared" si="79"/>
        <v>144.47778258703656</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18143.438090798616</v>
      </c>
      <c r="I93" s="553">
        <f>ITECountywide!$B$9*E93</f>
        <v>68.42491481086897</v>
      </c>
      <c r="J93" s="562">
        <f t="shared" si="67"/>
        <v>1.67</v>
      </c>
      <c r="K93" s="416">
        <f t="shared" si="68"/>
        <v>0.85182987994952053</v>
      </c>
      <c r="L93" s="554">
        <f>Passby_Length_Adj!H88</f>
        <v>0.4689899613519371</v>
      </c>
      <c r="M93" s="554">
        <f>Passby_Length_Adj!J88</f>
        <v>1</v>
      </c>
      <c r="N93" s="416">
        <v>0.5</v>
      </c>
      <c r="O93" s="546">
        <f t="shared" si="69"/>
        <v>0.23449498067596855</v>
      </c>
      <c r="P93" s="555">
        <f t="shared" si="70"/>
        <v>96.346220582328954</v>
      </c>
      <c r="Q93" s="556">
        <f t="shared" si="71"/>
        <v>57.692347654089197</v>
      </c>
      <c r="R93" s="561">
        <f t="shared" si="72"/>
        <v>261.71052631578948</v>
      </c>
      <c r="S93" s="583">
        <f t="shared" si="73"/>
        <v>15098.694668945187</v>
      </c>
      <c r="T93" s="555">
        <f t="shared" si="74"/>
        <v>7.3125311320849038</v>
      </c>
      <c r="U93" s="559">
        <f t="shared" si="75"/>
        <v>405.42115030277023</v>
      </c>
      <c r="V93" s="582">
        <f t="shared" si="76"/>
        <v>2964.6547831946805</v>
      </c>
      <c r="W93" s="555">
        <f t="shared" si="77"/>
        <v>2.1128217081984286</v>
      </c>
      <c r="X93" s="559">
        <f t="shared" si="78"/>
        <v>37.9060089869281</v>
      </c>
      <c r="Y93" s="582">
        <f t="shared" si="79"/>
        <v>80.088638658746419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17611.161090376714</v>
      </c>
      <c r="I94" s="553">
        <f>ITECountywide!$B$9*E94</f>
        <v>284.21511603055654</v>
      </c>
      <c r="J94" s="562">
        <f t="shared" si="67"/>
        <v>1.67</v>
      </c>
      <c r="K94" s="416">
        <f t="shared" si="68"/>
        <v>0.85182987994952053</v>
      </c>
      <c r="L94" s="554">
        <f>Passby_Length_Adj!H89</f>
        <v>0.3846286671810874</v>
      </c>
      <c r="M94" s="554">
        <f>Passby_Length_Adj!J89</f>
        <v>0.28494260634706281</v>
      </c>
      <c r="N94" s="416">
        <v>0.5</v>
      </c>
      <c r="O94" s="546">
        <f t="shared" si="69"/>
        <v>5.4798547451188014E-2</v>
      </c>
      <c r="P94" s="555">
        <f t="shared" si="70"/>
        <v>93.519695805883387</v>
      </c>
      <c r="Q94" s="556">
        <f t="shared" si="71"/>
        <v>55.999817847834365</v>
      </c>
      <c r="R94" s="561">
        <f t="shared" si="72"/>
        <v>261.71052631578948</v>
      </c>
      <c r="S94" s="583">
        <f t="shared" si="73"/>
        <v>14655.741802545073</v>
      </c>
      <c r="T94" s="555">
        <f t="shared" si="74"/>
        <v>7.0980022144123573</v>
      </c>
      <c r="U94" s="559">
        <f t="shared" si="75"/>
        <v>405.42115030277023</v>
      </c>
      <c r="V94" s="582">
        <f t="shared" si="76"/>
        <v>2877.6802226186683</v>
      </c>
      <c r="W94" s="555">
        <f t="shared" si="77"/>
        <v>2.050837513381655</v>
      </c>
      <c r="X94" s="559">
        <f t="shared" si="78"/>
        <v>37.9060089869281</v>
      </c>
      <c r="Y94" s="582">
        <f t="shared" si="79"/>
        <v>77.739065212974296</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9400.0587725932892</v>
      </c>
      <c r="I95" s="553">
        <f>ITECountywide!$B$9*E95</f>
        <v>160.19124330117839</v>
      </c>
      <c r="J95" s="562">
        <f t="shared" si="67"/>
        <v>1.67</v>
      </c>
      <c r="K95" s="416">
        <f t="shared" si="68"/>
        <v>0.85182987994952053</v>
      </c>
      <c r="L95" s="554">
        <f>Passby_Length_Adj!H90</f>
        <v>0.3846286671810874</v>
      </c>
      <c r="M95" s="554">
        <f>Passby_Length_Adj!J90</f>
        <v>0.26984126984126988</v>
      </c>
      <c r="N95" s="416">
        <v>0.5</v>
      </c>
      <c r="O95" s="546">
        <f t="shared" si="69"/>
        <v>5.1894343984749895E-2</v>
      </c>
      <c r="P95" s="555">
        <f t="shared" si="70"/>
        <v>49.916676842545733</v>
      </c>
      <c r="Q95" s="556">
        <f t="shared" si="71"/>
        <v>29.890225654219002</v>
      </c>
      <c r="R95" s="561">
        <f t="shared" si="72"/>
        <v>261.71052631578948</v>
      </c>
      <c r="S95" s="583">
        <f t="shared" si="73"/>
        <v>7822.5866876633681</v>
      </c>
      <c r="T95" s="555">
        <f t="shared" si="74"/>
        <v>3.7885996068670469</v>
      </c>
      <c r="U95" s="559">
        <f t="shared" si="75"/>
        <v>405.42115030277023</v>
      </c>
      <c r="V95" s="582">
        <f t="shared" si="76"/>
        <v>1535.9784106526613</v>
      </c>
      <c r="W95" s="555">
        <f t="shared" si="77"/>
        <v>1.0946463472735324</v>
      </c>
      <c r="X95" s="559">
        <f t="shared" si="78"/>
        <v>37.9060089869281</v>
      </c>
      <c r="Y95" s="582">
        <f t="shared" si="79"/>
        <v>41.493674277258535</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7011.1581926280023</v>
      </c>
      <c r="I96" s="553">
        <f>ITECountywide!$B$9*E96</f>
        <v>119.48075804939616</v>
      </c>
      <c r="J96" s="562">
        <f t="shared" si="67"/>
        <v>1.67</v>
      </c>
      <c r="K96" s="416">
        <f t="shared" si="68"/>
        <v>0.85182987994952053</v>
      </c>
      <c r="L96" s="554">
        <f>Passby_Length_Adj!H91</f>
        <v>0.3846286671810874</v>
      </c>
      <c r="M96" s="554">
        <f>Passby_Length_Adj!J91</f>
        <v>0.26984126984126988</v>
      </c>
      <c r="N96" s="416">
        <v>0.5</v>
      </c>
      <c r="O96" s="546">
        <f t="shared" si="69"/>
        <v>5.1894343984749895E-2</v>
      </c>
      <c r="P96" s="555">
        <f t="shared" si="70"/>
        <v>37.231013790441253</v>
      </c>
      <c r="Q96" s="556">
        <f t="shared" si="71"/>
        <v>22.294020233797159</v>
      </c>
      <c r="R96" s="561">
        <f t="shared" si="72"/>
        <v>261.71052631578948</v>
      </c>
      <c r="S96" s="583">
        <f t="shared" si="73"/>
        <v>5834.5797690819145</v>
      </c>
      <c r="T96" s="555">
        <f t="shared" si="74"/>
        <v>2.8257771376619885</v>
      </c>
      <c r="U96" s="559">
        <f t="shared" si="75"/>
        <v>405.42115030277023</v>
      </c>
      <c r="V96" s="582">
        <f t="shared" si="76"/>
        <v>1145.6298176501928</v>
      </c>
      <c r="W96" s="555">
        <f t="shared" si="77"/>
        <v>0.8164564596227345</v>
      </c>
      <c r="X96" s="559">
        <f t="shared" si="78"/>
        <v>37.9060089869281</v>
      </c>
      <c r="Y96" s="582">
        <f t="shared" si="79"/>
        <v>30.948605895894872</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25378.952476108276</v>
      </c>
      <c r="I97" s="553">
        <f>ITECountywide!$B$9*E97</f>
        <v>95.712436224945051</v>
      </c>
      <c r="J97" s="562">
        <f t="shared" si="67"/>
        <v>1.67</v>
      </c>
      <c r="K97" s="416">
        <f t="shared" si="68"/>
        <v>0.85182987994952053</v>
      </c>
      <c r="L97" s="554">
        <f>Passby_Length_Adj!H92</f>
        <v>0.4689899613519371</v>
      </c>
      <c r="M97" s="554">
        <f>Passby_Length_Adj!J92</f>
        <v>1</v>
      </c>
      <c r="N97" s="416">
        <v>0.5</v>
      </c>
      <c r="O97" s="546">
        <f t="shared" si="69"/>
        <v>0.23449498067596855</v>
      </c>
      <c r="P97" s="555">
        <f t="shared" si="70"/>
        <v>134.76862219689386</v>
      </c>
      <c r="Q97" s="556">
        <f t="shared" si="71"/>
        <v>80.699773770595129</v>
      </c>
      <c r="R97" s="561">
        <f t="shared" si="72"/>
        <v>261.71052631578948</v>
      </c>
      <c r="S97" s="583">
        <f t="shared" si="73"/>
        <v>21119.980267067593</v>
      </c>
      <c r="T97" s="555">
        <f t="shared" si="74"/>
        <v>10.228732787715884</v>
      </c>
      <c r="U97" s="559">
        <f t="shared" si="75"/>
        <v>405.42115030277023</v>
      </c>
      <c r="V97" s="582">
        <f t="shared" si="76"/>
        <v>4146.9446129354355</v>
      </c>
      <c r="W97" s="555">
        <f t="shared" si="77"/>
        <v>2.9554046732769823</v>
      </c>
      <c r="X97" s="559">
        <f t="shared" si="78"/>
        <v>37.9060089869281</v>
      </c>
      <c r="Y97" s="582">
        <f t="shared" si="79"/>
        <v>112.0275961052466</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21551.727769018089</v>
      </c>
      <c r="I98" s="553">
        <f>ITECountywide!$B$9*E98</f>
        <v>81.278704137667205</v>
      </c>
      <c r="J98" s="562">
        <f t="shared" si="67"/>
        <v>1.67</v>
      </c>
      <c r="K98" s="416">
        <f t="shared" si="68"/>
        <v>0.85182987994952053</v>
      </c>
      <c r="L98" s="554">
        <f>Passby_Length_Adj!H93</f>
        <v>0.4689899613519371</v>
      </c>
      <c r="M98" s="554">
        <f>Passby_Length_Adj!J93</f>
        <v>1</v>
      </c>
      <c r="N98" s="416">
        <v>0.5</v>
      </c>
      <c r="O98" s="546">
        <f t="shared" si="69"/>
        <v>0.23449498067596855</v>
      </c>
      <c r="P98" s="555">
        <f t="shared" si="70"/>
        <v>114.44509619250029</v>
      </c>
      <c r="Q98" s="556">
        <f t="shared" si="71"/>
        <v>68.529997720060052</v>
      </c>
      <c r="R98" s="561">
        <f t="shared" si="72"/>
        <v>261.71052631578948</v>
      </c>
      <c r="S98" s="583">
        <f t="shared" si="73"/>
        <v>17935.02177173677</v>
      </c>
      <c r="T98" s="555">
        <f t="shared" si="74"/>
        <v>8.6862081746837543</v>
      </c>
      <c r="U98" s="559">
        <f t="shared" si="75"/>
        <v>405.42115030277023</v>
      </c>
      <c r="V98" s="582">
        <f t="shared" si="76"/>
        <v>3521.572509949614</v>
      </c>
      <c r="W98" s="555">
        <f t="shared" si="77"/>
        <v>2.509720486915719</v>
      </c>
      <c r="X98" s="559">
        <f t="shared" si="78"/>
        <v>37.9060089869281</v>
      </c>
      <c r="Y98" s="582">
        <f t="shared" si="79"/>
        <v>95.133487331704814</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19351.789048981154</v>
      </c>
      <c r="I99" s="553">
        <f>ITECountywide!$B$9*E99</f>
        <v>72.982006524219813</v>
      </c>
      <c r="J99" s="562">
        <f t="shared" si="67"/>
        <v>1.67</v>
      </c>
      <c r="K99" s="416">
        <f t="shared" si="68"/>
        <v>0.85182987994952053</v>
      </c>
      <c r="L99" s="554">
        <f>Passby_Length_Adj!H94</f>
        <v>0.4689899613519371</v>
      </c>
      <c r="M99" s="554">
        <f>Passby_Length_Adj!J94</f>
        <v>1</v>
      </c>
      <c r="N99" s="416">
        <v>0.5</v>
      </c>
      <c r="O99" s="546">
        <f t="shared" si="69"/>
        <v>0.23449498067596855</v>
      </c>
      <c r="P99" s="555">
        <f t="shared" si="70"/>
        <v>102.76286815349496</v>
      </c>
      <c r="Q99" s="556">
        <f t="shared" si="71"/>
        <v>61.534651588919139</v>
      </c>
      <c r="R99" s="561">
        <f t="shared" si="72"/>
        <v>261.71052631578948</v>
      </c>
      <c r="S99" s="583">
        <f t="shared" si="73"/>
        <v>16104.266053994759</v>
      </c>
      <c r="T99" s="555">
        <f t="shared" si="74"/>
        <v>7.7995448918791777</v>
      </c>
      <c r="U99" s="559">
        <f t="shared" si="75"/>
        <v>405.42115030277023</v>
      </c>
      <c r="V99" s="582">
        <f t="shared" si="76"/>
        <v>3162.1004619037517</v>
      </c>
      <c r="W99" s="555">
        <f t="shared" si="77"/>
        <v>2.2535353988889053</v>
      </c>
      <c r="X99" s="559">
        <f t="shared" si="78"/>
        <v>37.9060089869281</v>
      </c>
      <c r="Y99" s="582">
        <f t="shared" si="79"/>
        <v>85.42253308264344</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17856.440499825156</v>
      </c>
      <c r="I100" s="553">
        <f>ITECountywide!$B$9*E100</f>
        <v>67.342551831206222</v>
      </c>
      <c r="J100" s="562">
        <f t="shared" si="67"/>
        <v>1.67</v>
      </c>
      <c r="K100" s="416">
        <f t="shared" si="68"/>
        <v>0.85182987994952053</v>
      </c>
      <c r="L100" s="554">
        <f>Passby_Length_Adj!H95</f>
        <v>0.4689899613519371</v>
      </c>
      <c r="M100" s="554">
        <f>Passby_Length_Adj!J95</f>
        <v>1</v>
      </c>
      <c r="N100" s="416">
        <v>0.5</v>
      </c>
      <c r="O100" s="546">
        <f t="shared" si="69"/>
        <v>0.23449498067596855</v>
      </c>
      <c r="P100" s="555">
        <f t="shared" si="70"/>
        <v>94.822191174663985</v>
      </c>
      <c r="Q100" s="556">
        <f t="shared" si="71"/>
        <v>56.779755194409574</v>
      </c>
      <c r="R100" s="561">
        <f t="shared" si="72"/>
        <v>261.71052631578948</v>
      </c>
      <c r="S100" s="583">
        <f t="shared" si="73"/>
        <v>14859.859616010612</v>
      </c>
      <c r="T100" s="555">
        <f t="shared" si="74"/>
        <v>7.196859625487094</v>
      </c>
      <c r="U100" s="559">
        <f t="shared" si="75"/>
        <v>405.42115030277023</v>
      </c>
      <c r="V100" s="582">
        <f t="shared" si="76"/>
        <v>2917.7591079325416</v>
      </c>
      <c r="W100" s="555">
        <f t="shared" si="77"/>
        <v>2.0794005485827713</v>
      </c>
      <c r="X100" s="559">
        <f t="shared" si="78"/>
        <v>37.9060089869281</v>
      </c>
      <c r="Y100" s="582">
        <f t="shared" si="79"/>
        <v>78.821775882001745</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16745.836042952997</v>
      </c>
      <c r="I101" s="553">
        <f>ITECountywide!$B$9*E101</f>
        <v>63.154094551514092</v>
      </c>
      <c r="J101" s="562">
        <f t="shared" si="67"/>
        <v>1.67</v>
      </c>
      <c r="K101" s="416">
        <f t="shared" si="68"/>
        <v>0.85182987994952053</v>
      </c>
      <c r="L101" s="554">
        <f>Passby_Length_Adj!H96</f>
        <v>0.4689899613519371</v>
      </c>
      <c r="M101" s="554">
        <f>Passby_Length_Adj!J96</f>
        <v>1</v>
      </c>
      <c r="N101" s="416">
        <v>0.5</v>
      </c>
      <c r="O101" s="546">
        <f t="shared" si="69"/>
        <v>0.23449498067596855</v>
      </c>
      <c r="P101" s="555">
        <f t="shared" si="70"/>
        <v>88.92460211541129</v>
      </c>
      <c r="Q101" s="556">
        <f t="shared" si="71"/>
        <v>53.248264739767244</v>
      </c>
      <c r="R101" s="561">
        <f t="shared" si="72"/>
        <v>261.71052631578948</v>
      </c>
      <c r="S101" s="583">
        <f t="shared" si="73"/>
        <v>13935.631390446981</v>
      </c>
      <c r="T101" s="555">
        <f t="shared" si="74"/>
        <v>6.7492416147403542</v>
      </c>
      <c r="U101" s="559">
        <f t="shared" si="75"/>
        <v>405.42115030277023</v>
      </c>
      <c r="V101" s="582">
        <f t="shared" si="76"/>
        <v>2736.2852991193608</v>
      </c>
      <c r="W101" s="555">
        <f t="shared" si="77"/>
        <v>1.9500695367889564</v>
      </c>
      <c r="X101" s="559">
        <f t="shared" si="78"/>
        <v>37.9060089869281</v>
      </c>
      <c r="Y101" s="582">
        <f t="shared" si="79"/>
        <v>73.919353386656894</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15502.135284607526</v>
      </c>
      <c r="I102" s="553">
        <f>ITECountywide!$B$9*E102</f>
        <v>58.463687032601783</v>
      </c>
      <c r="J102" s="562">
        <f t="shared" si="67"/>
        <v>1.67</v>
      </c>
      <c r="K102" s="416">
        <f t="shared" si="68"/>
        <v>0.85182987994952053</v>
      </c>
      <c r="L102" s="554">
        <f>Passby_Length_Adj!H97</f>
        <v>0.4689899613519371</v>
      </c>
      <c r="M102" s="554">
        <f>Passby_Length_Adj!J97</f>
        <v>1</v>
      </c>
      <c r="N102" s="416">
        <v>0.5</v>
      </c>
      <c r="O102" s="546">
        <f t="shared" si="69"/>
        <v>0.23449498067596855</v>
      </c>
      <c r="P102" s="555">
        <f t="shared" si="70"/>
        <v>82.320238212478699</v>
      </c>
      <c r="Q102" s="556">
        <f t="shared" si="71"/>
        <v>49.293555815855512</v>
      </c>
      <c r="R102" s="561">
        <f t="shared" si="72"/>
        <v>261.71052631578948</v>
      </c>
      <c r="S102" s="583">
        <f t="shared" si="73"/>
        <v>12900.642436544291</v>
      </c>
      <c r="T102" s="555">
        <f t="shared" si="74"/>
        <v>6.2479804717924168</v>
      </c>
      <c r="U102" s="559">
        <f t="shared" si="75"/>
        <v>405.42115030277023</v>
      </c>
      <c r="V102" s="582">
        <f t="shared" si="76"/>
        <v>2533.0634299433268</v>
      </c>
      <c r="W102" s="555">
        <f t="shared" si="77"/>
        <v>1.8052393261318158</v>
      </c>
      <c r="X102" s="559">
        <f t="shared" si="78"/>
        <v>37.9060089869281</v>
      </c>
      <c r="Y102" s="582">
        <f t="shared" si="79"/>
        <v>68.429418119908632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14304.256605381315</v>
      </c>
      <c r="I103" s="553">
        <f>ITECountywide!$B$9*E103</f>
        <v>53.946089751997178</v>
      </c>
      <c r="J103" s="562">
        <f t="shared" si="67"/>
        <v>1.67</v>
      </c>
      <c r="K103" s="416">
        <f t="shared" si="68"/>
        <v>0.85182987994952053</v>
      </c>
      <c r="L103" s="554">
        <f>Passby_Length_Adj!H98</f>
        <v>0.4689899613519371</v>
      </c>
      <c r="M103" s="554">
        <f>Passby_Length_Adj!J98</f>
        <v>1</v>
      </c>
      <c r="N103" s="416">
        <v>0.5</v>
      </c>
      <c r="O103" s="546">
        <f t="shared" si="69"/>
        <v>0.23449498067596855</v>
      </c>
      <c r="P103" s="555">
        <f t="shared" si="70"/>
        <v>75.95920107706786</v>
      </c>
      <c r="Q103" s="556">
        <f t="shared" si="71"/>
        <v>45.48455154315441</v>
      </c>
      <c r="R103" s="561">
        <f t="shared" si="72"/>
        <v>261.71052631578948</v>
      </c>
      <c r="S103" s="583">
        <f t="shared" si="73"/>
        <v>11903.785923596595</v>
      </c>
      <c r="T103" s="555">
        <f t="shared" si="74"/>
        <v>5.7651874592186427</v>
      </c>
      <c r="U103" s="559">
        <f t="shared" si="75"/>
        <v>405.42115030277023</v>
      </c>
      <c r="V103" s="582">
        <f t="shared" si="76"/>
        <v>2337.3289314275276</v>
      </c>
      <c r="W103" s="555">
        <f t="shared" si="77"/>
        <v>1.6657451429129946</v>
      </c>
      <c r="X103" s="559">
        <f t="shared" si="78"/>
        <v>37.9060089869281</v>
      </c>
      <c r="Y103" s="582">
        <f t="shared" si="79"/>
        <v>63.141750357191803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13414.584829064243</v>
      </c>
      <c r="I104" s="553">
        <f>ITECountywide!$B$9*E104</f>
        <v>50.590842791664826</v>
      </c>
      <c r="J104" s="562">
        <f t="shared" si="67"/>
        <v>1.67</v>
      </c>
      <c r="K104" s="416">
        <f t="shared" si="68"/>
        <v>0.85182987994952053</v>
      </c>
      <c r="L104" s="554">
        <f>Passby_Length_Adj!H99</f>
        <v>0.4689899613519371</v>
      </c>
      <c r="M104" s="554">
        <f>Passby_Length_Adj!J99</f>
        <v>1</v>
      </c>
      <c r="N104" s="416">
        <v>0.5</v>
      </c>
      <c r="O104" s="546">
        <f t="shared" si="69"/>
        <v>0.23449498067596855</v>
      </c>
      <c r="P104" s="555">
        <f t="shared" si="70"/>
        <v>71.234820131298378</v>
      </c>
      <c r="Q104" s="556">
        <f t="shared" si="71"/>
        <v>42.655580916945141</v>
      </c>
      <c r="R104" s="561">
        <f t="shared" si="72"/>
        <v>261.71052631578948</v>
      </c>
      <c r="S104" s="583">
        <f t="shared" si="73"/>
        <v>11163.41453207946</v>
      </c>
      <c r="T104" s="555">
        <f t="shared" si="74"/>
        <v>5.4066141541428392</v>
      </c>
      <c r="U104" s="559">
        <f t="shared" si="75"/>
        <v>405.42115030277023</v>
      </c>
      <c r="V104" s="582">
        <f t="shared" si="76"/>
        <v>2191.9557296158291</v>
      </c>
      <c r="W104" s="555">
        <f t="shared" si="77"/>
        <v>1.5621419651267807</v>
      </c>
      <c r="X104" s="559">
        <f t="shared" si="78"/>
        <v>37.9060089869281</v>
      </c>
      <c r="Y104" s="582">
        <f t="shared" si="79"/>
        <v>59.214567368953276</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12716.307540125936</v>
      </c>
      <c r="I105" s="553">
        <f>ITECountywide!$B$9*E105</f>
        <v>47.957407840094127</v>
      </c>
      <c r="J105" s="562">
        <f t="shared" si="67"/>
        <v>1.67</v>
      </c>
      <c r="K105" s="416">
        <f t="shared" si="68"/>
        <v>0.85182987994952053</v>
      </c>
      <c r="L105" s="554">
        <f>Passby_Length_Adj!H100</f>
        <v>0.4689899613519371</v>
      </c>
      <c r="M105" s="554">
        <f>Passby_Length_Adj!J100</f>
        <v>1</v>
      </c>
      <c r="N105" s="416">
        <v>0.5</v>
      </c>
      <c r="O105" s="546">
        <f t="shared" si="69"/>
        <v>0.23449498067596855</v>
      </c>
      <c r="P105" s="555">
        <f t="shared" si="70"/>
        <v>67.52679206236256</v>
      </c>
      <c r="Q105" s="556">
        <f t="shared" si="71"/>
        <v>40.435204827762014</v>
      </c>
      <c r="R105" s="561">
        <f t="shared" si="72"/>
        <v>261.71052631578948</v>
      </c>
      <c r="S105" s="583">
        <f t="shared" si="73"/>
        <v>10582.318737160349</v>
      </c>
      <c r="T105" s="555">
        <f t="shared" si="74"/>
        <v>5.1251804816142137</v>
      </c>
      <c r="U105" s="559">
        <f t="shared" si="75"/>
        <v>405.42115030277023</v>
      </c>
      <c r="V105" s="582">
        <f t="shared" si="76"/>
        <v>2077.8565663653403</v>
      </c>
      <c r="W105" s="555">
        <f t="shared" si="77"/>
        <v>1.480826868890472</v>
      </c>
      <c r="X105" s="559">
        <f t="shared" si="78"/>
        <v>37.9060089869281</v>
      </c>
      <c r="Y105" s="582">
        <f t="shared" si="79"/>
        <v>56.132236600246827</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12779.709108194305</v>
      </c>
      <c r="I106" s="553">
        <f>ITECountywide!$B$9*E106</f>
        <v>48.196516154198832</v>
      </c>
      <c r="J106" s="562">
        <f t="shared" si="67"/>
        <v>1.67</v>
      </c>
      <c r="K106" s="416">
        <f t="shared" si="68"/>
        <v>0.85182987994952053</v>
      </c>
      <c r="L106" s="554">
        <f>Passby_Length_Adj!H101</f>
        <v>0.4689899613519371</v>
      </c>
      <c r="M106" s="554">
        <f>Passby_Length_Adj!J101</f>
        <v>1</v>
      </c>
      <c r="N106" s="416">
        <v>0.5</v>
      </c>
      <c r="O106" s="546">
        <f t="shared" si="69"/>
        <v>0.23449498067596855</v>
      </c>
      <c r="P106" s="555">
        <f t="shared" si="70"/>
        <v>67.863470338652363</v>
      </c>
      <c r="Q106" s="556">
        <f t="shared" si="71"/>
        <v>40.636808586019377</v>
      </c>
      <c r="R106" s="561">
        <f t="shared" si="72"/>
        <v>261.71052631578948</v>
      </c>
      <c r="S106" s="583">
        <f t="shared" si="73"/>
        <v>10635.080562841124</v>
      </c>
      <c r="T106" s="555">
        <f t="shared" si="74"/>
        <v>5.150733849063247</v>
      </c>
      <c r="U106" s="559">
        <f t="shared" si="75"/>
        <v>405.42115030277023</v>
      </c>
      <c r="V106" s="582">
        <f t="shared" si="76"/>
        <v>2088.2164419906371</v>
      </c>
      <c r="W106" s="555">
        <f t="shared" si="77"/>
        <v>1.4882100455893037</v>
      </c>
      <c r="X106" s="559">
        <f t="shared" si="78"/>
        <v>37.9060089869281</v>
      </c>
      <c r="Y106" s="582">
        <f t="shared" si="79"/>
        <v>56.412103362544826</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13380.485203916116</v>
      </c>
      <c r="I107" s="553">
        <f>ITECountywide!$B$9*E107</f>
        <v>50.462241810187869</v>
      </c>
      <c r="J107" s="562">
        <f t="shared" si="67"/>
        <v>1.67</v>
      </c>
      <c r="K107" s="416">
        <f t="shared" si="68"/>
        <v>0.85182987994952053</v>
      </c>
      <c r="L107" s="554">
        <f>Passby_Length_Adj!H102</f>
        <v>0.4689899613519371</v>
      </c>
      <c r="M107" s="554">
        <f>Passby_Length_Adj!J102</f>
        <v>1</v>
      </c>
      <c r="N107" s="416">
        <v>0.5</v>
      </c>
      <c r="O107" s="546">
        <f t="shared" si="69"/>
        <v>0.23449498067596855</v>
      </c>
      <c r="P107" s="555">
        <f t="shared" si="70"/>
        <v>71.053742543365246</v>
      </c>
      <c r="Q107" s="556">
        <f t="shared" si="71"/>
        <v>42.547151223572008</v>
      </c>
      <c r="R107" s="561">
        <f t="shared" si="72"/>
        <v>261.71052631578948</v>
      </c>
      <c r="S107" s="583">
        <f t="shared" si="73"/>
        <v>11135.037339958517</v>
      </c>
      <c r="T107" s="555">
        <f t="shared" si="74"/>
        <v>5.3928706415163905</v>
      </c>
      <c r="U107" s="559">
        <f t="shared" si="75"/>
        <v>405.42115030277023</v>
      </c>
      <c r="V107" s="582">
        <f t="shared" si="76"/>
        <v>2186.3838189176136</v>
      </c>
      <c r="W107" s="555">
        <f t="shared" si="77"/>
        <v>1.558171029304483</v>
      </c>
      <c r="X107" s="559">
        <f t="shared" si="78"/>
        <v>37.9060089869281</v>
      </c>
      <c r="Y107" s="582">
        <f t="shared" si="79"/>
        <v>59.064045039986745</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26597.559309795903</v>
      </c>
      <c r="I108" s="553">
        <f>ITECountywide!$B$9*E108</f>
        <v>100.30820624194673</v>
      </c>
      <c r="J108" s="562">
        <f t="shared" si="67"/>
        <v>1.67</v>
      </c>
      <c r="K108" s="416">
        <f t="shared" si="68"/>
        <v>0.85182987994952053</v>
      </c>
      <c r="L108" s="554">
        <f>Passby_Length_Adj!H103</f>
        <v>0.4689899613519371</v>
      </c>
      <c r="M108" s="554">
        <f>Passby_Length_Adj!J103</f>
        <v>1</v>
      </c>
      <c r="N108" s="416">
        <v>0.5</v>
      </c>
      <c r="O108" s="546">
        <f t="shared" si="69"/>
        <v>0.23449498067596855</v>
      </c>
      <c r="P108" s="555">
        <f t="shared" si="70"/>
        <v>141.23973104704859</v>
      </c>
      <c r="Q108" s="556">
        <f t="shared" si="71"/>
        <v>84.574689249729701</v>
      </c>
      <c r="R108" s="561">
        <f t="shared" si="72"/>
        <v>261.71052631578948</v>
      </c>
      <c r="S108" s="583">
        <f t="shared" si="73"/>
        <v>22134.086436541103</v>
      </c>
      <c r="T108" s="555">
        <f t="shared" si="74"/>
        <v>10.719880075485525</v>
      </c>
      <c r="U108" s="559">
        <f t="shared" si="75"/>
        <v>405.42115030277023</v>
      </c>
      <c r="V108" s="582">
        <f t="shared" si="76"/>
        <v>4346.0661113110891</v>
      </c>
      <c r="W108" s="555">
        <f t="shared" si="77"/>
        <v>3.0973126710384382</v>
      </c>
      <c r="X108" s="559">
        <f t="shared" si="78"/>
        <v>37.9060089869281</v>
      </c>
      <c r="Y108" s="582">
        <f t="shared" si="79"/>
        <v>117.40676194370931</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13707.307399988777</v>
      </c>
      <c r="I109" s="553">
        <f>ITECountywide!$B$9*E109</f>
        <v>51.694796567045906</v>
      </c>
      <c r="J109" s="562">
        <f t="shared" si="67"/>
        <v>1.67</v>
      </c>
      <c r="K109" s="416">
        <f t="shared" si="68"/>
        <v>0.85182987994952053</v>
      </c>
      <c r="L109" s="554">
        <f>Passby_Length_Adj!H104</f>
        <v>0.4689899613519371</v>
      </c>
      <c r="M109" s="554">
        <f>Passby_Length_Adj!J104</f>
        <v>1</v>
      </c>
      <c r="N109" s="416">
        <v>0.5</v>
      </c>
      <c r="O109" s="546">
        <f t="shared" si="69"/>
        <v>0.23449498067596855</v>
      </c>
      <c r="P109" s="555">
        <f t="shared" si="70"/>
        <v>72.789250622729043</v>
      </c>
      <c r="Q109" s="556">
        <f t="shared" si="71"/>
        <v>43.586377618400626</v>
      </c>
      <c r="R109" s="561">
        <f t="shared" si="72"/>
        <v>261.71052631578948</v>
      </c>
      <c r="S109" s="583">
        <f t="shared" si="73"/>
        <v>11407.013826710374</v>
      </c>
      <c r="T109" s="555">
        <f t="shared" si="74"/>
        <v>5.5245930566108985</v>
      </c>
      <c r="U109" s="559">
        <f t="shared" si="75"/>
        <v>405.42115030277023</v>
      </c>
      <c r="V109" s="582">
        <f t="shared" si="76"/>
        <v>2239.7868719658877</v>
      </c>
      <c r="W109" s="555">
        <f t="shared" si="77"/>
        <v>1.596229804445541</v>
      </c>
      <c r="X109" s="559">
        <f t="shared" si="78"/>
        <v>37.9060089869281</v>
      </c>
      <c r="Y109" s="582">
        <f t="shared" si="79"/>
        <v>60.506701312515162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11357.402646340284</v>
      </c>
      <c r="I110" s="553">
        <f>ITECountywide!$B$9*E110</f>
        <v>193.54734843720766</v>
      </c>
      <c r="J110" s="562">
        <f t="shared" si="67"/>
        <v>1.67</v>
      </c>
      <c r="K110" s="416">
        <f t="shared" si="68"/>
        <v>0.85182987994952053</v>
      </c>
      <c r="L110" s="554">
        <f>Passby_Length_Adj!H105</f>
        <v>0.3846286671810874</v>
      </c>
      <c r="M110" s="554">
        <f>Passby_Length_Adj!J105</f>
        <v>0.26984126984126988</v>
      </c>
      <c r="N110" s="416">
        <v>0.5</v>
      </c>
      <c r="O110" s="546">
        <f t="shared" si="69"/>
        <v>5.1894343984749895E-2</v>
      </c>
      <c r="P110" s="555">
        <f t="shared" si="70"/>
        <v>60.31066521849403</v>
      </c>
      <c r="Q110" s="556">
        <f t="shared" si="71"/>
        <v>36.114170789517388</v>
      </c>
      <c r="R110" s="561">
        <f t="shared" si="72"/>
        <v>261.71052631578948</v>
      </c>
      <c r="S110" s="583">
        <f t="shared" si="73"/>
        <v>9451.458644782906</v>
      </c>
      <c r="T110" s="555">
        <f t="shared" si="74"/>
        <v>4.5774874649092032</v>
      </c>
      <c r="U110" s="559">
        <f t="shared" si="75"/>
        <v>405.42115030277023</v>
      </c>
      <c r="V110" s="582">
        <f t="shared" si="76"/>
        <v>1855.8102335200008</v>
      </c>
      <c r="W110" s="555">
        <f t="shared" si="77"/>
        <v>1.3225810201930588</v>
      </c>
      <c r="X110" s="559">
        <f t="shared" si="78"/>
        <v>37.9060089869281</v>
      </c>
      <c r="Y110" s="582">
        <f t="shared" si="79"/>
        <v>50.133768037378623</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85615.550224939681</v>
      </c>
      <c r="I111" s="553">
        <f>ITECountywide!$B$9*E111</f>
        <v>1381.6938824378594</v>
      </c>
      <c r="J111" s="562">
        <f t="shared" si="67"/>
        <v>1.67</v>
      </c>
      <c r="K111" s="416">
        <f t="shared" si="68"/>
        <v>0.85182987994952053</v>
      </c>
      <c r="L111" s="554">
        <f>Passby_Length_Adj!H106</f>
        <v>0.3846286671810874</v>
      </c>
      <c r="M111" s="554">
        <f>Passby_Length_Adj!J106</f>
        <v>0.28494260634706281</v>
      </c>
      <c r="N111" s="416">
        <v>0.5</v>
      </c>
      <c r="O111" s="546">
        <f t="shared" si="69"/>
        <v>5.4798547451188014E-2</v>
      </c>
      <c r="P111" s="555">
        <f t="shared" si="70"/>
        <v>454.64010988263692</v>
      </c>
      <c r="Q111" s="556">
        <f t="shared" si="71"/>
        <v>272.23958675607003</v>
      </c>
      <c r="R111" s="561">
        <f t="shared" si="72"/>
        <v>261.71052631578948</v>
      </c>
      <c r="S111" s="583">
        <f t="shared" si="73"/>
        <v>71247.965533924114</v>
      </c>
      <c r="T111" s="555">
        <f t="shared" si="74"/>
        <v>34.506490626380106</v>
      </c>
      <c r="U111" s="559">
        <f t="shared" si="75"/>
        <v>405.42115030277023</v>
      </c>
      <c r="V111" s="582">
        <f t="shared" si="76"/>
        <v>13989.661122658781</v>
      </c>
      <c r="W111" s="555">
        <f t="shared" si="77"/>
        <v>9.9700173786986603</v>
      </c>
      <c r="X111" s="559">
        <f t="shared" si="78"/>
        <v>37.9060089869281</v>
      </c>
      <c r="Y111" s="582">
        <f t="shared" si="79"/>
        <v>377.92356835678078</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70107.08197828535</v>
      </c>
      <c r="I112" s="553">
        <f>ITECountywide!$B$9*E112</f>
        <v>1131.4127635746866</v>
      </c>
      <c r="J112" s="562">
        <f t="shared" si="67"/>
        <v>1.67</v>
      </c>
      <c r="K112" s="416">
        <f t="shared" si="68"/>
        <v>0.85182987994952053</v>
      </c>
      <c r="L112" s="554">
        <f>Passby_Length_Adj!H107</f>
        <v>0.3846286671810874</v>
      </c>
      <c r="M112" s="554">
        <f>Passby_Length_Adj!J107</f>
        <v>0.28494260634706281</v>
      </c>
      <c r="N112" s="416">
        <v>0.5</v>
      </c>
      <c r="O112" s="546">
        <f t="shared" si="69"/>
        <v>5.4798547451188014E-2</v>
      </c>
      <c r="P112" s="555">
        <f t="shared" si="70"/>
        <v>372.28624204851496</v>
      </c>
      <c r="Q112" s="556">
        <f t="shared" si="71"/>
        <v>222.92589344222455</v>
      </c>
      <c r="R112" s="561">
        <f t="shared" si="72"/>
        <v>261.71052631578948</v>
      </c>
      <c r="S112" s="583">
        <f t="shared" si="73"/>
        <v>58342.052902182186</v>
      </c>
      <c r="T112" s="555">
        <f t="shared" si="74"/>
        <v>28.255957717618809</v>
      </c>
      <c r="U112" s="559">
        <f t="shared" si="75"/>
        <v>405.42115030277023</v>
      </c>
      <c r="V112" s="582">
        <f t="shared" si="76"/>
        <v>11455.562880783456</v>
      </c>
      <c r="W112" s="555">
        <f t="shared" si="77"/>
        <v>8.1640405727340397</v>
      </c>
      <c r="X112" s="559">
        <f t="shared" si="78"/>
        <v>37.9060089869281</v>
      </c>
      <c r="Y112" s="582">
        <f t="shared" si="79"/>
        <v>309.46619531970214</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20089.952640937274</v>
      </c>
      <c r="I113" s="553">
        <f>ITECountywide!$B$9*E113</f>
        <v>75.765865936273457</v>
      </c>
      <c r="J113" s="562">
        <f t="shared" si="67"/>
        <v>1.67</v>
      </c>
      <c r="K113" s="416">
        <f t="shared" si="68"/>
        <v>0.85182987994952053</v>
      </c>
      <c r="L113" s="554">
        <f>Passby_Length_Adj!H108</f>
        <v>0.4689899613519371</v>
      </c>
      <c r="M113" s="554">
        <f>Passby_Length_Adj!J108</f>
        <v>1</v>
      </c>
      <c r="N113" s="416">
        <v>0.5</v>
      </c>
      <c r="O113" s="546">
        <f t="shared" si="69"/>
        <v>0.23449498067596855</v>
      </c>
      <c r="P113" s="555">
        <f t="shared" si="70"/>
        <v>106.68270252559869</v>
      </c>
      <c r="Q113" s="556">
        <f t="shared" si="71"/>
        <v>63.881857799759693</v>
      </c>
      <c r="R113" s="561">
        <f t="shared" si="72"/>
        <v>261.71052631578948</v>
      </c>
      <c r="S113" s="583">
        <f t="shared" si="73"/>
        <v>16718.55462680553</v>
      </c>
      <c r="T113" s="555">
        <f t="shared" si="74"/>
        <v>8.0970543396330861</v>
      </c>
      <c r="U113" s="559">
        <f t="shared" si="75"/>
        <v>405.42115030277023</v>
      </c>
      <c r="V113" s="582">
        <f t="shared" si="76"/>
        <v>3282.7170844380835</v>
      </c>
      <c r="W113" s="555">
        <f t="shared" si="77"/>
        <v>2.339495295435611</v>
      </c>
      <c r="X113" s="559">
        <f t="shared" si="78"/>
        <v>37.9060089869281</v>
      </c>
      <c r="Y113" s="582">
        <f t="shared" si="79"/>
        <v>88.680929693658285</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13817.85020160159</v>
      </c>
      <c r="I114" s="553">
        <f>ITECountywide!$B$9*E114</f>
        <v>52.111690087747888</v>
      </c>
      <c r="J114" s="562">
        <f t="shared" si="67"/>
        <v>1.67</v>
      </c>
      <c r="K114" s="416">
        <f t="shared" si="68"/>
        <v>0.85182987994952053</v>
      </c>
      <c r="L114" s="554">
        <f>Passby_Length_Adj!H109</f>
        <v>0.4689899613519371</v>
      </c>
      <c r="M114" s="554">
        <f>Passby_Length_Adj!J109</f>
        <v>1</v>
      </c>
      <c r="N114" s="416">
        <v>0.5</v>
      </c>
      <c r="O114" s="546">
        <f t="shared" si="69"/>
        <v>0.23449498067596855</v>
      </c>
      <c r="P114" s="555">
        <f t="shared" si="70"/>
        <v>73.376260708396217</v>
      </c>
      <c r="Q114" s="556">
        <f t="shared" si="71"/>
        <v>43.93788066371031</v>
      </c>
      <c r="R114" s="561">
        <f t="shared" si="72"/>
        <v>261.71052631578948</v>
      </c>
      <c r="S114" s="583">
        <f t="shared" si="73"/>
        <v>11499.005873699974</v>
      </c>
      <c r="T114" s="555">
        <f t="shared" si="74"/>
        <v>5.5691462264222773</v>
      </c>
      <c r="U114" s="559">
        <f t="shared" si="75"/>
        <v>405.42115030277023</v>
      </c>
      <c r="V114" s="582">
        <f t="shared" si="76"/>
        <v>2257.8496693204515</v>
      </c>
      <c r="W114" s="555">
        <f t="shared" si="77"/>
        <v>1.6091026254491343</v>
      </c>
      <c r="X114" s="559">
        <f t="shared" si="78"/>
        <v>37.9060089869281</v>
      </c>
      <c r="Y114" s="582">
        <f t="shared" si="79"/>
        <v>60.994658581164487</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14774.28574599071</v>
      </c>
      <c r="I115" s="553">
        <f>ITECountywide!$B$9*E115</f>
        <v>55.718725332082435</v>
      </c>
      <c r="J115" s="562">
        <f t="shared" si="67"/>
        <v>1.67</v>
      </c>
      <c r="K115" s="416">
        <f t="shared" si="68"/>
        <v>0.85182987994952053</v>
      </c>
      <c r="L115" s="554">
        <f>Passby_Length_Adj!H110</f>
        <v>0.4689899613519371</v>
      </c>
      <c r="M115" s="554">
        <f>Passby_Length_Adj!J110</f>
        <v>1</v>
      </c>
      <c r="N115" s="416">
        <v>0.5</v>
      </c>
      <c r="O115" s="546">
        <f t="shared" si="69"/>
        <v>0.23449498067596855</v>
      </c>
      <c r="P115" s="555">
        <f t="shared" si="70"/>
        <v>78.455174058299121</v>
      </c>
      <c r="Q115" s="556">
        <f t="shared" si="71"/>
        <v>46.979146142694084</v>
      </c>
      <c r="R115" s="561">
        <f t="shared" si="72"/>
        <v>261.71052631578948</v>
      </c>
      <c r="S115" s="583">
        <f t="shared" si="73"/>
        <v>12294.93706287086</v>
      </c>
      <c r="T115" s="555">
        <f t="shared" si="74"/>
        <v>5.9546280000076806</v>
      </c>
      <c r="U115" s="559">
        <f t="shared" si="75"/>
        <v>405.42115030277023</v>
      </c>
      <c r="V115" s="582">
        <f t="shared" si="76"/>
        <v>2414.1321333881979</v>
      </c>
      <c r="W115" s="555">
        <f t="shared" si="77"/>
        <v>1.7204805115237003</v>
      </c>
      <c r="X115" s="559">
        <f t="shared" si="78"/>
        <v>37.9060089869281</v>
      </c>
      <c r="Y115" s="582">
        <f t="shared" si="79"/>
        <v>65.216549731652037</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19729.486983504186</v>
      </c>
      <c r="I116" s="553">
        <f>ITECountywide!$B$9*E116</f>
        <v>74.406430542680027</v>
      </c>
      <c r="J116" s="562">
        <f t="shared" si="67"/>
        <v>1.67</v>
      </c>
      <c r="K116" s="416">
        <f t="shared" si="68"/>
        <v>0.85182987994952053</v>
      </c>
      <c r="L116" s="554">
        <f>Passby_Length_Adj!H111</f>
        <v>0.4689899613519371</v>
      </c>
      <c r="M116" s="554">
        <f>Passby_Length_Adj!J111</f>
        <v>1</v>
      </c>
      <c r="N116" s="416">
        <v>0.5</v>
      </c>
      <c r="O116" s="546">
        <f t="shared" si="69"/>
        <v>0.23449498067596855</v>
      </c>
      <c r="P116" s="555">
        <f t="shared" si="70"/>
        <v>104.76853920277094</v>
      </c>
      <c r="Q116" s="556">
        <f t="shared" si="71"/>
        <v>62.735652217228107</v>
      </c>
      <c r="R116" s="561">
        <f t="shared" si="72"/>
        <v>261.71052631578948</v>
      </c>
      <c r="S116" s="583">
        <f t="shared" si="73"/>
        <v>16418.580560535094</v>
      </c>
      <c r="T116" s="555">
        <f t="shared" si="74"/>
        <v>7.9517722641612005</v>
      </c>
      <c r="U116" s="559">
        <f t="shared" si="75"/>
        <v>405.42115030277023</v>
      </c>
      <c r="V116" s="582">
        <f t="shared" si="76"/>
        <v>3223.8166582818976</v>
      </c>
      <c r="W116" s="555">
        <f t="shared" si="77"/>
        <v>2.2975187052065027</v>
      </c>
      <c r="X116" s="559">
        <f t="shared" si="78"/>
        <v>37.9060089869281</v>
      </c>
      <c r="Y116" s="582">
        <f t="shared" si="79"/>
        <v>87.08976468719311</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69017.157876521334</v>
      </c>
      <c r="I117" s="553">
        <f>ITECountywide!$B$9*E117</f>
        <v>260.28656336002075</v>
      </c>
      <c r="J117" s="562">
        <f t="shared" si="67"/>
        <v>1.67</v>
      </c>
      <c r="K117" s="416">
        <f t="shared" si="68"/>
        <v>0.85182987994952053</v>
      </c>
      <c r="L117" s="554">
        <f>Passby_Length_Adj!H112</f>
        <v>0.4689899613519371</v>
      </c>
      <c r="M117" s="554">
        <f>Passby_Length_Adj!J112</f>
        <v>1</v>
      </c>
      <c r="N117" s="416">
        <v>0.5</v>
      </c>
      <c r="O117" s="546">
        <f t="shared" si="69"/>
        <v>0.23449498067596855</v>
      </c>
      <c r="P117" s="555">
        <f t="shared" si="70"/>
        <v>366.49847087741551</v>
      </c>
      <c r="Q117" s="556">
        <f t="shared" si="71"/>
        <v>219.46016220204524</v>
      </c>
      <c r="R117" s="561">
        <f t="shared" si="72"/>
        <v>261.71052631578948</v>
      </c>
      <c r="S117" s="583">
        <f t="shared" si="73"/>
        <v>57435.034555245787</v>
      </c>
      <c r="T117" s="555">
        <f t="shared" si="74"/>
        <v>27.816674717017008</v>
      </c>
      <c r="U117" s="559">
        <f t="shared" si="75"/>
        <v>405.42115030277023</v>
      </c>
      <c r="V117" s="582">
        <f t="shared" si="76"/>
        <v>11277.468261371021</v>
      </c>
      <c r="W117" s="555">
        <f t="shared" si="77"/>
        <v>8.0371178091998488</v>
      </c>
      <c r="X117" s="559">
        <f t="shared" si="78"/>
        <v>37.9060089869281</v>
      </c>
      <c r="Y117" s="582">
        <f t="shared" si="79"/>
        <v>304.65505990452937</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9612.4175315489338</v>
      </c>
      <c r="I118" s="553">
        <f>ITECountywide!$B$9*E118</f>
        <v>36.251610495824622</v>
      </c>
      <c r="J118" s="562">
        <f t="shared" si="67"/>
        <v>1.67</v>
      </c>
      <c r="K118" s="416">
        <f t="shared" si="68"/>
        <v>0.85182987994952053</v>
      </c>
      <c r="L118" s="554">
        <f>Passby_Length_Adj!H113</f>
        <v>0.4689899613519371</v>
      </c>
      <c r="M118" s="554">
        <f>Passby_Length_Adj!J113</f>
        <v>1</v>
      </c>
      <c r="N118" s="416">
        <v>0.5</v>
      </c>
      <c r="O118" s="546">
        <f t="shared" si="69"/>
        <v>0.23449498067596855</v>
      </c>
      <c r="P118" s="555">
        <f t="shared" si="70"/>
        <v>51.044355275406062</v>
      </c>
      <c r="Q118" s="556">
        <f t="shared" si="71"/>
        <v>30.565482200841956</v>
      </c>
      <c r="R118" s="561">
        <f t="shared" si="72"/>
        <v>261.71052631578948</v>
      </c>
      <c r="S118" s="583">
        <f t="shared" si="73"/>
        <v>7999.3084338782437</v>
      </c>
      <c r="T118" s="555">
        <f t="shared" si="74"/>
        <v>3.8741886792502802</v>
      </c>
      <c r="U118" s="559">
        <f t="shared" si="75"/>
        <v>405.42115030277023</v>
      </c>
      <c r="V118" s="582">
        <f t="shared" si="76"/>
        <v>1570.6780308316188</v>
      </c>
      <c r="W118" s="555">
        <f t="shared" si="77"/>
        <v>1.1193757394428758</v>
      </c>
      <c r="X118" s="559">
        <f t="shared" si="78"/>
        <v>37.9060089869281</v>
      </c>
      <c r="Y118" s="582">
        <f t="shared" si="79"/>
        <v>42.431066839070937</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10996.605656091981</v>
      </c>
      <c r="I119" s="553">
        <f>ITECountywide!$B$9*E119</f>
        <v>41.471842407223363</v>
      </c>
      <c r="J119" s="562">
        <f t="shared" si="67"/>
        <v>1.67</v>
      </c>
      <c r="K119" s="416">
        <f t="shared" si="68"/>
        <v>0.85182987994952053</v>
      </c>
      <c r="L119" s="554">
        <f>Passby_Length_Adj!H114</f>
        <v>0.4689899613519371</v>
      </c>
      <c r="M119" s="554">
        <f>Passby_Length_Adj!J114</f>
        <v>1</v>
      </c>
      <c r="N119" s="416">
        <v>0.5</v>
      </c>
      <c r="O119" s="546">
        <f t="shared" si="69"/>
        <v>0.23449498067596855</v>
      </c>
      <c r="P119" s="555">
        <f t="shared" si="70"/>
        <v>58.394742435064536</v>
      </c>
      <c r="Q119" s="556">
        <f t="shared" si="71"/>
        <v>34.966911637763197</v>
      </c>
      <c r="R119" s="561">
        <f t="shared" si="72"/>
        <v>261.71052631578948</v>
      </c>
      <c r="S119" s="583">
        <f t="shared" si="73"/>
        <v>9151.2088483567113</v>
      </c>
      <c r="T119" s="555">
        <f t="shared" si="74"/>
        <v>4.4320718490623197</v>
      </c>
      <c r="U119" s="559">
        <f t="shared" si="75"/>
        <v>405.42115030277023</v>
      </c>
      <c r="V119" s="582">
        <f t="shared" si="76"/>
        <v>1796.8556672713714</v>
      </c>
      <c r="W119" s="555">
        <f t="shared" si="77"/>
        <v>1.2805658459226501</v>
      </c>
      <c r="X119" s="559">
        <f t="shared" si="78"/>
        <v>37.9060089869281</v>
      </c>
      <c r="Y119" s="582">
        <f t="shared" si="79"/>
        <v>48.541140463897158</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31913.226204742459</v>
      </c>
      <c r="I120" s="553">
        <f>ITECountywide!$B$9*E120</f>
        <v>120.35534684613775</v>
      </c>
      <c r="J120" s="562">
        <f t="shared" si="67"/>
        <v>1.67</v>
      </c>
      <c r="K120" s="416">
        <f t="shared" si="68"/>
        <v>0.85182987994952053</v>
      </c>
      <c r="L120" s="554">
        <f>Passby_Length_Adj!H115</f>
        <v>0.4689899613519371</v>
      </c>
      <c r="M120" s="554">
        <f>Passby_Length_Adj!J115</f>
        <v>1</v>
      </c>
      <c r="N120" s="416">
        <v>0.5</v>
      </c>
      <c r="O120" s="546">
        <f t="shared" si="69"/>
        <v>0.23449498067596855</v>
      </c>
      <c r="P120" s="555">
        <f t="shared" si="70"/>
        <v>169.46725951434814</v>
      </c>
      <c r="Q120" s="556">
        <f t="shared" si="71"/>
        <v>101.4774009067953</v>
      </c>
      <c r="R120" s="561">
        <f t="shared" si="72"/>
        <v>261.71052631578948</v>
      </c>
      <c r="S120" s="583">
        <f t="shared" si="73"/>
        <v>26557.704000475769</v>
      </c>
      <c r="T120" s="555">
        <f t="shared" si="74"/>
        <v>12.862306415110931</v>
      </c>
      <c r="U120" s="559">
        <f t="shared" si="75"/>
        <v>405.42115030277023</v>
      </c>
      <c r="V120" s="582">
        <f t="shared" si="76"/>
        <v>5214.6510623609747</v>
      </c>
      <c r="W120" s="555">
        <f t="shared" si="77"/>
        <v>3.7163274549503482</v>
      </c>
      <c r="X120" s="559">
        <f t="shared" si="78"/>
        <v>37.9060089869281</v>
      </c>
      <c r="Y120" s="582">
        <f t="shared" si="79"/>
        <v>140.87114190571555</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27179.110570454606</v>
      </c>
      <c r="I121" s="553">
        <f>ITECountywide!$B$9*E121</f>
        <v>102.5014286769441</v>
      </c>
      <c r="J121" s="562">
        <f t="shared" si="67"/>
        <v>1.67</v>
      </c>
      <c r="K121" s="416">
        <f t="shared" si="68"/>
        <v>0.85182987994952053</v>
      </c>
      <c r="L121" s="554">
        <f>Passby_Length_Adj!H116</f>
        <v>0.4689899613519371</v>
      </c>
      <c r="M121" s="554">
        <f>Passby_Length_Adj!J116</f>
        <v>1</v>
      </c>
      <c r="N121" s="416">
        <v>0.5</v>
      </c>
      <c r="O121" s="546">
        <f t="shared" si="69"/>
        <v>0.23449498067596855</v>
      </c>
      <c r="P121" s="555">
        <f t="shared" si="70"/>
        <v>144.32791454121062</v>
      </c>
      <c r="Q121" s="556">
        <f t="shared" si="71"/>
        <v>86.42390092288062</v>
      </c>
      <c r="R121" s="561">
        <f t="shared" si="72"/>
        <v>261.71052631578948</v>
      </c>
      <c r="S121" s="583">
        <f t="shared" si="73"/>
        <v>22618.044596790733</v>
      </c>
      <c r="T121" s="555">
        <f t="shared" si="74"/>
        <v>10.954268490580166</v>
      </c>
      <c r="U121" s="559">
        <f t="shared" si="75"/>
        <v>405.42115030277023</v>
      </c>
      <c r="V121" s="582">
        <f t="shared" si="76"/>
        <v>4441.0921321764017</v>
      </c>
      <c r="W121" s="555">
        <f t="shared" si="77"/>
        <v>3.1650349032747314</v>
      </c>
      <c r="X121" s="559">
        <f t="shared" si="78"/>
        <v>37.9060089869281</v>
      </c>
      <c r="Y121" s="582">
        <f t="shared" si="79"/>
        <v>119.97384148747308</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10117.343711316795</v>
      </c>
      <c r="I122" s="553">
        <f>ITECountywide!$B$9*E122</f>
        <v>163.27725367319408</v>
      </c>
      <c r="J122" s="562">
        <f t="shared" si="67"/>
        <v>1.67</v>
      </c>
      <c r="K122" s="416">
        <f t="shared" si="68"/>
        <v>0.85182987994952053</v>
      </c>
      <c r="L122" s="554">
        <f>Passby_Length_Adj!H117</f>
        <v>0.3846286671810874</v>
      </c>
      <c r="M122" s="554">
        <f>Passby_Length_Adj!J117</f>
        <v>0.28494260634706281</v>
      </c>
      <c r="N122" s="416">
        <v>0.5</v>
      </c>
      <c r="O122" s="546">
        <f t="shared" si="69"/>
        <v>5.4798547451188014E-2</v>
      </c>
      <c r="P122" s="555">
        <f t="shared" si="70"/>
        <v>53.725640313569727</v>
      </c>
      <c r="Q122" s="556">
        <f t="shared" si="71"/>
        <v>32.171042103933971</v>
      </c>
      <c r="R122" s="561">
        <f t="shared" si="72"/>
        <v>261.71052631578948</v>
      </c>
      <c r="S122" s="583">
        <f t="shared" si="73"/>
        <v>8419.5003611479824</v>
      </c>
      <c r="T122" s="555">
        <f t="shared" si="74"/>
        <v>4.0776941224016365</v>
      </c>
      <c r="U122" s="559">
        <f t="shared" si="75"/>
        <v>405.42115030277023</v>
      </c>
      <c r="V122" s="582">
        <f t="shared" si="76"/>
        <v>1653.1834416869167</v>
      </c>
      <c r="W122" s="555">
        <f t="shared" si="77"/>
        <v>1.1781749035435474</v>
      </c>
      <c r="X122" s="559">
        <f t="shared" si="78"/>
        <v>37.9060089869281</v>
      </c>
      <c r="Y122" s="582">
        <f t="shared" si="79"/>
        <v>44.659908481894853</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12260.315714113471</v>
      </c>
      <c r="I123" s="553">
        <f>ITECountywide!$B$9*E123</f>
        <v>197.86129008621077</v>
      </c>
      <c r="J123" s="562">
        <f t="shared" si="67"/>
        <v>1.67</v>
      </c>
      <c r="K123" s="416">
        <f t="shared" si="68"/>
        <v>0.85182987994952053</v>
      </c>
      <c r="L123" s="554">
        <f>Passby_Length_Adj!H118</f>
        <v>0.3846286671810874</v>
      </c>
      <c r="M123" s="554">
        <f>Passby_Length_Adj!J118</f>
        <v>0.28494260634706281</v>
      </c>
      <c r="N123" s="416">
        <v>0.5</v>
      </c>
      <c r="O123" s="546">
        <f t="shared" si="69"/>
        <v>5.4798547451188014E-2</v>
      </c>
      <c r="P123" s="555">
        <f t="shared" si="70"/>
        <v>65.105360752989256</v>
      </c>
      <c r="Q123" s="556">
        <f t="shared" si="71"/>
        <v>38.985245959873808</v>
      </c>
      <c r="R123" s="561">
        <f t="shared" si="72"/>
        <v>261.71052631578948</v>
      </c>
      <c r="S123" s="583">
        <f t="shared" si="73"/>
        <v>10202.849238709079</v>
      </c>
      <c r="T123" s="555">
        <f t="shared" si="74"/>
        <v>4.9413975399796035</v>
      </c>
      <c r="U123" s="559">
        <f t="shared" si="75"/>
        <v>405.42115030277023</v>
      </c>
      <c r="V123" s="582">
        <f t="shared" si="76"/>
        <v>2003.3470747618098</v>
      </c>
      <c r="W123" s="555">
        <f t="shared" si="77"/>
        <v>1.4277261597559241</v>
      </c>
      <c r="X123" s="559">
        <f t="shared" si="78"/>
        <v>37.9060089869281</v>
      </c>
      <c r="Y123" s="582">
        <f t="shared" si="79"/>
        <v>54.119400642580402</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121452.89551112076</v>
      </c>
      <c r="I124" s="553">
        <f>ITECountywide!$B$9*E124</f>
        <v>458.03909861474403</v>
      </c>
      <c r="J124" s="562">
        <f t="shared" si="67"/>
        <v>1.67</v>
      </c>
      <c r="K124" s="416">
        <f t="shared" si="68"/>
        <v>0.85182987994952053</v>
      </c>
      <c r="L124" s="554">
        <f>Passby_Length_Adj!H119</f>
        <v>0.4689899613519371</v>
      </c>
      <c r="M124" s="554">
        <f>Passby_Length_Adj!J119</f>
        <v>1</v>
      </c>
      <c r="N124" s="416">
        <v>0.5</v>
      </c>
      <c r="O124" s="546">
        <f t="shared" si="69"/>
        <v>0.23449498067596855</v>
      </c>
      <c r="P124" s="555">
        <f t="shared" si="70"/>
        <v>644.94542890475554</v>
      </c>
      <c r="Q124" s="556">
        <f t="shared" si="71"/>
        <v>386.19486760763806</v>
      </c>
      <c r="R124" s="561">
        <f t="shared" si="72"/>
        <v>261.71052631578948</v>
      </c>
      <c r="S124" s="583">
        <f t="shared" si="73"/>
        <v>101071.2620620516</v>
      </c>
      <c r="T124" s="555">
        <f t="shared" si="74"/>
        <v>48.950373962327284</v>
      </c>
      <c r="U124" s="559">
        <f t="shared" si="75"/>
        <v>405.42115030277023</v>
      </c>
      <c r="V124" s="582">
        <f t="shared" si="76"/>
        <v>19845.5169195575</v>
      </c>
      <c r="W124" s="555">
        <f t="shared" si="77"/>
        <v>14.143312467860737</v>
      </c>
      <c r="X124" s="559">
        <f t="shared" si="78"/>
        <v>37.9060089869281</v>
      </c>
      <c r="Y124" s="582">
        <f t="shared" si="79"/>
        <v>536.11652951166138</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3027.9115224379138</v>
      </c>
      <c r="I125" s="553">
        <f>ITECountywide!$B$9*E125</f>
        <v>11.419257306184756</v>
      </c>
      <c r="J125" s="562">
        <f t="shared" si="67"/>
        <v>1.67</v>
      </c>
      <c r="K125" s="416">
        <f t="shared" si="68"/>
        <v>0.85182987994952053</v>
      </c>
      <c r="L125" s="554">
        <f>Passby_Length_Adj!H120</f>
        <v>0.4689899613519371</v>
      </c>
      <c r="M125" s="554">
        <f>Passby_Length_Adj!J120</f>
        <v>1</v>
      </c>
      <c r="N125" s="416">
        <v>0.5</v>
      </c>
      <c r="O125" s="546">
        <f t="shared" si="69"/>
        <v>0.23449498067596855</v>
      </c>
      <c r="P125" s="555">
        <f t="shared" si="70"/>
        <v>16.078971911752909</v>
      </c>
      <c r="Q125" s="556">
        <f t="shared" si="71"/>
        <v>9.6281268932652146</v>
      </c>
      <c r="R125" s="561">
        <f t="shared" si="72"/>
        <v>261.71052631578948</v>
      </c>
      <c r="S125" s="583">
        <f t="shared" si="73"/>
        <v>2519.7821566716466</v>
      </c>
      <c r="T125" s="555">
        <f t="shared" si="74"/>
        <v>1.2203694339638382</v>
      </c>
      <c r="U125" s="559">
        <f t="shared" si="75"/>
        <v>405.42115030277023</v>
      </c>
      <c r="V125" s="582">
        <f t="shared" si="76"/>
        <v>494.76357971195989</v>
      </c>
      <c r="W125" s="555">
        <f t="shared" si="77"/>
        <v>0.35260335792450598</v>
      </c>
      <c r="X125" s="559">
        <f t="shared" si="78"/>
        <v>37.9060089869281</v>
      </c>
      <c r="Y125" s="582">
        <f t="shared" si="79"/>
        <v>13.36578605430735</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40004.052344212803</v>
      </c>
      <c r="I126" s="553">
        <f>ITECountywide!$B$9*E126</f>
        <v>183.95879746106203</v>
      </c>
      <c r="J126" s="562">
        <f t="shared" si="67"/>
        <v>1.67</v>
      </c>
      <c r="K126" s="416">
        <f t="shared" si="68"/>
        <v>0.85182987994952053</v>
      </c>
      <c r="L126" s="554">
        <f>Passby_Length_Adj!H121</f>
        <v>0.3846286671810874</v>
      </c>
      <c r="M126" s="554">
        <f>Passby_Length_Adj!J121</f>
        <v>1</v>
      </c>
      <c r="N126" s="416">
        <v>0.5</v>
      </c>
      <c r="O126" s="546">
        <f t="shared" si="69"/>
        <v>0.1923143335905437</v>
      </c>
      <c r="P126" s="555">
        <f t="shared" si="70"/>
        <v>212.43158171312777</v>
      </c>
      <c r="Q126" s="556">
        <f t="shared" si="71"/>
        <v>127.20453994798071</v>
      </c>
      <c r="R126" s="561">
        <f t="shared" si="72"/>
        <v>261.71052631578948</v>
      </c>
      <c r="S126" s="583">
        <f t="shared" si="73"/>
        <v>33290.767099543897</v>
      </c>
      <c r="T126" s="555">
        <f t="shared" si="74"/>
        <v>16.123232912783291</v>
      </c>
      <c r="U126" s="559">
        <f t="shared" si="75"/>
        <v>405.42115030277023</v>
      </c>
      <c r="V126" s="582">
        <f t="shared" si="76"/>
        <v>6536.6996341000859</v>
      </c>
      <c r="W126" s="555">
        <f t="shared" si="77"/>
        <v>4.6585123384979505</v>
      </c>
      <c r="X126" s="559">
        <f t="shared" si="78"/>
        <v>37.9060089869281</v>
      </c>
      <c r="Y126" s="582">
        <f t="shared" si="79"/>
        <v>176.58561056881877</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1362.3820961175925</v>
      </c>
      <c r="I128" s="553">
        <f>ITECountywide!$B$9*E128</f>
        <v>21.986601765717634</v>
      </c>
      <c r="J128" s="562">
        <f t="shared" ref="J128:J137" si="80">IF(F128="Prod",$M$3,$M$4)</f>
        <v>1.67</v>
      </c>
      <c r="K128" s="416">
        <f t="shared" ref="K128:K137" si="81">IF(F128="Prod",$F$4,$F$5)</f>
        <v>0.85182987994952053</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7.2345916630062259</v>
      </c>
      <c r="Q128" s="556">
        <f t="shared" ref="Q128:Q137" si="84">+P128/J128</f>
        <v>4.3320908161713927</v>
      </c>
      <c r="R128" s="561">
        <f t="shared" ref="R128:R137" si="85">+$Q$4</f>
        <v>261.71052631578948</v>
      </c>
      <c r="S128" s="583">
        <f t="shared" ref="S128:S137" si="86">+Q128*R128</f>
        <v>1133.7537675480132</v>
      </c>
      <c r="T128" s="555">
        <f t="shared" ref="T128:T137" si="87">IF($F128="Prod",$I128*$O128*$G$4*$G$6,$I128*$O128*$G$5*$G$7)</f>
        <v>0.5490944683029737</v>
      </c>
      <c r="U128" s="559">
        <f t="shared" ref="U128:U137" si="88">+$R$4</f>
        <v>405.42115030277023</v>
      </c>
      <c r="V128" s="582">
        <f t="shared" ref="V128:V137" si="89">+T128*U128</f>
        <v>222.61451096427962</v>
      </c>
      <c r="W128" s="555">
        <f t="shared" ref="W128:W137" si="90">IF($F128="Prod",$I128*$O128*$J$4*$J$6,$I128*$O128*$J$5*$J$7)</f>
        <v>0.1586507724243254</v>
      </c>
      <c r="X128" s="559">
        <f t="shared" ref="X128:X137" si="91">$S$4</f>
        <v>37.9060089869281</v>
      </c>
      <c r="Y128" s="582">
        <f t="shared" ref="Y128:Y137" si="92">+W128*X128</f>
        <v>6.0138176052995638</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11234.878901454475</v>
      </c>
      <c r="I129" s="553">
        <f>ITECountywide!$B$9*E129</f>
        <v>181.31242989486685</v>
      </c>
      <c r="J129" s="562">
        <f t="shared" si="80"/>
        <v>1.67</v>
      </c>
      <c r="K129" s="416">
        <f t="shared" si="81"/>
        <v>0.85182987994952053</v>
      </c>
      <c r="L129" s="554">
        <f>Passby_Length_Adj!H124</f>
        <v>0.3846286671810874</v>
      </c>
      <c r="M129" s="554">
        <f>Passby_Length_Adj!J124</f>
        <v>0.28494260634706281</v>
      </c>
      <c r="N129" s="416">
        <v>0.5</v>
      </c>
      <c r="O129" s="546">
        <f t="shared" si="82"/>
        <v>5.4798547451188014E-2</v>
      </c>
      <c r="P129" s="555">
        <f t="shared" si="83"/>
        <v>59.660033310017546</v>
      </c>
      <c r="Q129" s="556">
        <f t="shared" si="84"/>
        <v>35.724570844321889</v>
      </c>
      <c r="R129" s="557">
        <f t="shared" si="85"/>
        <v>261.71052631578948</v>
      </c>
      <c r="S129" s="582">
        <f t="shared" si="86"/>
        <v>9349.4962380731886</v>
      </c>
      <c r="T129" s="555">
        <f t="shared" si="87"/>
        <v>4.5281054958241098</v>
      </c>
      <c r="U129" s="559">
        <f t="shared" si="88"/>
        <v>405.42115030277023</v>
      </c>
      <c r="V129" s="582">
        <f t="shared" si="89"/>
        <v>1835.7897388093063</v>
      </c>
      <c r="W129" s="555">
        <f t="shared" si="90"/>
        <v>1.3083130062329158</v>
      </c>
      <c r="X129" s="559">
        <f t="shared" si="91"/>
        <v>37.9060089869281</v>
      </c>
      <c r="Y129" s="582">
        <f t="shared" si="92"/>
        <v>49.592924571979829</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33046.997226710038</v>
      </c>
      <c r="I130" s="553">
        <f>ITECountywide!$B$9*E130</f>
        <v>151.96675119849681</v>
      </c>
      <c r="J130" s="562">
        <f t="shared" si="80"/>
        <v>1.67</v>
      </c>
      <c r="K130" s="416">
        <f t="shared" si="81"/>
        <v>0.85182987994952053</v>
      </c>
      <c r="L130" s="554">
        <f>Passby_Length_Adj!H125</f>
        <v>0.3846286671810874</v>
      </c>
      <c r="M130" s="554">
        <f>Passby_Length_Adj!J125</f>
        <v>1</v>
      </c>
      <c r="N130" s="416">
        <v>0.5</v>
      </c>
      <c r="O130" s="546">
        <f t="shared" si="82"/>
        <v>0.1923143335905437</v>
      </c>
      <c r="P130" s="555">
        <f t="shared" si="83"/>
        <v>175.48786886223897</v>
      </c>
      <c r="Q130" s="556">
        <f t="shared" si="84"/>
        <v>105.08255620493352</v>
      </c>
      <c r="R130" s="557">
        <f t="shared" si="85"/>
        <v>261.71052631578948</v>
      </c>
      <c r="S130" s="582">
        <f t="shared" si="86"/>
        <v>27501.211091001682</v>
      </c>
      <c r="T130" s="555">
        <f t="shared" si="87"/>
        <v>13.3192614780545</v>
      </c>
      <c r="U130" s="559">
        <f t="shared" si="88"/>
        <v>405.42115030277023</v>
      </c>
      <c r="V130" s="582">
        <f t="shared" si="89"/>
        <v>5399.9103096162307</v>
      </c>
      <c r="W130" s="555">
        <f t="shared" si="90"/>
        <v>3.8483562366702944</v>
      </c>
      <c r="X130" s="559">
        <f t="shared" si="91"/>
        <v>37.9060089869281</v>
      </c>
      <c r="Y130" s="582">
        <f t="shared" si="92"/>
        <v>145.87582609212498</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1024.8353147596149</v>
      </c>
      <c r="I131" s="553">
        <f>ITECountywide!$B$9*E131</f>
        <v>4.7127093644572007</v>
      </c>
      <c r="J131" s="562">
        <f t="shared" si="80"/>
        <v>1.67</v>
      </c>
      <c r="K131" s="416">
        <f t="shared" si="81"/>
        <v>0.85182987994952053</v>
      </c>
      <c r="L131" s="554">
        <f>Passby_Length_Adj!H126</f>
        <v>0.3846286671810874</v>
      </c>
      <c r="M131" s="554">
        <f>Passby_Length_Adj!J126</f>
        <v>1</v>
      </c>
      <c r="N131" s="416">
        <v>0.5</v>
      </c>
      <c r="O131" s="546">
        <f t="shared" si="82"/>
        <v>0.1923143335905437</v>
      </c>
      <c r="P131" s="555">
        <f t="shared" si="83"/>
        <v>5.4421333378079835</v>
      </c>
      <c r="Q131" s="556">
        <f t="shared" si="84"/>
        <v>3.2587624777293316</v>
      </c>
      <c r="R131" s="557">
        <f t="shared" si="85"/>
        <v>261.71052631578948</v>
      </c>
      <c r="S131" s="582">
        <f t="shared" si="86"/>
        <v>852.85244318468961</v>
      </c>
      <c r="T131" s="555">
        <f t="shared" si="87"/>
        <v>0.41304961644730082</v>
      </c>
      <c r="U131" s="559">
        <f t="shared" si="88"/>
        <v>405.42115030277023</v>
      </c>
      <c r="V131" s="582">
        <f t="shared" si="89"/>
        <v>167.45905063218274</v>
      </c>
      <c r="W131" s="555">
        <f t="shared" si="90"/>
        <v>0.11934310848452727</v>
      </c>
      <c r="X131" s="559">
        <f t="shared" si="91"/>
        <v>37.9060089869281</v>
      </c>
      <c r="Y131" s="582">
        <f t="shared" si="92"/>
        <v>4.5238209427424261</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12599.507299461791</v>
      </c>
      <c r="I132" s="553">
        <f>ITECountywide!$B$9*E132</f>
        <v>203.3352832710803</v>
      </c>
      <c r="J132" s="562">
        <f t="shared" si="80"/>
        <v>1.67</v>
      </c>
      <c r="K132" s="416">
        <f t="shared" si="81"/>
        <v>0.85182987994952053</v>
      </c>
      <c r="L132" s="554">
        <f>Passby_Length_Adj!H127</f>
        <v>0.3846286671810874</v>
      </c>
      <c r="M132" s="554">
        <f>Passby_Length_Adj!J127</f>
        <v>0.28494260634706281</v>
      </c>
      <c r="N132" s="416">
        <v>0.5</v>
      </c>
      <c r="O132" s="546">
        <f t="shared" si="82"/>
        <v>5.4798547451188014E-2</v>
      </c>
      <c r="P132" s="555">
        <f t="shared" si="83"/>
        <v>66.906553401157339</v>
      </c>
      <c r="Q132" s="556">
        <f t="shared" si="84"/>
        <v>40.063804431830746</v>
      </c>
      <c r="R132" s="557">
        <f t="shared" si="85"/>
        <v>261.71052631578948</v>
      </c>
      <c r="S132" s="582">
        <f t="shared" si="86"/>
        <v>10485.119344067283</v>
      </c>
      <c r="T132" s="555">
        <f t="shared" si="87"/>
        <v>5.0781053136213998</v>
      </c>
      <c r="U132" s="559">
        <f t="shared" si="88"/>
        <v>405.42115030277023</v>
      </c>
      <c r="V132" s="582">
        <f t="shared" si="89"/>
        <v>2058.7712976069979</v>
      </c>
      <c r="W132" s="555">
        <f t="shared" si="90"/>
        <v>1.4672253627832497</v>
      </c>
      <c r="X132" s="559">
        <f t="shared" si="91"/>
        <v>37.9060089869281</v>
      </c>
      <c r="Y132" s="582">
        <f t="shared" si="92"/>
        <v>55.616657787510704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490.81696290468909</v>
      </c>
      <c r="I133" s="553">
        <f>ITECountywide!$B$9*E133</f>
        <v>7.9209768933376798</v>
      </c>
      <c r="J133" s="562">
        <f t="shared" si="80"/>
        <v>1.67</v>
      </c>
      <c r="K133" s="416">
        <f t="shared" si="81"/>
        <v>0.85182987994952053</v>
      </c>
      <c r="L133" s="554">
        <f>Passby_Length_Adj!H128</f>
        <v>0.3846286671810874</v>
      </c>
      <c r="M133" s="554">
        <f>Passby_Length_Adj!J128</f>
        <v>0.28494260634706281</v>
      </c>
      <c r="N133" s="416">
        <v>0.5</v>
      </c>
      <c r="O133" s="546">
        <f t="shared" si="82"/>
        <v>5.4798547451188014E-2</v>
      </c>
      <c r="P133" s="555">
        <f t="shared" si="83"/>
        <v>2.6063615471836115</v>
      </c>
      <c r="Q133" s="556">
        <f t="shared" si="84"/>
        <v>1.5606955372356957</v>
      </c>
      <c r="R133" s="557">
        <f t="shared" si="85"/>
        <v>261.71052631578948</v>
      </c>
      <c r="S133" s="582">
        <f t="shared" si="86"/>
        <v>408.45045046865772</v>
      </c>
      <c r="T133" s="555">
        <f t="shared" si="87"/>
        <v>0.19781886450816114</v>
      </c>
      <c r="U133" s="559">
        <f t="shared" si="88"/>
        <v>405.42115030277023</v>
      </c>
      <c r="V133" s="582">
        <f t="shared" si="89"/>
        <v>80.199951600486528</v>
      </c>
      <c r="W133" s="555">
        <f t="shared" si="90"/>
        <v>5.7156131532918542E-2</v>
      </c>
      <c r="X133" s="559">
        <f t="shared" si="91"/>
        <v>37.9060089869281</v>
      </c>
      <c r="Y133" s="582">
        <f t="shared" si="92"/>
        <v>2.1665608355448547</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36825.936675804427</v>
      </c>
      <c r="I134" s="553">
        <f>ITECountywide!$B$9*E134</f>
        <v>627.56975509846791</v>
      </c>
      <c r="J134" s="562">
        <f t="shared" si="80"/>
        <v>1.67</v>
      </c>
      <c r="K134" s="416">
        <f t="shared" si="81"/>
        <v>0.85182987994952053</v>
      </c>
      <c r="L134" s="554">
        <f>Passby_Length_Adj!H129</f>
        <v>0.3846286671810874</v>
      </c>
      <c r="M134" s="554">
        <f>Passby_Length_Adj!J129</f>
        <v>0.26984126984126988</v>
      </c>
      <c r="N134" s="416">
        <v>0.5</v>
      </c>
      <c r="O134" s="546">
        <f t="shared" si="82"/>
        <v>5.1894343984749895E-2</v>
      </c>
      <c r="P134" s="555">
        <f t="shared" si="83"/>
        <v>195.55498799961777</v>
      </c>
      <c r="Q134" s="556">
        <f t="shared" si="84"/>
        <v>117.09879520935196</v>
      </c>
      <c r="R134" s="557">
        <f t="shared" si="85"/>
        <v>261.71052631578948</v>
      </c>
      <c r="S134" s="582">
        <f t="shared" si="86"/>
        <v>30645.987325184349</v>
      </c>
      <c r="T134" s="555">
        <f t="shared" si="87"/>
        <v>14.842325201119246</v>
      </c>
      <c r="U134" s="559">
        <f t="shared" si="88"/>
        <v>405.42115030277023</v>
      </c>
      <c r="V134" s="582">
        <f t="shared" si="89"/>
        <v>6017.3925562055601</v>
      </c>
      <c r="W134" s="555">
        <f t="shared" si="90"/>
        <v>4.288417555922857</v>
      </c>
      <c r="X134" s="559">
        <f t="shared" si="91"/>
        <v>37.9060089869281</v>
      </c>
      <c r="Y134" s="582">
        <f t="shared" si="92"/>
        <v>162.55679441451207</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50091.485074863784</v>
      </c>
      <c r="I135" s="553">
        <f>ITECountywide!$B$9*E135</f>
        <v>853.63479815043024</v>
      </c>
      <c r="J135" s="562">
        <f t="shared" si="80"/>
        <v>1.67</v>
      </c>
      <c r="K135" s="416">
        <f t="shared" si="81"/>
        <v>0.85182987994952053</v>
      </c>
      <c r="L135" s="554">
        <f>Passby_Length_Adj!H130</f>
        <v>0.3846286671810874</v>
      </c>
      <c r="M135" s="554">
        <f>Passby_Length_Adj!J130</f>
        <v>0.26984126984126988</v>
      </c>
      <c r="N135" s="416">
        <v>0.5</v>
      </c>
      <c r="O135" s="546">
        <f t="shared" si="82"/>
        <v>5.1894343984749895E-2</v>
      </c>
      <c r="P135" s="555">
        <f t="shared" si="83"/>
        <v>265.9983871946971</v>
      </c>
      <c r="Q135" s="556">
        <f t="shared" si="84"/>
        <v>159.28047137407012</v>
      </c>
      <c r="R135" s="557">
        <f t="shared" si="85"/>
        <v>261.71052631578948</v>
      </c>
      <c r="S135" s="582">
        <f t="shared" si="86"/>
        <v>41685.375995134928</v>
      </c>
      <c r="T135" s="555">
        <f t="shared" si="87"/>
        <v>20.188871713794615</v>
      </c>
      <c r="U135" s="559">
        <f t="shared" si="88"/>
        <v>405.42115030277023</v>
      </c>
      <c r="V135" s="582">
        <f t="shared" si="89"/>
        <v>8184.9955935216731</v>
      </c>
      <c r="W135" s="555">
        <f t="shared" si="90"/>
        <v>5.8332040781037744</v>
      </c>
      <c r="X135" s="559">
        <f t="shared" si="91"/>
        <v>37.9060089869281</v>
      </c>
      <c r="Y135" s="582">
        <f t="shared" si="92"/>
        <v>221.11348620718732</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87257.782197084118</v>
      </c>
      <c r="I136" s="553">
        <f>ITECountywide!$B$9*E136</f>
        <v>1487.00481092823</v>
      </c>
      <c r="J136" s="562">
        <f t="shared" si="80"/>
        <v>1.67</v>
      </c>
      <c r="K136" s="416">
        <f t="shared" si="81"/>
        <v>0.85182987994952053</v>
      </c>
      <c r="L136" s="554">
        <f>Passby_Length_Adj!H131</f>
        <v>0.3846286671810874</v>
      </c>
      <c r="M136" s="554">
        <f>Passby_Length_Adj!J131</f>
        <v>0.26984126984126988</v>
      </c>
      <c r="N136" s="416">
        <v>0.5</v>
      </c>
      <c r="O136" s="546">
        <f t="shared" si="82"/>
        <v>5.1894343984749895E-2</v>
      </c>
      <c r="P136" s="555">
        <f t="shared" si="83"/>
        <v>463.36077478880054</v>
      </c>
      <c r="Q136" s="556">
        <f t="shared" si="84"/>
        <v>277.46154178970096</v>
      </c>
      <c r="R136" s="557">
        <f t="shared" si="85"/>
        <v>261.71052631578948</v>
      </c>
      <c r="S136" s="582">
        <f t="shared" si="86"/>
        <v>72614.606134173053</v>
      </c>
      <c r="T136" s="555">
        <f t="shared" si="87"/>
        <v>35.168375786310278</v>
      </c>
      <c r="U136" s="559">
        <f t="shared" si="88"/>
        <v>405.42115030277023</v>
      </c>
      <c r="V136" s="582">
        <f t="shared" si="89"/>
        <v>14258.003365566005</v>
      </c>
      <c r="W136" s="555">
        <f t="shared" si="90"/>
        <v>10.161256952106962</v>
      </c>
      <c r="X136" s="559">
        <f t="shared" si="91"/>
        <v>37.9060089869281</v>
      </c>
      <c r="Y136" s="582">
        <f t="shared" si="92"/>
        <v>385.17269734505214</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18295.437621249224</v>
      </c>
      <c r="I137" s="566">
        <f>ITECountywide!$B$9*E137</f>
        <v>311.78197606933963</v>
      </c>
      <c r="J137" s="567">
        <f t="shared" si="80"/>
        <v>1.67</v>
      </c>
      <c r="K137" s="533">
        <f t="shared" si="81"/>
        <v>0.85182987994952053</v>
      </c>
      <c r="L137" s="568">
        <f>Passby_Length_Adj!H132</f>
        <v>0.3846286671810874</v>
      </c>
      <c r="M137" s="568">
        <f>Passby_Length_Adj!J132</f>
        <v>0.26984126984126988</v>
      </c>
      <c r="N137" s="533">
        <v>0.5</v>
      </c>
      <c r="O137" s="569">
        <f t="shared" si="82"/>
        <v>5.1894343984749895E-2</v>
      </c>
      <c r="P137" s="570">
        <f t="shared" si="83"/>
        <v>97.153376327338037</v>
      </c>
      <c r="Q137" s="571">
        <f t="shared" si="84"/>
        <v>58.175674447507809</v>
      </c>
      <c r="R137" s="572">
        <f t="shared" si="85"/>
        <v>261.71052631578948</v>
      </c>
      <c r="S137" s="585">
        <f t="shared" si="86"/>
        <v>15225.186378433295</v>
      </c>
      <c r="T137" s="570">
        <f t="shared" si="87"/>
        <v>7.3737930215305472</v>
      </c>
      <c r="U137" s="574">
        <f t="shared" si="88"/>
        <v>405.42115030277023</v>
      </c>
      <c r="V137" s="585">
        <f t="shared" si="89"/>
        <v>2989.4916488834542</v>
      </c>
      <c r="W137" s="570">
        <f t="shared" si="90"/>
        <v>2.130522207186814</v>
      </c>
      <c r="X137" s="574">
        <f t="shared" si="91"/>
        <v>37.9060089869281</v>
      </c>
      <c r="Y137" s="585">
        <f t="shared" si="92"/>
        <v>80.759593932473265</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I9:O9"/>
    <mergeCell ref="P9:S9"/>
    <mergeCell ref="T9:V9"/>
    <mergeCell ref="W9:Y9"/>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2D1D6-6968-409F-81AB-7FE14E8F036C}">
  <sheetPr>
    <tabColor theme="9" tint="0.79998168889431442"/>
  </sheetPr>
  <dimension ref="A1:AJ161"/>
  <sheetViews>
    <sheetView topLeftCell="B1" zoomScale="75" zoomScaleNormal="75" workbookViewId="0">
      <selection activeCell="AA24" sqref="AA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 style="11" customWidth="1"/>
    <col min="10" max="10" width="11" style="69" customWidth="1"/>
    <col min="11" max="11" width="11" style="12" customWidth="1"/>
    <col min="12" max="12" width="11.5703125" style="12" customWidth="1"/>
    <col min="13" max="14" width="8.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10" t="str">
        <f>+HYPERLINK(ContextAreas_Map!A1,"Context Area")</f>
        <v>Context Area</v>
      </c>
      <c r="C2" s="811"/>
      <c r="E2" s="814" t="s">
        <v>57</v>
      </c>
      <c r="F2" s="815"/>
      <c r="G2" s="815"/>
      <c r="H2" s="815"/>
      <c r="I2" s="815"/>
      <c r="J2" s="816"/>
      <c r="L2" s="439" t="s">
        <v>65</v>
      </c>
      <c r="M2" s="440"/>
      <c r="O2" s="817" t="s">
        <v>58</v>
      </c>
      <c r="P2" s="818"/>
      <c r="Q2" s="818"/>
      <c r="R2" s="818"/>
      <c r="S2" s="819"/>
    </row>
    <row r="3" spans="1:36" ht="17.100000000000001" customHeight="1" thickBot="1" x14ac:dyDescent="0.3">
      <c r="A3" s="10"/>
      <c r="B3" s="812"/>
      <c r="C3" s="813"/>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07" t="s">
        <v>53</v>
      </c>
      <c r="C4" s="809">
        <v>4</v>
      </c>
      <c r="E4" s="445" t="s">
        <v>67</v>
      </c>
      <c r="F4" s="518">
        <f>'2045_24hr_all_productions'!$Q$42</f>
        <v>0.85662549911783825</v>
      </c>
      <c r="G4" s="518">
        <f>'2045_24hr_all_productions'!$S$42</f>
        <v>6.3313541592697989E-2</v>
      </c>
      <c r="H4" s="519">
        <f>'2045_24hr_all_productions'!$T$42</f>
        <v>5.9522704057944097E-2</v>
      </c>
      <c r="I4" s="518">
        <f>'2045_24hr_all_productions'!$R$42</f>
        <v>2.0538255231519666E-2</v>
      </c>
      <c r="J4" s="520">
        <f>+H4+I4</f>
        <v>8.006095928946376E-2</v>
      </c>
      <c r="K4" s="69"/>
      <c r="L4" s="444" t="s">
        <v>71</v>
      </c>
      <c r="M4" s="442">
        <f>ITECountywide!B4</f>
        <v>1.67</v>
      </c>
      <c r="O4" s="692" t="s">
        <v>120</v>
      </c>
      <c r="P4" s="680"/>
      <c r="Q4" s="681">
        <f>+RoadCapCost!P15</f>
        <v>254.27556818181819</v>
      </c>
      <c r="R4" s="681">
        <f>+TransitCapCost!AD13</f>
        <v>154.50490219883392</v>
      </c>
      <c r="S4" s="536">
        <f>+WalkBikeCapCost!$Z$7</f>
        <v>37.9060089869281</v>
      </c>
      <c r="T4" s="11"/>
    </row>
    <row r="5" spans="1:36" ht="17.100000000000001" customHeight="1" thickBot="1" x14ac:dyDescent="0.3">
      <c r="B5" s="808"/>
      <c r="C5" s="806"/>
      <c r="E5" s="445" t="s">
        <v>70</v>
      </c>
      <c r="F5" s="518">
        <f>'2045_24hr_all_attractions'!$Q$42</f>
        <v>0.85658336747234742</v>
      </c>
      <c r="G5" s="518">
        <f>'2045_24hr_all_attractions'!$S$42</f>
        <v>6.3312849924894166E-2</v>
      </c>
      <c r="H5" s="519">
        <f>'2045_24hr_all_attractions'!$T$42</f>
        <v>5.9565751741089717E-2</v>
      </c>
      <c r="I5" s="518">
        <f>'2045_24hr_all_attractions'!$R$42</f>
        <v>2.0538030861668714E-2</v>
      </c>
      <c r="J5" s="520">
        <f>+H5+I5</f>
        <v>8.0103782602758439E-2</v>
      </c>
      <c r="K5" s="69"/>
      <c r="S5" s="429"/>
      <c r="T5" s="11"/>
    </row>
    <row r="6" spans="1:36" ht="17.100000000000001" customHeight="1" x14ac:dyDescent="0.25">
      <c r="B6" s="803" t="s">
        <v>54</v>
      </c>
      <c r="C6" s="805" t="s">
        <v>124</v>
      </c>
      <c r="E6" s="445" t="s">
        <v>72</v>
      </c>
      <c r="F6" s="434">
        <f>'2045_24hr_all_productions'!$M$42</f>
        <v>8.7708058664116049</v>
      </c>
      <c r="G6" s="434">
        <f>'2045_24hr_all_productions'!$O$42</f>
        <v>7.2570589250280397</v>
      </c>
      <c r="H6" s="435">
        <f>'2045_24hr_all_productions'!$P$42</f>
        <v>0.84564008442690652</v>
      </c>
      <c r="I6" s="434">
        <f>'2045_24hr_all_productions'!$N$42</f>
        <v>3.3822021276595744</v>
      </c>
      <c r="J6" s="447">
        <f>+((H4/J4)*H6)+(I4/J4*I6)</f>
        <v>1.4963512314934846</v>
      </c>
      <c r="K6" s="69"/>
      <c r="O6" s="69"/>
      <c r="P6" s="11"/>
      <c r="S6" s="429"/>
      <c r="U6" s="20"/>
      <c r="V6" s="422"/>
      <c r="W6" s="20"/>
      <c r="X6" s="20"/>
    </row>
    <row r="7" spans="1:36" ht="17.100000000000001" customHeight="1" thickBot="1" x14ac:dyDescent="0.3">
      <c r="B7" s="804"/>
      <c r="C7" s="806"/>
      <c r="E7" s="448" t="s">
        <v>73</v>
      </c>
      <c r="F7" s="449">
        <f>'2045_24hr_all_attractions'!$M$42</f>
        <v>8.7594808027088558</v>
      </c>
      <c r="G7" s="449">
        <f>'2045_24hr_all_attractions'!$O$42</f>
        <v>7.4675411957553282</v>
      </c>
      <c r="H7" s="451">
        <f>'2045_24hr_all_attractions'!$P$42</f>
        <v>0.84334800550206324</v>
      </c>
      <c r="I7" s="449">
        <f>'2045_24hr_all_attractions'!$N$42</f>
        <v>3.3709601063829786</v>
      </c>
      <c r="J7" s="450">
        <f>+((H5/J5)*H7)+(I5/J5*I7)</f>
        <v>1.4914094783498122</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2" t="s">
        <v>121</v>
      </c>
      <c r="C9" s="793"/>
      <c r="D9" s="793"/>
      <c r="E9" s="793"/>
      <c r="F9" s="793"/>
      <c r="G9" s="793"/>
      <c r="H9" s="793"/>
      <c r="I9" s="797" t="s">
        <v>74</v>
      </c>
      <c r="J9" s="798"/>
      <c r="K9" s="798"/>
      <c r="L9" s="798"/>
      <c r="M9" s="798"/>
      <c r="N9" s="798"/>
      <c r="O9" s="799"/>
      <c r="P9" s="794" t="s">
        <v>75</v>
      </c>
      <c r="Q9" s="795"/>
      <c r="R9" s="795"/>
      <c r="S9" s="796"/>
      <c r="T9" s="794" t="s">
        <v>61</v>
      </c>
      <c r="U9" s="795"/>
      <c r="V9" s="796"/>
      <c r="W9" s="794" t="s">
        <v>64</v>
      </c>
      <c r="X9" s="795"/>
      <c r="Y9" s="796"/>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10891.107767081674</v>
      </c>
      <c r="I12" s="553">
        <f>ITECountywide!$B$9*E12</f>
        <v>17.853918169193626</v>
      </c>
      <c r="J12" s="554">
        <f>IF(F12="Prod",$M$3,$M$4)</f>
        <v>1.67</v>
      </c>
      <c r="K12" s="416">
        <f>IF(F12="Prod",$F$4,$F$5)</f>
        <v>0.85658336747234742</v>
      </c>
      <c r="L12" s="554">
        <f>Passby_Length_Adj!H7</f>
        <v>1</v>
      </c>
      <c r="M12" s="554">
        <f>Passby_Length_Adj!J7</f>
        <v>1</v>
      </c>
      <c r="N12" s="416">
        <v>0.5</v>
      </c>
      <c r="O12" s="546">
        <f>L12*M12*N12</f>
        <v>0.5</v>
      </c>
      <c r="P12" s="555">
        <f>IF($F12="Prod",$I12*$O12*$F$4*$F$6,$I12*O12*$F$5*$F$7)</f>
        <v>66.98098760602403</v>
      </c>
      <c r="Q12" s="556">
        <f>+P12/J12</f>
        <v>40.108375811990442</v>
      </c>
      <c r="R12" s="557">
        <f>+$Q$4</f>
        <v>254.27556818181819</v>
      </c>
      <c r="S12" s="582">
        <f>+Q12*R12</f>
        <v>10198.580048443762</v>
      </c>
      <c r="T12" s="555">
        <f>IF($F12="Prod",$I12*$O12*$G$4*$G$6,$I12*$O12*$G$5*$G$7)</f>
        <v>4.2205887248685761</v>
      </c>
      <c r="U12" s="559">
        <f>+$R$4</f>
        <v>154.50490219883392</v>
      </c>
      <c r="V12" s="582">
        <f>+T12*U12</f>
        <v>652.10164815732048</v>
      </c>
      <c r="W12" s="555">
        <f>IF($F12="Prod",$I12*$O12*$J$4*$J$6,$I12*$O12*$J$5*$J$7)</f>
        <v>1.0664818471005919</v>
      </c>
      <c r="X12" s="559">
        <f>$S$4</f>
        <v>37.9060089869281</v>
      </c>
      <c r="Y12" s="582">
        <f>+W12*X12</f>
        <v>40.426070480590717</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5484.2532512411262</v>
      </c>
      <c r="I14" s="553">
        <f>ITECountywide!$B$9*E14</f>
        <v>8.9903994029645062</v>
      </c>
      <c r="J14" s="554">
        <f t="shared" ref="J14:J20" si="1">IF(F14="Prod",$M$3,$M$4)</f>
        <v>1.67</v>
      </c>
      <c r="K14" s="416">
        <f t="shared" ref="K14:K20" si="2">IF(F14="Prod",$F$4,$F$5)</f>
        <v>0.85658336747234742</v>
      </c>
      <c r="L14" s="554">
        <f>Passby_Length_Adj!H9</f>
        <v>1</v>
      </c>
      <c r="M14" s="554">
        <f>Passby_Length_Adj!J9</f>
        <v>1</v>
      </c>
      <c r="N14" s="416">
        <v>0.5</v>
      </c>
      <c r="O14" s="546">
        <f t="shared" ref="O14:O20" si="3">L14*M14*N14</f>
        <v>0.5</v>
      </c>
      <c r="P14" s="555">
        <f t="shared" ref="P14:P20" si="4">IF($F14="Prod",$I14*$O14*$F$4*$F$6,$I14*O14*$F$5*$F$7)</f>
        <v>33.728497312271998</v>
      </c>
      <c r="Q14" s="556">
        <f t="shared" ref="Q14:Q20" si="5">+P14/J14</f>
        <v>20.196704977408384</v>
      </c>
      <c r="R14" s="561">
        <f t="shared" ref="R14:R20" si="6">+$Q$4</f>
        <v>254.27556818181819</v>
      </c>
      <c r="S14" s="582">
        <f t="shared" ref="S14:S20" si="7">+Q14*R14</f>
        <v>5135.528633531072</v>
      </c>
      <c r="T14" s="555">
        <f t="shared" ref="T14:T20" si="8">IF($F14="Prod",$I14*$O14*$G$4*$G$6,$I14*$O14*$G$5*$G$7)</f>
        <v>2.1252913782079332</v>
      </c>
      <c r="U14" s="559">
        <f t="shared" ref="U14:U20" si="9">+$R$4</f>
        <v>154.50490219883392</v>
      </c>
      <c r="V14" s="582">
        <f t="shared" ref="V14:V20" si="10">+T14*U14</f>
        <v>328.36793653404169</v>
      </c>
      <c r="W14" s="555">
        <f t="shared" ref="W14:W20" si="11">IF($F14="Prod",$I14*$O14*$J$4*$J$6,$I14*$O14*$J$5*$J$7)</f>
        <v>0.53703045295623708</v>
      </c>
      <c r="X14" s="559">
        <f t="shared" ref="X14:X20" si="12">$S$4</f>
        <v>37.9060089869281</v>
      </c>
      <c r="Y14" s="582">
        <f t="shared" ref="Y14:Y20" si="13">+W14*X14</f>
        <v>20.35668117601319</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3726.1962614279432</v>
      </c>
      <c r="I15" s="553">
        <f>ITECountywide!$B$9*E15</f>
        <v>6.1083963685464484</v>
      </c>
      <c r="J15" s="554">
        <f t="shared" si="1"/>
        <v>1.67</v>
      </c>
      <c r="K15" s="416">
        <f t="shared" si="2"/>
        <v>0.85658336747234742</v>
      </c>
      <c r="L15" s="554">
        <f>Passby_Length_Adj!H10</f>
        <v>1</v>
      </c>
      <c r="M15" s="554">
        <f>Passby_Length_Adj!J10</f>
        <v>1</v>
      </c>
      <c r="N15" s="416">
        <v>0.5</v>
      </c>
      <c r="O15" s="546">
        <f t="shared" si="3"/>
        <v>0.5</v>
      </c>
      <c r="P15" s="555">
        <f t="shared" si="4"/>
        <v>22.916337891604158</v>
      </c>
      <c r="Q15" s="556">
        <f t="shared" si="5"/>
        <v>13.722358018924647</v>
      </c>
      <c r="R15" s="561">
        <f t="shared" si="6"/>
        <v>254.27556818181819</v>
      </c>
      <c r="S15" s="582">
        <f t="shared" si="7"/>
        <v>3489.2603820563936</v>
      </c>
      <c r="T15" s="555">
        <f t="shared" si="8"/>
        <v>1.4439983759195028</v>
      </c>
      <c r="U15" s="559">
        <f t="shared" si="9"/>
        <v>154.50490219883392</v>
      </c>
      <c r="V15" s="582">
        <f t="shared" si="10"/>
        <v>223.1048278467178</v>
      </c>
      <c r="W15" s="555">
        <f t="shared" si="11"/>
        <v>0.36487754565776592</v>
      </c>
      <c r="X15" s="559">
        <f t="shared" si="12"/>
        <v>37.9060089869281</v>
      </c>
      <c r="Y15" s="582">
        <f t="shared" si="13"/>
        <v>13.831051524831544</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4345.3861446325864</v>
      </c>
      <c r="I16" s="553">
        <f>ITECountywide!$B$9*E16</f>
        <v>7.1234414624295379</v>
      </c>
      <c r="J16" s="554">
        <f t="shared" si="1"/>
        <v>1.67</v>
      </c>
      <c r="K16" s="416">
        <f t="shared" si="2"/>
        <v>0.85658336747234742</v>
      </c>
      <c r="L16" s="554">
        <f>Passby_Length_Adj!H11</f>
        <v>1</v>
      </c>
      <c r="M16" s="554">
        <f>Passby_Length_Adj!J11</f>
        <v>1</v>
      </c>
      <c r="N16" s="416">
        <v>0.5</v>
      </c>
      <c r="O16" s="546">
        <f t="shared" si="3"/>
        <v>0.5</v>
      </c>
      <c r="P16" s="555">
        <f t="shared" si="4"/>
        <v>26.724394039763901</v>
      </c>
      <c r="Q16" s="556">
        <f t="shared" si="5"/>
        <v>16.00263116153527</v>
      </c>
      <c r="R16" s="561">
        <f t="shared" si="6"/>
        <v>254.27556818181819</v>
      </c>
      <c r="S16" s="582">
        <f t="shared" si="7"/>
        <v>4069.0781310034499</v>
      </c>
      <c r="T16" s="555">
        <f t="shared" si="8"/>
        <v>1.6839506282978176</v>
      </c>
      <c r="U16" s="559">
        <f t="shared" si="9"/>
        <v>154.50490219883392</v>
      </c>
      <c r="V16" s="582">
        <f t="shared" si="10"/>
        <v>260.17862713281926</v>
      </c>
      <c r="W16" s="555">
        <f t="shared" si="11"/>
        <v>0.42551001615282497</v>
      </c>
      <c r="X16" s="559">
        <f t="shared" si="12"/>
        <v>37.9060089869281</v>
      </c>
      <c r="Y16" s="582">
        <f t="shared" si="13"/>
        <v>16.129386496316904</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1923.9114228144274</v>
      </c>
      <c r="I17" s="553">
        <f>ITECountywide!$B$9*E17</f>
        <v>3.1538901131367418</v>
      </c>
      <c r="J17" s="554">
        <f t="shared" si="1"/>
        <v>1.67</v>
      </c>
      <c r="K17" s="416">
        <f t="shared" si="2"/>
        <v>0.85658336747234742</v>
      </c>
      <c r="L17" s="554">
        <f>Passby_Length_Adj!H12</f>
        <v>1</v>
      </c>
      <c r="M17" s="554">
        <f>Passby_Length_Adj!J12</f>
        <v>1</v>
      </c>
      <c r="N17" s="416">
        <v>0.5</v>
      </c>
      <c r="O17" s="546">
        <f t="shared" si="3"/>
        <v>0.5</v>
      </c>
      <c r="P17" s="555">
        <f t="shared" si="4"/>
        <v>11.832174460353482</v>
      </c>
      <c r="Q17" s="556">
        <f t="shared" si="5"/>
        <v>7.0851344073972946</v>
      </c>
      <c r="R17" s="561">
        <f t="shared" si="6"/>
        <v>254.27556818181819</v>
      </c>
      <c r="S17" s="582">
        <f t="shared" si="7"/>
        <v>1801.5765770854969</v>
      </c>
      <c r="T17" s="555">
        <f t="shared" si="8"/>
        <v>0.74556592703262159</v>
      </c>
      <c r="U17" s="559">
        <f t="shared" si="9"/>
        <v>154.50490219883392</v>
      </c>
      <c r="V17" s="582">
        <f t="shared" si="10"/>
        <v>115.19359063895814</v>
      </c>
      <c r="W17" s="555">
        <f t="shared" si="11"/>
        <v>0.18839374760964772</v>
      </c>
      <c r="X17" s="559">
        <f t="shared" si="12"/>
        <v>37.9060089869281</v>
      </c>
      <c r="Y17" s="582">
        <f t="shared" si="13"/>
        <v>7.141255089972371</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1669.6012922125205</v>
      </c>
      <c r="I18" s="553">
        <f>ITECountywide!$B$9*E18</f>
        <v>2.736996592434759</v>
      </c>
      <c r="J18" s="562">
        <f t="shared" si="1"/>
        <v>1.67</v>
      </c>
      <c r="K18" s="416">
        <f t="shared" si="2"/>
        <v>0.85658336747234742</v>
      </c>
      <c r="L18" s="554">
        <f>Passby_Length_Adj!H13</f>
        <v>1</v>
      </c>
      <c r="M18" s="554">
        <f>Passby_Length_Adj!J13</f>
        <v>1</v>
      </c>
      <c r="N18" s="416">
        <v>0.5</v>
      </c>
      <c r="O18" s="546">
        <f t="shared" si="3"/>
        <v>0.5</v>
      </c>
      <c r="P18" s="555">
        <f t="shared" si="4"/>
        <v>10.268151399502161</v>
      </c>
      <c r="Q18" s="556">
        <f t="shared" si="5"/>
        <v>6.1485936523965039</v>
      </c>
      <c r="R18" s="561">
        <f t="shared" si="6"/>
        <v>254.27556818181819</v>
      </c>
      <c r="S18" s="582">
        <f t="shared" si="7"/>
        <v>1563.4371444822418</v>
      </c>
      <c r="T18" s="555">
        <f t="shared" si="8"/>
        <v>0.64701410909152801</v>
      </c>
      <c r="U18" s="559">
        <f t="shared" si="9"/>
        <v>154.50490219883392</v>
      </c>
      <c r="V18" s="582">
        <f t="shared" si="10"/>
        <v>99.966851646452199</v>
      </c>
      <c r="W18" s="555">
        <f t="shared" si="11"/>
        <v>0.16349112579917705</v>
      </c>
      <c r="X18" s="559">
        <f t="shared" si="12"/>
        <v>37.9060089869281</v>
      </c>
      <c r="Y18" s="582">
        <f t="shared" si="13"/>
        <v>6.1972960838265978</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1094.6392578082086</v>
      </c>
      <c r="I19" s="553">
        <f>ITECountywide!$B$9*E19</f>
        <v>1.7944547195433187</v>
      </c>
      <c r="J19" s="554">
        <f t="shared" si="1"/>
        <v>1.67</v>
      </c>
      <c r="K19" s="416">
        <f t="shared" si="2"/>
        <v>0.85658336747234742</v>
      </c>
      <c r="L19" s="554">
        <f>Passby_Length_Adj!H14</f>
        <v>1</v>
      </c>
      <c r="M19" s="554">
        <f>Passby_Length_Adj!J14</f>
        <v>1</v>
      </c>
      <c r="N19" s="416">
        <v>0.5</v>
      </c>
      <c r="O19" s="546">
        <f t="shared" si="3"/>
        <v>0.5</v>
      </c>
      <c r="P19" s="555">
        <f t="shared" si="4"/>
        <v>6.7320992619252573</v>
      </c>
      <c r="Q19" s="556">
        <f t="shared" si="5"/>
        <v>4.0311971628294954</v>
      </c>
      <c r="R19" s="561">
        <f t="shared" si="6"/>
        <v>254.27556818181819</v>
      </c>
      <c r="S19" s="582">
        <f t="shared" si="7"/>
        <v>1025.0349490314034</v>
      </c>
      <c r="T19" s="555">
        <f t="shared" si="8"/>
        <v>0.424201303311664</v>
      </c>
      <c r="U19" s="559">
        <f t="shared" si="9"/>
        <v>154.50490219883392</v>
      </c>
      <c r="V19" s="582">
        <f t="shared" si="10"/>
        <v>65.541180880786527</v>
      </c>
      <c r="W19" s="555">
        <f t="shared" si="11"/>
        <v>0.10718954605376507</v>
      </c>
      <c r="X19" s="559">
        <f t="shared" si="12"/>
        <v>37.9060089869281</v>
      </c>
      <c r="Y19" s="582">
        <f t="shared" si="13"/>
        <v>4.063127896018762</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14639.41795290978</v>
      </c>
      <c r="I20" s="553">
        <f>ITECountywide!$B$9*E20</f>
        <v>23.998566148235899</v>
      </c>
      <c r="J20" s="554">
        <f t="shared" si="1"/>
        <v>1.67</v>
      </c>
      <c r="K20" s="416">
        <f t="shared" si="2"/>
        <v>0.85658336747234742</v>
      </c>
      <c r="L20" s="554">
        <f>Passby_Length_Adj!H15</f>
        <v>1</v>
      </c>
      <c r="M20" s="554">
        <f>Passby_Length_Adj!J15</f>
        <v>1</v>
      </c>
      <c r="N20" s="416">
        <v>0.5</v>
      </c>
      <c r="O20" s="546">
        <f t="shared" si="3"/>
        <v>0.5</v>
      </c>
      <c r="P20" s="555">
        <f t="shared" si="4"/>
        <v>90.03332750291959</v>
      </c>
      <c r="Q20" s="556">
        <f t="shared" si="5"/>
        <v>53.912172157436885</v>
      </c>
      <c r="R20" s="561">
        <f t="shared" si="6"/>
        <v>254.27556818181819</v>
      </c>
      <c r="S20" s="582">
        <f t="shared" si="7"/>
        <v>13708.548207248263</v>
      </c>
      <c r="T20" s="555">
        <f t="shared" si="8"/>
        <v>5.6731568240873047</v>
      </c>
      <c r="U20" s="559">
        <f t="shared" si="9"/>
        <v>154.50490219883392</v>
      </c>
      <c r="V20" s="582">
        <f t="shared" si="10"/>
        <v>876.53054026425627</v>
      </c>
      <c r="W20" s="555">
        <f t="shared" si="11"/>
        <v>1.4335248381331813</v>
      </c>
      <c r="X20" s="559">
        <f t="shared" si="12"/>
        <v>37.9060089869281</v>
      </c>
      <c r="Y20" s="582">
        <f t="shared" si="13"/>
        <v>54.339205397261019</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10433.389475438586</v>
      </c>
      <c r="I22" s="553">
        <f>ITECountywide!$B$9*E22</f>
        <v>17.110760154029219</v>
      </c>
      <c r="J22" s="554">
        <f t="shared" ref="J22:J35" si="14">IF(F22="Prod",$M$3,$M$4)</f>
        <v>1.67</v>
      </c>
      <c r="K22" s="416">
        <f t="shared" ref="K22:K35" si="15">IF(F22="Prod",$F$4,$F$5)</f>
        <v>0.85662549911783825</v>
      </c>
      <c r="L22" s="554">
        <f>Passby_Length_Adj!H17</f>
        <v>1</v>
      </c>
      <c r="M22" s="554">
        <f>Passby_Length_Adj!J17</f>
        <v>1</v>
      </c>
      <c r="N22" s="416">
        <v>0.5</v>
      </c>
      <c r="O22" s="546">
        <f t="shared" ref="O22:O35" si="16">L22*M22*N22</f>
        <v>0.5</v>
      </c>
      <c r="P22" s="555">
        <f t="shared" ref="P22:P35" si="17">IF($F22="Prod",$I22*$O22*$F$4*$F$6,$I22*O22*$F$5*$F$7)</f>
        <v>64.279102508843906</v>
      </c>
      <c r="Q22" s="556">
        <f t="shared" ref="Q22:Q35" si="18">+P22/J22</f>
        <v>38.49048054421791</v>
      </c>
      <c r="R22" s="561">
        <f t="shared" ref="R22:R35" si="19">+$Q$4</f>
        <v>254.27556818181819</v>
      </c>
      <c r="S22" s="582">
        <f t="shared" ref="S22:S35" si="20">+Q22*R22</f>
        <v>9787.1888099722273</v>
      </c>
      <c r="T22" s="555">
        <f t="shared" ref="T22:T35" si="21">IF($F22="Prod",$I22*$O22*$G$4*$G$6,$I22*$O22*$G$5*$G$7)</f>
        <v>3.9309413574082734</v>
      </c>
      <c r="U22" s="559">
        <f t="shared" ref="U22:U35" si="22">+$R$4</f>
        <v>154.50490219883392</v>
      </c>
      <c r="V22" s="582">
        <f t="shared" ref="V22:V35" si="23">+T22*U22</f>
        <v>607.34970997571668</v>
      </c>
      <c r="W22" s="555">
        <f t="shared" ref="W22:W35" si="24">IF($F22="Prod",$I22*$O22*$J$4*$J$6,$I22*$O22*$J$5*$J$7)</f>
        <v>1.0249286730248917</v>
      </c>
      <c r="X22" s="559">
        <f t="shared" ref="X22:X35" si="25">$S$4</f>
        <v>37.9060089869281</v>
      </c>
      <c r="Y22" s="582">
        <f t="shared" ref="Y22:Y35" si="26">+W22*X22</f>
        <v>38.850955490641837</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8090.2977712087359</v>
      </c>
      <c r="I23" s="553">
        <f>ITECountywide!$B$9*E23</f>
        <v>13.268089441471812</v>
      </c>
      <c r="J23" s="554">
        <f t="shared" si="14"/>
        <v>1.67</v>
      </c>
      <c r="K23" s="416">
        <f t="shared" si="15"/>
        <v>0.85662549911783825</v>
      </c>
      <c r="L23" s="554">
        <f>Passby_Length_Adj!H18</f>
        <v>1</v>
      </c>
      <c r="M23" s="554">
        <f>Passby_Length_Adj!J18</f>
        <v>1</v>
      </c>
      <c r="N23" s="416">
        <v>0.5</v>
      </c>
      <c r="O23" s="546">
        <f t="shared" si="16"/>
        <v>0.5</v>
      </c>
      <c r="P23" s="555">
        <f t="shared" si="17"/>
        <v>49.843541352196766</v>
      </c>
      <c r="Q23" s="556">
        <f t="shared" si="18"/>
        <v>29.846431947423216</v>
      </c>
      <c r="R23" s="561">
        <f t="shared" si="19"/>
        <v>254.27556818181819</v>
      </c>
      <c r="S23" s="582">
        <f t="shared" si="20"/>
        <v>7589.2184416310083</v>
      </c>
      <c r="T23" s="555">
        <f t="shared" si="21"/>
        <v>3.0481452051089581</v>
      </c>
      <c r="U23" s="559">
        <f t="shared" si="22"/>
        <v>154.50490219883392</v>
      </c>
      <c r="V23" s="582">
        <f t="shared" si="23"/>
        <v>470.95337680320415</v>
      </c>
      <c r="W23" s="555">
        <f t="shared" si="24"/>
        <v>0.79475401340489493</v>
      </c>
      <c r="X23" s="559">
        <f t="shared" si="25"/>
        <v>37.9060089869281</v>
      </c>
      <c r="Y23" s="582">
        <f t="shared" si="26"/>
        <v>30.125952774523125</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6012.4617316086778</v>
      </c>
      <c r="I24" s="553">
        <f>ITECountywide!$B$9*E24</f>
        <v>9.8604380548642965</v>
      </c>
      <c r="J24" s="554">
        <f t="shared" si="14"/>
        <v>1.67</v>
      </c>
      <c r="K24" s="416">
        <f t="shared" si="15"/>
        <v>0.85662549911783825</v>
      </c>
      <c r="L24" s="554">
        <f>Passby_Length_Adj!H19</f>
        <v>1</v>
      </c>
      <c r="M24" s="554">
        <f>Passby_Length_Adj!J19</f>
        <v>1</v>
      </c>
      <c r="N24" s="416">
        <v>0.5</v>
      </c>
      <c r="O24" s="546">
        <f t="shared" si="16"/>
        <v>0.5</v>
      </c>
      <c r="P24" s="555">
        <f t="shared" si="17"/>
        <v>37.042194666113446</v>
      </c>
      <c r="Q24" s="556">
        <f t="shared" si="18"/>
        <v>22.180954889888291</v>
      </c>
      <c r="R24" s="561">
        <f t="shared" si="19"/>
        <v>254.27556818181819</v>
      </c>
      <c r="S24" s="582">
        <f t="shared" si="20"/>
        <v>5640.0749074416235</v>
      </c>
      <c r="T24" s="555">
        <f t="shared" si="21"/>
        <v>2.2652882398623952</v>
      </c>
      <c r="U24" s="559">
        <f t="shared" si="22"/>
        <v>154.50490219883392</v>
      </c>
      <c r="V24" s="582">
        <f t="shared" si="23"/>
        <v>349.99813795210798</v>
      </c>
      <c r="W24" s="555">
        <f t="shared" si="24"/>
        <v>0.59063686242112401</v>
      </c>
      <c r="X24" s="559">
        <f t="shared" si="25"/>
        <v>37.9060089869281</v>
      </c>
      <c r="Y24" s="582">
        <f t="shared" si="26"/>
        <v>22.388686214946141</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4918.2821150107748</v>
      </c>
      <c r="I25" s="553">
        <f>ITECountywide!$B$9*E25</f>
        <v>8.0659833353209791</v>
      </c>
      <c r="J25" s="554">
        <f t="shared" si="14"/>
        <v>1.67</v>
      </c>
      <c r="K25" s="416">
        <f t="shared" si="15"/>
        <v>0.85662549911783825</v>
      </c>
      <c r="L25" s="554">
        <f>Passby_Length_Adj!H20</f>
        <v>1</v>
      </c>
      <c r="M25" s="554">
        <f>Passby_Length_Adj!J20</f>
        <v>1</v>
      </c>
      <c r="N25" s="416">
        <v>0.5</v>
      </c>
      <c r="O25" s="546">
        <f t="shared" si="16"/>
        <v>0.5</v>
      </c>
      <c r="P25" s="555">
        <f t="shared" si="17"/>
        <v>30.301059975037653</v>
      </c>
      <c r="Q25" s="556">
        <f t="shared" si="18"/>
        <v>18.144347290441708</v>
      </c>
      <c r="R25" s="561">
        <f t="shared" si="19"/>
        <v>254.27556818181819</v>
      </c>
      <c r="S25" s="582">
        <f t="shared" si="20"/>
        <v>4613.6642165652984</v>
      </c>
      <c r="T25" s="555">
        <f t="shared" si="21"/>
        <v>1.8530390932697902</v>
      </c>
      <c r="U25" s="559">
        <f t="shared" si="22"/>
        <v>154.50490219883392</v>
      </c>
      <c r="V25" s="582">
        <f t="shared" si="23"/>
        <v>286.30362387626479</v>
      </c>
      <c r="W25" s="555">
        <f t="shared" si="24"/>
        <v>0.48314963929669158</v>
      </c>
      <c r="X25" s="559">
        <f t="shared" si="25"/>
        <v>37.9060089869281</v>
      </c>
      <c r="Y25" s="582">
        <f t="shared" si="26"/>
        <v>18.314274569211459</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6476.6591447108176</v>
      </c>
      <c r="I26" s="553">
        <f>ITECountywide!$B$9*E26</f>
        <v>10.621721875276615</v>
      </c>
      <c r="J26" s="554">
        <f t="shared" si="14"/>
        <v>1.67</v>
      </c>
      <c r="K26" s="416">
        <f t="shared" si="15"/>
        <v>0.85662549911783825</v>
      </c>
      <c r="L26" s="554">
        <f>Passby_Length_Adj!H22</f>
        <v>1</v>
      </c>
      <c r="M26" s="554">
        <f>Passby_Length_Adj!J22</f>
        <v>1</v>
      </c>
      <c r="N26" s="416">
        <v>0.5</v>
      </c>
      <c r="O26" s="546">
        <f t="shared" si="16"/>
        <v>0.5</v>
      </c>
      <c r="P26" s="555">
        <f t="shared" si="17"/>
        <v>39.902069989600143</v>
      </c>
      <c r="Q26" s="556">
        <f t="shared" si="18"/>
        <v>23.893455083592901</v>
      </c>
      <c r="R26" s="561">
        <f t="shared" si="19"/>
        <v>254.27556818181819</v>
      </c>
      <c r="S26" s="582">
        <f t="shared" si="20"/>
        <v>6075.521867207337</v>
      </c>
      <c r="T26" s="555">
        <f t="shared" si="21"/>
        <v>2.4401818172047127</v>
      </c>
      <c r="U26" s="559">
        <f t="shared" si="22"/>
        <v>154.50490219883392</v>
      </c>
      <c r="V26" s="582">
        <f t="shared" si="23"/>
        <v>377.02005301458695</v>
      </c>
      <c r="W26" s="555">
        <f t="shared" si="24"/>
        <v>0.63623750253451972</v>
      </c>
      <c r="X26" s="559">
        <f t="shared" si="25"/>
        <v>37.9060089869281</v>
      </c>
      <c r="Y26" s="582">
        <f t="shared" si="26"/>
        <v>24.117224488894195</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3801.9978596937221</v>
      </c>
      <c r="I27" s="553">
        <f>ITECountywide!$B$9*E27</f>
        <v>6.2352770052818345</v>
      </c>
      <c r="J27" s="554">
        <f t="shared" si="14"/>
        <v>1.67</v>
      </c>
      <c r="K27" s="416">
        <f t="shared" si="15"/>
        <v>0.85662549911783825</v>
      </c>
      <c r="L27" s="554">
        <f>Passby_Length_Adj!H22</f>
        <v>1</v>
      </c>
      <c r="M27" s="554">
        <f>Passby_Length_Adj!J22</f>
        <v>1</v>
      </c>
      <c r="N27" s="416">
        <v>0.5</v>
      </c>
      <c r="O27" s="546">
        <f t="shared" si="16"/>
        <v>0.5</v>
      </c>
      <c r="P27" s="555">
        <f t="shared" si="17"/>
        <v>23.423740744748205</v>
      </c>
      <c r="Q27" s="556">
        <f t="shared" si="18"/>
        <v>14.026192062723476</v>
      </c>
      <c r="R27" s="561">
        <f t="shared" si="19"/>
        <v>254.27556818181819</v>
      </c>
      <c r="S27" s="582">
        <f t="shared" si="20"/>
        <v>3566.5179561763202</v>
      </c>
      <c r="T27" s="555">
        <f t="shared" si="21"/>
        <v>1.4324616810894557</v>
      </c>
      <c r="U27" s="559">
        <f t="shared" si="22"/>
        <v>154.50490219883392</v>
      </c>
      <c r="V27" s="582">
        <f t="shared" si="23"/>
        <v>221.32235194030358</v>
      </c>
      <c r="W27" s="555">
        <f t="shared" si="24"/>
        <v>0.37349095711924019</v>
      </c>
      <c r="X27" s="559">
        <f t="shared" si="25"/>
        <v>37.9060089869281</v>
      </c>
      <c r="Y27" s="582">
        <f t="shared" si="26"/>
        <v>14.157551577098296</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5526.1596797873872</v>
      </c>
      <c r="I28" s="553">
        <f>ITECountywide!$B$9*E28</f>
        <v>9.0629026239561554</v>
      </c>
      <c r="J28" s="554">
        <f t="shared" si="14"/>
        <v>1.67</v>
      </c>
      <c r="K28" s="416">
        <f t="shared" si="15"/>
        <v>0.85662549911783825</v>
      </c>
      <c r="L28" s="554">
        <f>Passby_Length_Adj!H23</f>
        <v>1</v>
      </c>
      <c r="M28" s="554">
        <f>Passby_Length_Adj!J23</f>
        <v>1</v>
      </c>
      <c r="N28" s="416">
        <v>0.5</v>
      </c>
      <c r="O28" s="546">
        <f t="shared" si="16"/>
        <v>0.5</v>
      </c>
      <c r="P28" s="555">
        <f t="shared" si="17"/>
        <v>34.046134803413089</v>
      </c>
      <c r="Q28" s="556">
        <f t="shared" si="18"/>
        <v>20.386907067912031</v>
      </c>
      <c r="R28" s="561">
        <f t="shared" si="19"/>
        <v>254.27556818181819</v>
      </c>
      <c r="S28" s="582">
        <f t="shared" si="20"/>
        <v>5183.8923781632566</v>
      </c>
      <c r="T28" s="555">
        <f t="shared" si="21"/>
        <v>2.0820663969323485</v>
      </c>
      <c r="U28" s="559">
        <f t="shared" si="22"/>
        <v>154.50490219883392</v>
      </c>
      <c r="V28" s="582">
        <f t="shared" si="23"/>
        <v>321.68946502951104</v>
      </c>
      <c r="W28" s="555">
        <f t="shared" si="24"/>
        <v>0.54286476325470956</v>
      </c>
      <c r="X28" s="559">
        <f t="shared" si="25"/>
        <v>37.9060089869281</v>
      </c>
      <c r="Y28" s="582">
        <f t="shared" si="26"/>
        <v>20.577836594619615</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4719.3403665384285</v>
      </c>
      <c r="I29" s="553">
        <f>ITECountywide!$B$9*E29</f>
        <v>7.739718840858556</v>
      </c>
      <c r="J29" s="554">
        <f t="shared" si="14"/>
        <v>1.67</v>
      </c>
      <c r="K29" s="416">
        <f t="shared" si="15"/>
        <v>0.85662549911783825</v>
      </c>
      <c r="L29" s="554">
        <f>Passby_Length_Adj!H24</f>
        <v>1</v>
      </c>
      <c r="M29" s="554">
        <f>Passby_Length_Adj!J24</f>
        <v>1</v>
      </c>
      <c r="N29" s="416">
        <v>0.5</v>
      </c>
      <c r="O29" s="546">
        <f t="shared" si="16"/>
        <v>0.5</v>
      </c>
      <c r="P29" s="555">
        <f t="shared" si="17"/>
        <v>29.075399122114778</v>
      </c>
      <c r="Q29" s="556">
        <f t="shared" si="18"/>
        <v>17.410418635996873</v>
      </c>
      <c r="R29" s="561">
        <f t="shared" si="19"/>
        <v>254.27556818181819</v>
      </c>
      <c r="S29" s="582">
        <f t="shared" si="20"/>
        <v>4427.0440909514209</v>
      </c>
      <c r="T29" s="555">
        <f t="shared" si="21"/>
        <v>1.7780847029802254</v>
      </c>
      <c r="U29" s="559">
        <f t="shared" si="22"/>
        <v>154.50490219883392</v>
      </c>
      <c r="V29" s="582">
        <f t="shared" si="23"/>
        <v>274.72280313520235</v>
      </c>
      <c r="W29" s="555">
        <f t="shared" si="24"/>
        <v>0.46360650781952195</v>
      </c>
      <c r="X29" s="559">
        <f t="shared" si="25"/>
        <v>37.9060089869281</v>
      </c>
      <c r="Y29" s="582">
        <f t="shared" si="26"/>
        <v>17.573472451805152</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4089.358163042667</v>
      </c>
      <c r="I30" s="553">
        <f>ITECountywide!$B$9*E30</f>
        <v>6.7065479417275551</v>
      </c>
      <c r="J30" s="554">
        <f t="shared" si="14"/>
        <v>1.67</v>
      </c>
      <c r="K30" s="416">
        <f t="shared" si="15"/>
        <v>0.85662549911783825</v>
      </c>
      <c r="L30" s="554">
        <f>Passby_Length_Adj!H25</f>
        <v>1</v>
      </c>
      <c r="M30" s="554">
        <f>Passby_Length_Adj!J25</f>
        <v>1</v>
      </c>
      <c r="N30" s="416">
        <v>0.5</v>
      </c>
      <c r="O30" s="546">
        <f t="shared" si="16"/>
        <v>0.5</v>
      </c>
      <c r="P30" s="555">
        <f t="shared" si="17"/>
        <v>25.194139754525686</v>
      </c>
      <c r="Q30" s="556">
        <f t="shared" si="18"/>
        <v>15.086311230254903</v>
      </c>
      <c r="R30" s="561">
        <f t="shared" si="19"/>
        <v>254.27556818181819</v>
      </c>
      <c r="S30" s="582">
        <f t="shared" si="20"/>
        <v>3836.0803598408102</v>
      </c>
      <c r="T30" s="555">
        <f t="shared" si="21"/>
        <v>1.5407291337299378</v>
      </c>
      <c r="U30" s="559">
        <f t="shared" si="22"/>
        <v>154.50490219883392</v>
      </c>
      <c r="V30" s="582">
        <f t="shared" si="23"/>
        <v>238.05020412183814</v>
      </c>
      <c r="W30" s="555">
        <f t="shared" si="24"/>
        <v>0.40171992480848506</v>
      </c>
      <c r="X30" s="559">
        <f t="shared" si="25"/>
        <v>37.9060089869281</v>
      </c>
      <c r="Y30" s="582">
        <f t="shared" si="26"/>
        <v>15.227599080018516</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2232.5685106341043</v>
      </c>
      <c r="I31" s="553">
        <f>ITECountywide!$B$9*E31</f>
        <v>3.6614126600782866</v>
      </c>
      <c r="J31" s="554">
        <f t="shared" si="14"/>
        <v>1.67</v>
      </c>
      <c r="K31" s="416">
        <f t="shared" si="15"/>
        <v>0.85662549911783825</v>
      </c>
      <c r="L31" s="554">
        <f>Passby_Length_Adj!H26</f>
        <v>1</v>
      </c>
      <c r="M31" s="554">
        <f>Passby_Length_Adj!J26</f>
        <v>1</v>
      </c>
      <c r="N31" s="416">
        <v>0.5</v>
      </c>
      <c r="O31" s="546">
        <f t="shared" si="16"/>
        <v>0.5</v>
      </c>
      <c r="P31" s="555">
        <f t="shared" si="17"/>
        <v>13.754638460578887</v>
      </c>
      <c r="Q31" s="556">
        <f t="shared" si="18"/>
        <v>8.2363104554364597</v>
      </c>
      <c r="R31" s="557">
        <f t="shared" si="19"/>
        <v>254.27556818181819</v>
      </c>
      <c r="S31" s="582">
        <f t="shared" si="20"/>
        <v>2094.2925207779554</v>
      </c>
      <c r="T31" s="555">
        <f t="shared" si="21"/>
        <v>0.8411548243606688</v>
      </c>
      <c r="U31" s="559">
        <f t="shared" si="22"/>
        <v>154.50490219883392</v>
      </c>
      <c r="V31" s="582">
        <f t="shared" si="23"/>
        <v>129.96254387192246</v>
      </c>
      <c r="W31" s="555">
        <f t="shared" si="24"/>
        <v>0.21931736435490268</v>
      </c>
      <c r="X31" s="559">
        <f t="shared" si="25"/>
        <v>37.9060089869281</v>
      </c>
      <c r="Y31" s="582">
        <f t="shared" si="26"/>
        <v>8.3134459842263251</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2873.6030334894413</v>
      </c>
      <c r="I32" s="553">
        <f>ITECountywide!$B$9*E32</f>
        <v>4.7127093644572007</v>
      </c>
      <c r="J32" s="562">
        <f t="shared" si="14"/>
        <v>1.67</v>
      </c>
      <c r="K32" s="416">
        <f t="shared" si="15"/>
        <v>0.85662549911783825</v>
      </c>
      <c r="L32" s="554">
        <f>Passby_Length_Adj!H27</f>
        <v>1</v>
      </c>
      <c r="M32" s="554">
        <f>Passby_Length_Adj!J27</f>
        <v>1</v>
      </c>
      <c r="N32" s="416">
        <v>0.5</v>
      </c>
      <c r="O32" s="546">
        <f t="shared" si="16"/>
        <v>0.5</v>
      </c>
      <c r="P32" s="555">
        <f t="shared" si="17"/>
        <v>17.703990097774806</v>
      </c>
      <c r="Q32" s="556">
        <f t="shared" si="18"/>
        <v>10.601191675314256</v>
      </c>
      <c r="R32" s="557">
        <f t="shared" si="19"/>
        <v>254.27556818181819</v>
      </c>
      <c r="S32" s="582">
        <f t="shared" si="20"/>
        <v>2695.6240366448933</v>
      </c>
      <c r="T32" s="555">
        <f t="shared" si="21"/>
        <v>1.082674526404821</v>
      </c>
      <c r="U32" s="563">
        <f t="shared" si="22"/>
        <v>154.50490219883392</v>
      </c>
      <c r="V32" s="583">
        <f t="shared" si="23"/>
        <v>167.2785218153457</v>
      </c>
      <c r="W32" s="555">
        <f t="shared" si="24"/>
        <v>0.28228967689244899</v>
      </c>
      <c r="X32" s="563">
        <f t="shared" si="25"/>
        <v>37.9060089869281</v>
      </c>
      <c r="Y32" s="583">
        <f t="shared" si="26"/>
        <v>10.700475029202201</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2652.5566462979455</v>
      </c>
      <c r="I33" s="553">
        <f>ITECountywide!$B$9*E33</f>
        <v>4.3501932594989539</v>
      </c>
      <c r="J33" s="562">
        <f t="shared" si="14"/>
        <v>1.67</v>
      </c>
      <c r="K33" s="416">
        <f t="shared" si="15"/>
        <v>0.85662549911783825</v>
      </c>
      <c r="L33" s="554">
        <f>Passby_Length_Adj!H28</f>
        <v>1</v>
      </c>
      <c r="M33" s="554">
        <f>Passby_Length_Adj!J28</f>
        <v>1</v>
      </c>
      <c r="N33" s="416">
        <v>0.5</v>
      </c>
      <c r="O33" s="546">
        <f t="shared" si="16"/>
        <v>0.5</v>
      </c>
      <c r="P33" s="555">
        <f t="shared" si="17"/>
        <v>16.34214470563828</v>
      </c>
      <c r="Q33" s="556">
        <f t="shared" si="18"/>
        <v>9.7857153925977727</v>
      </c>
      <c r="R33" s="557">
        <f t="shared" si="19"/>
        <v>254.27556818181819</v>
      </c>
      <c r="S33" s="582">
        <f t="shared" si="20"/>
        <v>2488.2683415183628</v>
      </c>
      <c r="T33" s="555">
        <f t="shared" si="21"/>
        <v>0.99939187052752709</v>
      </c>
      <c r="U33" s="559">
        <f t="shared" si="22"/>
        <v>154.50490219883392</v>
      </c>
      <c r="V33" s="582">
        <f t="shared" si="23"/>
        <v>154.41094321416526</v>
      </c>
      <c r="W33" s="555">
        <f t="shared" si="24"/>
        <v>0.26057508636226057</v>
      </c>
      <c r="X33" s="559">
        <f t="shared" si="25"/>
        <v>37.9060089869281</v>
      </c>
      <c r="Y33" s="582">
        <f t="shared" si="26"/>
        <v>9.8773615654174147</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9538.1516073130297</v>
      </c>
      <c r="I34" s="553">
        <f>ITECountywide!$B$9*E34</f>
        <v>15.642569928948324</v>
      </c>
      <c r="J34" s="562">
        <f t="shared" si="14"/>
        <v>1.67</v>
      </c>
      <c r="K34" s="416">
        <f t="shared" si="15"/>
        <v>0.85662549911783825</v>
      </c>
      <c r="L34" s="554">
        <f>Passby_Length_Adj!H29</f>
        <v>1</v>
      </c>
      <c r="M34" s="554">
        <f>Passby_Length_Adj!J29</f>
        <v>1</v>
      </c>
      <c r="N34" s="416">
        <v>0.5</v>
      </c>
      <c r="O34" s="546">
        <f t="shared" si="16"/>
        <v>0.5</v>
      </c>
      <c r="P34" s="555">
        <f t="shared" si="17"/>
        <v>58.763628670690991</v>
      </c>
      <c r="Q34" s="556">
        <f t="shared" si="18"/>
        <v>35.187801599216165</v>
      </c>
      <c r="R34" s="557">
        <f t="shared" si="19"/>
        <v>254.27556818181819</v>
      </c>
      <c r="S34" s="582">
        <f t="shared" si="20"/>
        <v>8947.3982447097806</v>
      </c>
      <c r="T34" s="555">
        <f t="shared" si="21"/>
        <v>3.5936466011052333</v>
      </c>
      <c r="U34" s="559">
        <f t="shared" si="22"/>
        <v>154.50490219883392</v>
      </c>
      <c r="V34" s="582">
        <f t="shared" si="23"/>
        <v>555.23601664093599</v>
      </c>
      <c r="W34" s="555">
        <f t="shared" si="24"/>
        <v>0.93698458137762886</v>
      </c>
      <c r="X34" s="559">
        <f t="shared" si="25"/>
        <v>37.9060089869281</v>
      </c>
      <c r="Y34" s="582">
        <f t="shared" si="26"/>
        <v>35.517345962313463</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8653.9660585470483</v>
      </c>
      <c r="I35" s="553">
        <f>ITECountywide!$B$9*E35</f>
        <v>14.192505509115339</v>
      </c>
      <c r="J35" s="562">
        <f t="shared" si="14"/>
        <v>1.67</v>
      </c>
      <c r="K35" s="416">
        <f t="shared" si="15"/>
        <v>0.85662549911783825</v>
      </c>
      <c r="L35" s="554">
        <f>Passby_Length_Adj!H30</f>
        <v>1</v>
      </c>
      <c r="M35" s="554">
        <f>Passby_Length_Adj!J30</f>
        <v>1</v>
      </c>
      <c r="N35" s="416">
        <v>0.5</v>
      </c>
      <c r="O35" s="546">
        <f t="shared" si="16"/>
        <v>0.5</v>
      </c>
      <c r="P35" s="555">
        <f t="shared" si="17"/>
        <v>53.316247102144892</v>
      </c>
      <c r="Q35" s="556">
        <f t="shared" si="18"/>
        <v>31.925896468350235</v>
      </c>
      <c r="R35" s="561">
        <f t="shared" si="19"/>
        <v>254.27556818181819</v>
      </c>
      <c r="S35" s="582">
        <f t="shared" si="20"/>
        <v>8117.9754642036587</v>
      </c>
      <c r="T35" s="555">
        <f t="shared" si="21"/>
        <v>3.2605159775960573</v>
      </c>
      <c r="U35" s="559">
        <f t="shared" si="22"/>
        <v>154.50490219883392</v>
      </c>
      <c r="V35" s="582">
        <f t="shared" si="23"/>
        <v>503.76570223621417</v>
      </c>
      <c r="W35" s="555">
        <f t="shared" si="24"/>
        <v>0.85012621925687515</v>
      </c>
      <c r="X35" s="559">
        <f t="shared" si="25"/>
        <v>37.9060089869281</v>
      </c>
      <c r="Y35" s="582">
        <f t="shared" si="26"/>
        <v>32.22489210717432</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9239.7389846045098</v>
      </c>
      <c r="I37" s="553">
        <f>ITECountywide!$B$9*E37</f>
        <v>15.153173187254691</v>
      </c>
      <c r="J37" s="562">
        <f>IF(F37="Prod",$M$3,$M$4)</f>
        <v>1.67</v>
      </c>
      <c r="K37" s="416">
        <f>IF(F37="Prod",$F$4,$F$5)</f>
        <v>0.85662549911783825</v>
      </c>
      <c r="L37" s="554">
        <f>Passby_Length_Adj!H32</f>
        <v>1</v>
      </c>
      <c r="M37" s="554">
        <f>Passby_Length_Adj!J32</f>
        <v>1</v>
      </c>
      <c r="N37" s="416">
        <v>0.5</v>
      </c>
      <c r="O37" s="546">
        <f>L37*M37*N37</f>
        <v>0.5</v>
      </c>
      <c r="P37" s="555">
        <f>IF($F37="Prod",$I37*$O37*$F$4*$F$6,$I37*O37*$F$5*$F$7)</f>
        <v>56.925137391306684</v>
      </c>
      <c r="Q37" s="556">
        <f>+P37/J37</f>
        <v>34.086908617548914</v>
      </c>
      <c r="R37" s="561">
        <f>+$Q$4</f>
        <v>254.27556818181819</v>
      </c>
      <c r="S37" s="582">
        <f>+Q37*R37</f>
        <v>8667.4680562889644</v>
      </c>
      <c r="T37" s="555">
        <f>IF($F37="Prod",$I37*$O37*$G$4*$G$6,$I37*$O37*$G$5*$G$7)</f>
        <v>3.4812150156708861</v>
      </c>
      <c r="U37" s="559">
        <f>+$R$4</f>
        <v>154.50490219883392</v>
      </c>
      <c r="V37" s="582">
        <f>+T37*U37</f>
        <v>537.86478552934238</v>
      </c>
      <c r="W37" s="555">
        <f>IF($F37="Prod",$I37*$O37*$J$4*$J$6,$I37*$O37*$J$5*$J$7)</f>
        <v>0.90766988416187433</v>
      </c>
      <c r="X37" s="559">
        <f>$S$4</f>
        <v>37.9060089869281</v>
      </c>
      <c r="Y37" s="582">
        <f>+W37*X37</f>
        <v>34.406142786203993</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4929.3344343703493</v>
      </c>
      <c r="I38" s="553">
        <f>ITECountywide!$B$9*E38</f>
        <v>8.0841091405688896</v>
      </c>
      <c r="J38" s="562">
        <f>IF(F38="Prod",$M$3,$M$4)</f>
        <v>1.67</v>
      </c>
      <c r="K38" s="416">
        <f>IF(F38="Prod",$F$4,$F$5)</f>
        <v>0.85662549911783825</v>
      </c>
      <c r="L38" s="554">
        <f>Passby_Length_Adj!H33</f>
        <v>1</v>
      </c>
      <c r="M38" s="554">
        <f>Passby_Length_Adj!J33</f>
        <v>1</v>
      </c>
      <c r="N38" s="416">
        <v>0.5</v>
      </c>
      <c r="O38" s="546">
        <f>L38*M38*N38</f>
        <v>0.5</v>
      </c>
      <c r="P38" s="555">
        <f>IF($F38="Prod",$I38*$O38*$F$4*$F$6,$I38*O38*$F$5*$F$7)</f>
        <v>30.369152244644471</v>
      </c>
      <c r="Q38" s="556">
        <f>+P38/J38</f>
        <v>18.185121104577529</v>
      </c>
      <c r="R38" s="561">
        <f>+$Q$4</f>
        <v>254.27556818181819</v>
      </c>
      <c r="S38" s="582">
        <f>+Q38*R38</f>
        <v>4624.0320013216242</v>
      </c>
      <c r="T38" s="555">
        <f>IF($F38="Prod",$I38*$O38*$G$4*$G$6,$I38*$O38*$G$5*$G$7)</f>
        <v>1.8572032260636546</v>
      </c>
      <c r="U38" s="559">
        <f>+$R$4</f>
        <v>154.50490219883392</v>
      </c>
      <c r="V38" s="582">
        <f>+T38*U38</f>
        <v>286.94700280632378</v>
      </c>
      <c r="W38" s="555">
        <f>IF($F38="Prod",$I38*$O38*$J$4*$J$6,$I38*$O38*$J$5*$J$7)</f>
        <v>0.4842353688232009</v>
      </c>
      <c r="X38" s="559">
        <f>$S$4</f>
        <v>37.9060089869281</v>
      </c>
      <c r="Y38" s="582">
        <f>+W38*X38</f>
        <v>18.355430242400697</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3702.5269854575495</v>
      </c>
      <c r="I39" s="553">
        <f>ITECountywide!$B$9*E39</f>
        <v>6.0721447580506238</v>
      </c>
      <c r="J39" s="562">
        <f>IF(F39="Prod",$M$3,$M$4)</f>
        <v>1.67</v>
      </c>
      <c r="K39" s="416">
        <f>IF(F39="Prod",$F$4,$F$5)</f>
        <v>0.85662549911783825</v>
      </c>
      <c r="L39" s="554">
        <f>Passby_Length_Adj!H34</f>
        <v>1</v>
      </c>
      <c r="M39" s="554">
        <f>Passby_Length_Adj!J34</f>
        <v>1</v>
      </c>
      <c r="N39" s="416">
        <v>0.5</v>
      </c>
      <c r="O39" s="546">
        <f>L39*M39*N39</f>
        <v>0.5</v>
      </c>
      <c r="P39" s="555">
        <f>IF($F39="Prod",$I39*$O39*$F$4*$F$6,$I39*O39*$F$5*$F$7)</f>
        <v>22.810910318286769</v>
      </c>
      <c r="Q39" s="556">
        <f>+P39/J39</f>
        <v>13.659227735501061</v>
      </c>
      <c r="R39" s="561">
        <f>+$Q$4</f>
        <v>254.27556818181819</v>
      </c>
      <c r="S39" s="582">
        <f>+Q39*R39</f>
        <v>3473.207893369382</v>
      </c>
      <c r="T39" s="555">
        <f>IF($F39="Prod",$I39*$O39*$G$4*$G$6,$I39*$O39*$G$5*$G$7)</f>
        <v>1.3949844859446734</v>
      </c>
      <c r="U39" s="559">
        <f>+$R$4</f>
        <v>154.50490219883392</v>
      </c>
      <c r="V39" s="582">
        <f>+T39*U39</f>
        <v>215.53194156977236</v>
      </c>
      <c r="W39" s="555">
        <f>IF($F39="Prod",$I39*$O39*$J$4*$J$6,$I39*$O39*$J$5*$J$7)</f>
        <v>0.3637193913806554</v>
      </c>
      <c r="X39" s="559">
        <f>$S$4</f>
        <v>37.9060089869281</v>
      </c>
      <c r="Y39" s="582">
        <f>+W39*X39</f>
        <v>13.787150518395142</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4443.0323825490595</v>
      </c>
      <c r="I40" s="553">
        <f>ITECountywide!$B$9*E40</f>
        <v>7.2865737096607477</v>
      </c>
      <c r="J40" s="562">
        <f>IF(F40="Prod",$M$3,$M$4)</f>
        <v>1.67</v>
      </c>
      <c r="K40" s="416">
        <f>IF(F40="Prod",$F$4,$F$5)</f>
        <v>0.85662549911783825</v>
      </c>
      <c r="L40" s="554">
        <f>Passby_Length_Adj!H35</f>
        <v>1</v>
      </c>
      <c r="M40" s="554">
        <f>Passby_Length_Adj!J35</f>
        <v>1</v>
      </c>
      <c r="N40" s="416">
        <v>0.5</v>
      </c>
      <c r="O40" s="546">
        <f>L40*M40*N40</f>
        <v>0.5</v>
      </c>
      <c r="P40" s="555">
        <f>IF($F40="Prod",$I40*$O40*$F$4*$F$6,$I40*O40*$F$5*$F$7)</f>
        <v>27.373092381944122</v>
      </c>
      <c r="Q40" s="556">
        <f>+P40/J40</f>
        <v>16.391073282601273</v>
      </c>
      <c r="R40" s="561">
        <f>+$Q$4</f>
        <v>254.27556818181819</v>
      </c>
      <c r="S40" s="582">
        <f>+Q40*R40</f>
        <v>4167.8494720432582</v>
      </c>
      <c r="T40" s="555">
        <f>IF($F40="Prod",$I40*$O40*$G$4*$G$6,$I40*$O40*$G$5*$G$7)</f>
        <v>1.6739813831336077</v>
      </c>
      <c r="U40" s="559">
        <f>+$R$4</f>
        <v>154.50490219883392</v>
      </c>
      <c r="V40" s="582">
        <f>+T40*U40</f>
        <v>258.63832988372678</v>
      </c>
      <c r="W40" s="555">
        <f>IF($F40="Prod",$I40*$O40*$J$4*$J$6,$I40*$O40*$J$5*$J$7)</f>
        <v>0.43646326965678645</v>
      </c>
      <c r="X40" s="559">
        <f>$S$4</f>
        <v>37.9060089869281</v>
      </c>
      <c r="Y40" s="582">
        <f>+W40*X40</f>
        <v>16.544580622074168</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1173.8073061055763</v>
      </c>
      <c r="I42" s="553">
        <f>ITECountywide!$B$9*E42</f>
        <v>4.368319064746867</v>
      </c>
      <c r="J42" s="562">
        <f t="shared" ref="J42:J50" si="27">IF(F42="Prod",$M$3,$M$4)</f>
        <v>1.67</v>
      </c>
      <c r="K42" s="416">
        <f t="shared" ref="K42:K50" si="28">IF(F42="Prod",$F$4,$F$5)</f>
        <v>0.85658336747234742</v>
      </c>
      <c r="L42" s="554">
        <f>Passby_Length_Adj!H37</f>
        <v>0.4404979999697734</v>
      </c>
      <c r="M42" s="554">
        <f>Passby_Length_Adj!J37</f>
        <v>1</v>
      </c>
      <c r="N42" s="416">
        <v>0.5</v>
      </c>
      <c r="O42" s="546">
        <f t="shared" ref="O42:O50" si="29">L42*M42*N42</f>
        <v>0.2202489999848867</v>
      </c>
      <c r="P42" s="555">
        <f t="shared" ref="P42:P50" si="30">IF($F42="Prod",$I42*$O42*$F$4*$F$6,$I42*O42*$F$5*$F$7)</f>
        <v>7.218987664391225</v>
      </c>
      <c r="Q42" s="556">
        <f t="shared" ref="Q42:Q50" si="31">+P42/J42</f>
        <v>4.3227471044258836</v>
      </c>
      <c r="R42" s="557">
        <f t="shared" ref="R42:R50" si="32">+$Q$4</f>
        <v>254.27556818181819</v>
      </c>
      <c r="S42" s="582">
        <f t="shared" ref="S42:S50" si="33">+Q42*R42</f>
        <v>1099.1689760842009</v>
      </c>
      <c r="T42" s="555">
        <f t="shared" ref="T42:T50" si="34">IF($F42="Prod",$I42*$O42*$G$4*$G$6,$I42*$O42*$G$5*$G$7)</f>
        <v>0.45488098981918762</v>
      </c>
      <c r="U42" s="559">
        <f t="shared" ref="U42:U50" si="35">+$R$4</f>
        <v>154.50490219883392</v>
      </c>
      <c r="V42" s="583">
        <f t="shared" ref="V42:V50" si="36">+T42*U42</f>
        <v>70.281342844122349</v>
      </c>
      <c r="W42" s="555">
        <f t="shared" ref="W42:W50" si="37">IF($F42="Prod",$I42*$O42*$J$4*$J$6,$I42*$O42*$J$5*$J$7)</f>
        <v>0.11494185997675452</v>
      </c>
      <c r="X42" s="563">
        <f t="shared" ref="X42:X50" si="38">$S$4</f>
        <v>37.9060089869281</v>
      </c>
      <c r="Y42" s="583">
        <f t="shared" ref="Y42:Y50" si="39">+W42*X42</f>
        <v>4.3569871772530879</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14796.790854559089</v>
      </c>
      <c r="I43" s="553">
        <f>ITECountywide!$B$9*E43</f>
        <v>55.066196343157593</v>
      </c>
      <c r="J43" s="562">
        <f t="shared" si="27"/>
        <v>1.67</v>
      </c>
      <c r="K43" s="416">
        <f t="shared" si="28"/>
        <v>0.85658336747234742</v>
      </c>
      <c r="L43" s="554">
        <f>Passby_Length_Adj!H38</f>
        <v>0.4404979999697734</v>
      </c>
      <c r="M43" s="554">
        <f>Passby_Length_Adj!J38</f>
        <v>1</v>
      </c>
      <c r="N43" s="416">
        <v>0.5</v>
      </c>
      <c r="O43" s="546">
        <f t="shared" si="29"/>
        <v>0.2202489999848867</v>
      </c>
      <c r="P43" s="555">
        <f t="shared" si="30"/>
        <v>91.001180599255349</v>
      </c>
      <c r="Q43" s="556">
        <f t="shared" si="31"/>
        <v>54.491724909733747</v>
      </c>
      <c r="R43" s="557">
        <f t="shared" si="32"/>
        <v>254.27556818181819</v>
      </c>
      <c r="S43" s="582">
        <f t="shared" si="33"/>
        <v>13855.914312629884</v>
      </c>
      <c r="T43" s="555">
        <f t="shared" si="34"/>
        <v>5.7341429339032848</v>
      </c>
      <c r="U43" s="559">
        <f t="shared" si="35"/>
        <v>154.50490219883392</v>
      </c>
      <c r="V43" s="583">
        <f t="shared" si="36"/>
        <v>885.95319319686155</v>
      </c>
      <c r="W43" s="555">
        <f t="shared" si="37"/>
        <v>1.448935147756764</v>
      </c>
      <c r="X43" s="563">
        <f t="shared" si="38"/>
        <v>37.9060089869281</v>
      </c>
      <c r="Y43" s="583">
        <f t="shared" si="39"/>
        <v>54.923348732343889</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38034.279059661603</v>
      </c>
      <c r="I44" s="553">
        <f>ITECountywide!$B$9*E44</f>
        <v>141.54441318094723</v>
      </c>
      <c r="J44" s="562">
        <f t="shared" si="27"/>
        <v>1.67</v>
      </c>
      <c r="K44" s="416">
        <f t="shared" si="28"/>
        <v>0.85658336747234742</v>
      </c>
      <c r="L44" s="554">
        <f>Passby_Length_Adj!H39</f>
        <v>0.4404979999697734</v>
      </c>
      <c r="M44" s="554">
        <f>Passby_Length_Adj!J39</f>
        <v>1</v>
      </c>
      <c r="N44" s="416">
        <v>0.5</v>
      </c>
      <c r="O44" s="546">
        <f t="shared" si="29"/>
        <v>0.2202489999848867</v>
      </c>
      <c r="P44" s="555">
        <f t="shared" si="30"/>
        <v>233.91317290967251</v>
      </c>
      <c r="Q44" s="556">
        <f t="shared" si="31"/>
        <v>140.06776820938475</v>
      </c>
      <c r="R44" s="557">
        <f t="shared" si="32"/>
        <v>254.27556818181819</v>
      </c>
      <c r="S44" s="582">
        <f t="shared" si="33"/>
        <v>35615.811345400522</v>
      </c>
      <c r="T44" s="555">
        <f t="shared" si="34"/>
        <v>14.739276553933758</v>
      </c>
      <c r="U44" s="559">
        <f t="shared" si="35"/>
        <v>154.50490219883392</v>
      </c>
      <c r="V44" s="582">
        <f t="shared" si="36"/>
        <v>2277.2904824471011</v>
      </c>
      <c r="W44" s="555">
        <f t="shared" si="37"/>
        <v>3.7244024255538419</v>
      </c>
      <c r="X44" s="559">
        <f t="shared" si="38"/>
        <v>37.9060089869281</v>
      </c>
      <c r="Y44" s="582">
        <f t="shared" si="39"/>
        <v>141.17723181398074</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107152.53416731401</v>
      </c>
      <c r="I45" s="553">
        <f>ITECountywide!$B$9*E45</f>
        <v>398.76771545407081</v>
      </c>
      <c r="J45" s="562">
        <f t="shared" si="27"/>
        <v>1.67</v>
      </c>
      <c r="K45" s="416">
        <f t="shared" si="28"/>
        <v>0.85658336747234742</v>
      </c>
      <c r="L45" s="554">
        <f>Passby_Length_Adj!H40</f>
        <v>0.4404979999697734</v>
      </c>
      <c r="M45" s="554">
        <f>Passby_Length_Adj!J40</f>
        <v>1</v>
      </c>
      <c r="N45" s="416">
        <v>0.5</v>
      </c>
      <c r="O45" s="546">
        <f t="shared" si="29"/>
        <v>0.2202489999848867</v>
      </c>
      <c r="P45" s="555">
        <f t="shared" si="30"/>
        <v>658.99472455023624</v>
      </c>
      <c r="Q45" s="556">
        <f t="shared" si="31"/>
        <v>394.60761949115943</v>
      </c>
      <c r="R45" s="557">
        <f t="shared" si="32"/>
        <v>254.27556818181819</v>
      </c>
      <c r="S45" s="582">
        <f t="shared" si="33"/>
        <v>100339.07665498927</v>
      </c>
      <c r="T45" s="555">
        <f t="shared" si="34"/>
        <v>41.524405709635381</v>
      </c>
      <c r="U45" s="559">
        <f t="shared" si="35"/>
        <v>154.50490219883392</v>
      </c>
      <c r="V45" s="583">
        <f t="shared" si="36"/>
        <v>6415.7242430319156</v>
      </c>
      <c r="W45" s="555">
        <f t="shared" si="37"/>
        <v>10.492617923189206</v>
      </c>
      <c r="X45" s="563">
        <f t="shared" si="38"/>
        <v>37.9060089869281</v>
      </c>
      <c r="Y45" s="583">
        <f t="shared" si="39"/>
        <v>397.73326929281291</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26013.712953982918</v>
      </c>
      <c r="I46" s="553">
        <f>ITECountywide!$B$9*E46</f>
        <v>96.80992582909964</v>
      </c>
      <c r="J46" s="562">
        <f t="shared" si="27"/>
        <v>1.67</v>
      </c>
      <c r="K46" s="416">
        <f t="shared" si="28"/>
        <v>0.85658336747234742</v>
      </c>
      <c r="L46" s="554">
        <f>Passby_Length_Adj!H41</f>
        <v>0.4404979999697734</v>
      </c>
      <c r="M46" s="554">
        <f>Passby_Length_Adj!J41</f>
        <v>1</v>
      </c>
      <c r="N46" s="416">
        <v>0.5</v>
      </c>
      <c r="O46" s="546">
        <f t="shared" si="29"/>
        <v>0.2202489999848867</v>
      </c>
      <c r="P46" s="555">
        <f t="shared" si="30"/>
        <v>159.98594653740054</v>
      </c>
      <c r="Q46" s="556">
        <f t="shared" si="31"/>
        <v>95.799967986467394</v>
      </c>
      <c r="R46" s="557">
        <f t="shared" si="32"/>
        <v>254.27556818181819</v>
      </c>
      <c r="S46" s="582">
        <f t="shared" si="33"/>
        <v>24359.591291558991</v>
      </c>
      <c r="T46" s="555">
        <f t="shared" si="34"/>
        <v>10.080993222507388</v>
      </c>
      <c r="U46" s="559">
        <f t="shared" si="35"/>
        <v>154.50490219883392</v>
      </c>
      <c r="V46" s="583">
        <f t="shared" si="36"/>
        <v>1557.5628719106116</v>
      </c>
      <c r="W46" s="555">
        <f t="shared" si="37"/>
        <v>2.5473214694433435</v>
      </c>
      <c r="X46" s="563">
        <f t="shared" si="38"/>
        <v>37.9060089869281</v>
      </c>
      <c r="Y46" s="583">
        <f t="shared" si="39"/>
        <v>96.558790513314278</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14767.567436149824</v>
      </c>
      <c r="I47" s="553">
        <f>ITECountywide!$B$9*E47</f>
        <v>54.957441511670126</v>
      </c>
      <c r="J47" s="562">
        <f t="shared" si="27"/>
        <v>1.67</v>
      </c>
      <c r="K47" s="416">
        <f t="shared" si="28"/>
        <v>0.85658336747234742</v>
      </c>
      <c r="L47" s="554">
        <f>Passby_Length_Adj!H42</f>
        <v>0.4404979999697734</v>
      </c>
      <c r="M47" s="554">
        <f>Passby_Length_Adj!J42</f>
        <v>1</v>
      </c>
      <c r="N47" s="416">
        <v>0.5</v>
      </c>
      <c r="O47" s="546">
        <f t="shared" si="29"/>
        <v>0.2202489999848867</v>
      </c>
      <c r="P47" s="555">
        <f t="shared" si="30"/>
        <v>90.821454765287115</v>
      </c>
      <c r="Q47" s="556">
        <f t="shared" si="31"/>
        <v>54.384104649872526</v>
      </c>
      <c r="R47" s="557">
        <f t="shared" si="32"/>
        <v>254.27556818181819</v>
      </c>
      <c r="S47" s="582">
        <f t="shared" si="33"/>
        <v>13828.549109905796</v>
      </c>
      <c r="T47" s="555">
        <f t="shared" si="34"/>
        <v>5.7228180959824755</v>
      </c>
      <c r="U47" s="559">
        <f t="shared" si="35"/>
        <v>154.50490219883392</v>
      </c>
      <c r="V47" s="583">
        <f t="shared" si="36"/>
        <v>884.20345022148933</v>
      </c>
      <c r="W47" s="555">
        <f t="shared" si="37"/>
        <v>1.4460735246868033</v>
      </c>
      <c r="X47" s="563">
        <f t="shared" si="38"/>
        <v>37.9060089869281</v>
      </c>
      <c r="Y47" s="583">
        <f t="shared" si="39"/>
        <v>54.814876022536758</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18849.104873977518</v>
      </c>
      <c r="I48" s="553">
        <f>ITECountywide!$B$9*E48</f>
        <v>70.146866309420645</v>
      </c>
      <c r="J48" s="562">
        <f t="shared" si="27"/>
        <v>1.67</v>
      </c>
      <c r="K48" s="416">
        <f t="shared" si="28"/>
        <v>0.85658336747234742</v>
      </c>
      <c r="L48" s="554">
        <f>Passby_Length_Adj!H43</f>
        <v>0.4404979999697734</v>
      </c>
      <c r="M48" s="554">
        <f>Passby_Length_Adj!J43</f>
        <v>1</v>
      </c>
      <c r="N48" s="416">
        <v>0.5</v>
      </c>
      <c r="O48" s="546">
        <f t="shared" si="29"/>
        <v>0.2202489999848867</v>
      </c>
      <c r="P48" s="555">
        <f t="shared" si="30"/>
        <v>115.92316290951885</v>
      </c>
      <c r="Q48" s="556">
        <f t="shared" si="31"/>
        <v>69.41506761049034</v>
      </c>
      <c r="R48" s="557">
        <f t="shared" si="32"/>
        <v>254.27556818181819</v>
      </c>
      <c r="S48" s="582">
        <f t="shared" si="33"/>
        <v>17650.555757036756</v>
      </c>
      <c r="T48" s="555">
        <f t="shared" si="34"/>
        <v>7.3045204589222239</v>
      </c>
      <c r="U48" s="559">
        <f t="shared" si="35"/>
        <v>154.50490219883392</v>
      </c>
      <c r="V48" s="583">
        <f t="shared" si="36"/>
        <v>1128.5842191151596</v>
      </c>
      <c r="W48" s="555">
        <f t="shared" si="37"/>
        <v>1.845746880124647</v>
      </c>
      <c r="X48" s="563">
        <f t="shared" si="38"/>
        <v>37.9060089869281</v>
      </c>
      <c r="Y48" s="583">
        <f t="shared" si="39"/>
        <v>69.96489782559938</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1957.9690334209199</v>
      </c>
      <c r="I49" s="553">
        <f>ITECountywide!$B$9*E49</f>
        <v>7.2865737096607477</v>
      </c>
      <c r="J49" s="562">
        <f t="shared" si="27"/>
        <v>1.67</v>
      </c>
      <c r="K49" s="416">
        <f t="shared" si="28"/>
        <v>0.85658336747234742</v>
      </c>
      <c r="L49" s="554">
        <f>Passby_Length_Adj!H44</f>
        <v>0.4404979999697734</v>
      </c>
      <c r="M49" s="554">
        <f>Passby_Length_Adj!J44</f>
        <v>1</v>
      </c>
      <c r="N49" s="416">
        <v>0.5</v>
      </c>
      <c r="O49" s="546">
        <f t="shared" si="29"/>
        <v>0.2202489999848867</v>
      </c>
      <c r="P49" s="555">
        <f t="shared" si="30"/>
        <v>12.041630875872499</v>
      </c>
      <c r="Q49" s="556">
        <f t="shared" si="31"/>
        <v>7.210557410702096</v>
      </c>
      <c r="R49" s="561">
        <f t="shared" si="32"/>
        <v>254.27556818181819</v>
      </c>
      <c r="S49" s="583">
        <f t="shared" si="33"/>
        <v>1833.4685825138952</v>
      </c>
      <c r="T49" s="555">
        <f t="shared" si="34"/>
        <v>0.75876414069424636</v>
      </c>
      <c r="U49" s="559">
        <f t="shared" si="35"/>
        <v>154.50490219883392</v>
      </c>
      <c r="V49" s="582">
        <f t="shared" si="36"/>
        <v>117.2327793499468</v>
      </c>
      <c r="W49" s="555">
        <f t="shared" si="37"/>
        <v>0.19172874568736636</v>
      </c>
      <c r="X49" s="559">
        <f t="shared" si="38"/>
        <v>37.9060089869281</v>
      </c>
      <c r="Y49" s="582">
        <f t="shared" si="39"/>
        <v>7.2676715570777617</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14036.981975918137</v>
      </c>
      <c r="I50" s="553">
        <f>ITECountywide!$B$9*E50</f>
        <v>52.238570724483274</v>
      </c>
      <c r="J50" s="562">
        <f t="shared" si="27"/>
        <v>1.67</v>
      </c>
      <c r="K50" s="416">
        <f t="shared" si="28"/>
        <v>0.85658336747234742</v>
      </c>
      <c r="L50" s="554">
        <f>Passby_Length_Adj!H45</f>
        <v>0.4404979999697734</v>
      </c>
      <c r="M50" s="554">
        <f>Passby_Length_Adj!J45</f>
        <v>1</v>
      </c>
      <c r="N50" s="416">
        <v>0.5</v>
      </c>
      <c r="O50" s="546">
        <f t="shared" si="29"/>
        <v>0.2202489999848867</v>
      </c>
      <c r="P50" s="555">
        <f t="shared" si="30"/>
        <v>86.328308916080957</v>
      </c>
      <c r="Q50" s="556">
        <f t="shared" si="31"/>
        <v>51.693598153341895</v>
      </c>
      <c r="R50" s="561">
        <f t="shared" si="32"/>
        <v>254.27556818181819</v>
      </c>
      <c r="S50" s="583">
        <f t="shared" si="33"/>
        <v>13144.419041803598</v>
      </c>
      <c r="T50" s="555">
        <f t="shared" si="34"/>
        <v>5.4396971479622342</v>
      </c>
      <c r="U50" s="559">
        <f t="shared" si="35"/>
        <v>154.50490219883392</v>
      </c>
      <c r="V50" s="582">
        <f t="shared" si="36"/>
        <v>840.45987583718079</v>
      </c>
      <c r="W50" s="555">
        <f t="shared" si="37"/>
        <v>1.3745329479377859</v>
      </c>
      <c r="X50" s="559">
        <f t="shared" si="38"/>
        <v>37.9060089869281</v>
      </c>
      <c r="Y50" s="582">
        <f t="shared" si="39"/>
        <v>52.103058277358485</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2089.7658558156713</v>
      </c>
      <c r="I52" s="553">
        <f>ITECountywide!$B$9*E52</f>
        <v>3.4257771918554263</v>
      </c>
      <c r="J52" s="562">
        <f t="shared" ref="J52:J60" si="40">IF(F52="Prod",$M$3,$M$4)</f>
        <v>1.67</v>
      </c>
      <c r="K52" s="416">
        <f t="shared" ref="K52:K60" si="41">IF(F52="Prod",$F$4,$F$5)</f>
        <v>0.85658336747234742</v>
      </c>
      <c r="L52" s="554">
        <f>Passby_Length_Adj!H47</f>
        <v>1</v>
      </c>
      <c r="M52" s="554">
        <f>Passby_Length_Adj!J47</f>
        <v>1</v>
      </c>
      <c r="N52" s="416">
        <v>0.5</v>
      </c>
      <c r="O52" s="546">
        <f t="shared" ref="O52:O60" si="42">L52*M52*N52</f>
        <v>0.5</v>
      </c>
      <c r="P52" s="555">
        <f t="shared" ref="P52:P60" si="43">IF($F52="Prod",$I52*$O52*$F$4*$F$6,$I52*O52*$F$5*$F$7)</f>
        <v>12.852189500039128</v>
      </c>
      <c r="Q52" s="556">
        <f t="shared" ref="Q52:Q60" si="44">+P52/J52</f>
        <v>7.6959218563108553</v>
      </c>
      <c r="R52" s="557">
        <f t="shared" ref="R52:R60" si="45">+$Q$4</f>
        <v>254.27556818181819</v>
      </c>
      <c r="S52" s="582">
        <f t="shared" ref="S52:S60" si="46">+Q52*R52</f>
        <v>1956.8849026963157</v>
      </c>
      <c r="T52" s="555">
        <f t="shared" ref="T52:T60" si="47">IF($F52="Prod",$I52*$O52*$G$4*$G$6,$I52*$O52*$G$5*$G$7)</f>
        <v>0.80983885177681303</v>
      </c>
      <c r="U52" s="563">
        <f t="shared" ref="U52:U60" si="48">+$R$4</f>
        <v>154.50490219883392</v>
      </c>
      <c r="V52" s="583">
        <f t="shared" ref="V52:V60" si="49">+T52*U52</f>
        <v>125.12407259059245</v>
      </c>
      <c r="W52" s="555">
        <f t="shared" ref="W52:W60" si="50">IF($F52="Prod",$I52*$O52*$J$4*$J$6,$I52*$O52*$J$5*$J$7)</f>
        <v>0.20463458792082423</v>
      </c>
      <c r="X52" s="563">
        <f t="shared" ref="X52:X60" si="51">$S$4</f>
        <v>37.9060089869281</v>
      </c>
      <c r="Y52" s="583">
        <f t="shared" ref="Y52:Y60" si="52">+W52*X52</f>
        <v>7.7568805287630918</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2244.5633266168315</v>
      </c>
      <c r="I53" s="553">
        <f>ITECountywide!$B$9*E53</f>
        <v>3.6795384653261984</v>
      </c>
      <c r="J53" s="562">
        <f t="shared" si="40"/>
        <v>1.67</v>
      </c>
      <c r="K53" s="416">
        <f t="shared" si="41"/>
        <v>0.85658336747234742</v>
      </c>
      <c r="L53" s="554">
        <f>Passby_Length_Adj!H48</f>
        <v>1</v>
      </c>
      <c r="M53" s="554">
        <f>Passby_Length_Adj!J48</f>
        <v>1</v>
      </c>
      <c r="N53" s="416">
        <v>0.5</v>
      </c>
      <c r="O53" s="546">
        <f t="shared" si="42"/>
        <v>0.5</v>
      </c>
      <c r="P53" s="555">
        <f t="shared" si="43"/>
        <v>13.804203537079061</v>
      </c>
      <c r="Q53" s="556">
        <f t="shared" si="44"/>
        <v>8.2659901419635098</v>
      </c>
      <c r="R53" s="557">
        <f t="shared" si="45"/>
        <v>254.27556818181819</v>
      </c>
      <c r="S53" s="582">
        <f t="shared" si="46"/>
        <v>2101.8393399330794</v>
      </c>
      <c r="T53" s="555">
        <f t="shared" si="47"/>
        <v>0.86982691487139174</v>
      </c>
      <c r="U53" s="563">
        <f t="shared" si="48"/>
        <v>154.50490219883392</v>
      </c>
      <c r="V53" s="583">
        <f t="shared" si="49"/>
        <v>134.39252241211781</v>
      </c>
      <c r="W53" s="555">
        <f t="shared" si="50"/>
        <v>0.21979270554458896</v>
      </c>
      <c r="X53" s="563">
        <f t="shared" si="51"/>
        <v>37.9060089869281</v>
      </c>
      <c r="Y53" s="583">
        <f t="shared" si="52"/>
        <v>8.3314642716344309</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2337.7619211915612</v>
      </c>
      <c r="I54" s="553">
        <f>ITECountywide!$B$9*E54</f>
        <v>7.4497059568919601</v>
      </c>
      <c r="J54" s="562">
        <f t="shared" si="40"/>
        <v>1.67</v>
      </c>
      <c r="K54" s="416">
        <f t="shared" si="41"/>
        <v>0.85658336747234742</v>
      </c>
      <c r="L54" s="554">
        <f>Passby_Length_Adj!H49</f>
        <v>0.51442567196884992</v>
      </c>
      <c r="M54" s="554">
        <f>Passby_Length_Adj!J49</f>
        <v>1</v>
      </c>
      <c r="N54" s="416">
        <v>0.5</v>
      </c>
      <c r="O54" s="546">
        <f t="shared" si="42"/>
        <v>0.25721283598442496</v>
      </c>
      <c r="P54" s="555">
        <f t="shared" si="43"/>
        <v>14.377380668516219</v>
      </c>
      <c r="Q54" s="556">
        <f t="shared" si="44"/>
        <v>8.609209981147437</v>
      </c>
      <c r="R54" s="557">
        <f t="shared" si="45"/>
        <v>254.27556818181819</v>
      </c>
      <c r="S54" s="582">
        <f t="shared" si="46"/>
        <v>2189.1117595528449</v>
      </c>
      <c r="T54" s="555">
        <f t="shared" si="47"/>
        <v>0.90594380452559287</v>
      </c>
      <c r="U54" s="563">
        <f t="shared" si="48"/>
        <v>154.50490219883392</v>
      </c>
      <c r="V54" s="583">
        <f t="shared" si="49"/>
        <v>139.97275891586625</v>
      </c>
      <c r="W54" s="555">
        <f t="shared" si="50"/>
        <v>0.22891892221739213</v>
      </c>
      <c r="X54" s="563">
        <f t="shared" si="51"/>
        <v>37.9060089869281</v>
      </c>
      <c r="Y54" s="583">
        <f t="shared" si="52"/>
        <v>8.6774027228503616</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1410.6203320085331</v>
      </c>
      <c r="I55" s="553">
        <f>ITECountywide!$B$9*E55</f>
        <v>4.4951997014822531</v>
      </c>
      <c r="J55" s="562">
        <f t="shared" si="40"/>
        <v>1.67</v>
      </c>
      <c r="K55" s="416">
        <f t="shared" si="41"/>
        <v>0.85658336747234742</v>
      </c>
      <c r="L55" s="554">
        <f>Passby_Length_Adj!H50</f>
        <v>0.51442567196884992</v>
      </c>
      <c r="M55" s="554">
        <f>Passby_Length_Adj!J50</f>
        <v>1</v>
      </c>
      <c r="N55" s="416">
        <v>0.5</v>
      </c>
      <c r="O55" s="546">
        <f t="shared" si="42"/>
        <v>0.25721283598442496</v>
      </c>
      <c r="P55" s="555">
        <f t="shared" si="43"/>
        <v>8.6754024471825346</v>
      </c>
      <c r="Q55" s="556">
        <f t="shared" si="44"/>
        <v>5.194851764779961</v>
      </c>
      <c r="R55" s="557">
        <f t="shared" si="45"/>
        <v>254.27556818181819</v>
      </c>
      <c r="S55" s="582">
        <f t="shared" si="46"/>
        <v>1320.9238841097456</v>
      </c>
      <c r="T55" s="555">
        <f t="shared" si="47"/>
        <v>0.54665222268210945</v>
      </c>
      <c r="U55" s="563">
        <f t="shared" si="48"/>
        <v>154.50490219883392</v>
      </c>
      <c r="V55" s="583">
        <f t="shared" si="49"/>
        <v>84.460448202274506</v>
      </c>
      <c r="W55" s="555">
        <f t="shared" si="50"/>
        <v>0.13813112581487405</v>
      </c>
      <c r="X55" s="563">
        <f t="shared" si="51"/>
        <v>37.9060089869281</v>
      </c>
      <c r="Y55" s="583">
        <f t="shared" si="52"/>
        <v>5.2359996965131117</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2045.5380070153394</v>
      </c>
      <c r="I56" s="553">
        <f>ITECountywide!$B$9*E56</f>
        <v>3.3532739708637775</v>
      </c>
      <c r="J56" s="562">
        <f t="shared" si="40"/>
        <v>1.67</v>
      </c>
      <c r="K56" s="416">
        <f t="shared" si="41"/>
        <v>0.85658336747234742</v>
      </c>
      <c r="L56" s="554">
        <f>Passby_Length_Adj!H51</f>
        <v>1</v>
      </c>
      <c r="M56" s="554">
        <f>Passby_Length_Adj!J51</f>
        <v>1</v>
      </c>
      <c r="N56" s="416">
        <v>0.5</v>
      </c>
      <c r="O56" s="546">
        <f t="shared" si="42"/>
        <v>0.5</v>
      </c>
      <c r="P56" s="555">
        <f t="shared" si="43"/>
        <v>12.580185489456289</v>
      </c>
      <c r="Q56" s="556">
        <f t="shared" si="44"/>
        <v>7.533045203267239</v>
      </c>
      <c r="R56" s="557">
        <f t="shared" si="45"/>
        <v>254.27556818181819</v>
      </c>
      <c r="S56" s="582">
        <f t="shared" si="46"/>
        <v>1915.4693492000972</v>
      </c>
      <c r="T56" s="555">
        <f t="shared" si="47"/>
        <v>0.79269940517836213</v>
      </c>
      <c r="U56" s="563">
        <f t="shared" si="48"/>
        <v>154.50490219883392</v>
      </c>
      <c r="V56" s="583">
        <f t="shared" si="49"/>
        <v>122.47594407015666</v>
      </c>
      <c r="W56" s="555">
        <f t="shared" si="50"/>
        <v>0.20030369717117716</v>
      </c>
      <c r="X56" s="563">
        <f t="shared" si="51"/>
        <v>37.9060089869281</v>
      </c>
      <c r="Y56" s="583">
        <f t="shared" si="52"/>
        <v>7.5927137450855664</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654.11829911685993</v>
      </c>
      <c r="I57" s="553">
        <f>ITECountywide!$B$9*E57</f>
        <v>2.0844676035099154</v>
      </c>
      <c r="J57" s="562">
        <f t="shared" si="40"/>
        <v>1.67</v>
      </c>
      <c r="K57" s="416">
        <f t="shared" si="41"/>
        <v>0.85658336747234742</v>
      </c>
      <c r="L57" s="554">
        <f>Passby_Length_Adj!H52</f>
        <v>0.51442567196884992</v>
      </c>
      <c r="M57" s="554">
        <f>Passby_Length_Adj!J52</f>
        <v>1</v>
      </c>
      <c r="N57" s="416">
        <v>0.5</v>
      </c>
      <c r="O57" s="546">
        <f t="shared" si="42"/>
        <v>0.25721283598442496</v>
      </c>
      <c r="P57" s="555">
        <f t="shared" si="43"/>
        <v>4.0228680702660942</v>
      </c>
      <c r="Q57" s="556">
        <f t="shared" si="44"/>
        <v>2.4089030360874815</v>
      </c>
      <c r="R57" s="557">
        <f t="shared" si="45"/>
        <v>254.27556818181819</v>
      </c>
      <c r="S57" s="582">
        <f t="shared" si="46"/>
        <v>612.5251881960512</v>
      </c>
      <c r="T57" s="555">
        <f t="shared" si="47"/>
        <v>0.25348792584049429</v>
      </c>
      <c r="U57" s="563">
        <f t="shared" si="48"/>
        <v>154.50490219883392</v>
      </c>
      <c r="V57" s="583">
        <f t="shared" si="49"/>
        <v>39.165127190570836</v>
      </c>
      <c r="W57" s="555">
        <f t="shared" si="50"/>
        <v>6.4052739793187555E-2</v>
      </c>
      <c r="X57" s="563">
        <f t="shared" si="51"/>
        <v>37.9060089869281</v>
      </c>
      <c r="Y57" s="583">
        <f t="shared" si="52"/>
        <v>2.4279837302379348</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887.32569271504508</v>
      </c>
      <c r="I58" s="553">
        <f>ITECountywide!$B$9*E58</f>
        <v>2.8276256186743205</v>
      </c>
      <c r="J58" s="562">
        <f t="shared" si="40"/>
        <v>1.67</v>
      </c>
      <c r="K58" s="416">
        <f t="shared" si="41"/>
        <v>0.85658336747234742</v>
      </c>
      <c r="L58" s="554">
        <f>Passby_Length_Adj!H53</f>
        <v>0.51442567196884992</v>
      </c>
      <c r="M58" s="554">
        <f>Passby_Length_Adj!J53</f>
        <v>1</v>
      </c>
      <c r="N58" s="416">
        <v>0.5</v>
      </c>
      <c r="O58" s="546">
        <f t="shared" si="42"/>
        <v>0.25721283598442496</v>
      </c>
      <c r="P58" s="555">
        <f t="shared" si="43"/>
        <v>5.4571079909696589</v>
      </c>
      <c r="Q58" s="556">
        <f t="shared" si="44"/>
        <v>3.2677293359099755</v>
      </c>
      <c r="R58" s="557">
        <f t="shared" si="45"/>
        <v>254.27556818181819</v>
      </c>
      <c r="S58" s="582">
        <f t="shared" si="46"/>
        <v>830.90373355290444</v>
      </c>
      <c r="T58" s="555">
        <f t="shared" si="47"/>
        <v>0.34386188200971401</v>
      </c>
      <c r="U58" s="563">
        <f t="shared" si="48"/>
        <v>154.50490219883392</v>
      </c>
      <c r="V58" s="583">
        <f t="shared" si="49"/>
        <v>53.128346449817833</v>
      </c>
      <c r="W58" s="555">
        <f t="shared" si="50"/>
        <v>8.6888933980324018E-2</v>
      </c>
      <c r="X58" s="563">
        <f t="shared" si="51"/>
        <v>37.9060089869281</v>
      </c>
      <c r="Y58" s="583">
        <f t="shared" si="52"/>
        <v>3.2936127123227648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3350.4908362331844</v>
      </c>
      <c r="I59" s="553">
        <f>ITECountywide!$B$9*E59</f>
        <v>12.597434647299055</v>
      </c>
      <c r="J59" s="562">
        <f t="shared" si="40"/>
        <v>1.67</v>
      </c>
      <c r="K59" s="416">
        <f t="shared" si="41"/>
        <v>0.85658336747234742</v>
      </c>
      <c r="L59" s="554">
        <f>Passby_Length_Adj!H54</f>
        <v>0.4360013208727776</v>
      </c>
      <c r="M59" s="554">
        <f>Passby_Length_Adj!J54</f>
        <v>1</v>
      </c>
      <c r="N59" s="416">
        <v>0.5</v>
      </c>
      <c r="O59" s="546">
        <f t="shared" si="42"/>
        <v>0.2180006604363888</v>
      </c>
      <c r="P59" s="555">
        <f t="shared" si="43"/>
        <v>20.605726247070848</v>
      </c>
      <c r="Q59" s="556">
        <f t="shared" si="44"/>
        <v>12.338758231778952</v>
      </c>
      <c r="R59" s="557">
        <f t="shared" si="45"/>
        <v>254.27556818181819</v>
      </c>
      <c r="S59" s="582">
        <f t="shared" si="46"/>
        <v>3137.4447600436793</v>
      </c>
      <c r="T59" s="555">
        <f t="shared" si="47"/>
        <v>1.2984027105968514</v>
      </c>
      <c r="U59" s="559">
        <f t="shared" si="48"/>
        <v>154.50490219883392</v>
      </c>
      <c r="V59" s="582">
        <f t="shared" si="49"/>
        <v>200.60958381546737</v>
      </c>
      <c r="W59" s="555">
        <f t="shared" si="50"/>
        <v>0.32808762268606589</v>
      </c>
      <c r="X59" s="559">
        <f t="shared" si="51"/>
        <v>37.9060089869281</v>
      </c>
      <c r="Y59" s="582">
        <f t="shared" si="52"/>
        <v>12.43649237403789</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52653.25399679484</v>
      </c>
      <c r="I60" s="553">
        <f>ITECountywide!$B$9*E60</f>
        <v>86.315084590558413</v>
      </c>
      <c r="J60" s="562">
        <f t="shared" si="40"/>
        <v>1.67</v>
      </c>
      <c r="K60" s="416">
        <f t="shared" si="41"/>
        <v>0.85658336747234742</v>
      </c>
      <c r="L60" s="554">
        <f>Passby_Length_Adj!H55</f>
        <v>1</v>
      </c>
      <c r="M60" s="554">
        <f>Passby_Length_Adj!J55</f>
        <v>1</v>
      </c>
      <c r="N60" s="416">
        <v>0.5</v>
      </c>
      <c r="O60" s="546">
        <f t="shared" si="42"/>
        <v>0.5</v>
      </c>
      <c r="P60" s="555">
        <f t="shared" si="43"/>
        <v>323.82077459886938</v>
      </c>
      <c r="Q60" s="556">
        <f t="shared" si="44"/>
        <v>193.90465544842479</v>
      </c>
      <c r="R60" s="561">
        <f t="shared" si="45"/>
        <v>254.27556818181819</v>
      </c>
      <c r="S60" s="583">
        <f t="shared" si="46"/>
        <v>49305.216437247902</v>
      </c>
      <c r="T60" s="555">
        <f t="shared" si="47"/>
        <v>20.404511175455998</v>
      </c>
      <c r="U60" s="559">
        <f t="shared" si="48"/>
        <v>154.50490219883392</v>
      </c>
      <c r="V60" s="582">
        <f t="shared" si="49"/>
        <v>3152.5970035788428</v>
      </c>
      <c r="W60" s="555">
        <f t="shared" si="50"/>
        <v>5.1559254374548411</v>
      </c>
      <c r="X60" s="559">
        <f t="shared" si="51"/>
        <v>37.9060089869281</v>
      </c>
      <c r="Y60" s="582">
        <f t="shared" si="52"/>
        <v>195.4405559680944</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11853.063478488886</v>
      </c>
      <c r="I62" s="553">
        <f>ITECountywide!$B$9*E62</f>
        <v>19.430863225761996</v>
      </c>
      <c r="J62" s="562">
        <f>IF(F62="Prod",$M$3,$M$4)</f>
        <v>1.67</v>
      </c>
      <c r="K62" s="416">
        <f>IF(F62="Prod",$F$4,$F$5)</f>
        <v>0.85658336747234742</v>
      </c>
      <c r="L62" s="554">
        <f>Passby_Length_Adj!H57</f>
        <v>1</v>
      </c>
      <c r="M62" s="554">
        <f>Passby_Length_Adj!J57</f>
        <v>1</v>
      </c>
      <c r="N62" s="416">
        <v>0.5</v>
      </c>
      <c r="O62" s="546">
        <f>L62*M62*N62</f>
        <v>0.5</v>
      </c>
      <c r="P62" s="555">
        <f>IF($F62="Prod",$I62*$O62*$F$4*$F$6,$I62*O62*$F$5*$F$7)</f>
        <v>72.897074836200758</v>
      </c>
      <c r="Q62" s="556">
        <f>+P62/J62</f>
        <v>43.65094301568908</v>
      </c>
      <c r="R62" s="557">
        <f>+$Q$4</f>
        <v>254.27556818181819</v>
      </c>
      <c r="S62" s="582">
        <f>+Q62*R62</f>
        <v>11099.368336986508</v>
      </c>
      <c r="T62" s="555">
        <f>IF($F62="Prod",$I62*$O62*$G$4*$G$6,$I62*$O62*$G$5*$G$7)</f>
        <v>4.5933716883848863</v>
      </c>
      <c r="U62" s="559">
        <f>+$R$4</f>
        <v>154.50490219883392</v>
      </c>
      <c r="V62" s="582">
        <f>+T62*U62</f>
        <v>709.69844347679953</v>
      </c>
      <c r="W62" s="555">
        <f>IF($F62="Prod",$I62*$O62*$J$4*$J$6,$I62*$O62*$J$5*$J$7)</f>
        <v>1.1606787209054157</v>
      </c>
      <c r="X62" s="559">
        <f>$S$4</f>
        <v>37.9060089869281</v>
      </c>
      <c r="Y62" s="582">
        <f>+W62*X62</f>
        <v>43.996698025576897</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3383.4304332253723</v>
      </c>
      <c r="I63" s="553">
        <f>ITECountywide!$B$9*E63</f>
        <v>5.5464964058611672</v>
      </c>
      <c r="J63" s="562">
        <f>IF(F63="Prod",$M$3,$M$4)</f>
        <v>1.67</v>
      </c>
      <c r="K63" s="416">
        <f>IF(F63="Prod",$F$4,$F$5)</f>
        <v>0.85658336747234742</v>
      </c>
      <c r="L63" s="554">
        <f>Passby_Length_Adj!H58</f>
        <v>1</v>
      </c>
      <c r="M63" s="554">
        <f>Passby_Length_Adj!J58</f>
        <v>1</v>
      </c>
      <c r="N63" s="416">
        <v>0.5</v>
      </c>
      <c r="O63" s="546">
        <f>L63*M63*N63</f>
        <v>0.5</v>
      </c>
      <c r="P63" s="555">
        <f>IF($F63="Prod",$I63*$O63*$F$4*$F$6,$I63*O63*$F$5*$F$7)</f>
        <v>20.808306809587158</v>
      </c>
      <c r="Q63" s="556">
        <f>+P63/J63</f>
        <v>12.460063957836622</v>
      </c>
      <c r="R63" s="557">
        <f>+$Q$4</f>
        <v>254.27556818181819</v>
      </c>
      <c r="S63" s="582">
        <f>+Q63*R63</f>
        <v>3168.2898424607015</v>
      </c>
      <c r="T63" s="555">
        <f>IF($F63="Prod",$I63*$O63*$G$4*$G$6,$I63*$O63*$G$5*$G$7)</f>
        <v>1.3111676647815069</v>
      </c>
      <c r="U63" s="563">
        <f>+$R$4</f>
        <v>154.50490219883392</v>
      </c>
      <c r="V63" s="583">
        <f>+T63*U63</f>
        <v>202.58183181334019</v>
      </c>
      <c r="W63" s="555">
        <f>IF($F63="Prod",$I63*$O63*$J$4*$J$6,$I63*$O63*$J$5*$J$7)</f>
        <v>0.33131314234800113</v>
      </c>
      <c r="X63" s="563">
        <f>$S$4</f>
        <v>37.9060089869281</v>
      </c>
      <c r="Y63" s="583">
        <f>+W63*X63</f>
        <v>12.55875895133072</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16228.778803685742</v>
      </c>
      <c r="I64" s="553">
        <f>ITECountywide!$B$9*E64</f>
        <v>69.168072826033367</v>
      </c>
      <c r="J64" s="562">
        <f>IF(F64="Prod",$M$3,$M$4)</f>
        <v>1.67</v>
      </c>
      <c r="K64" s="416">
        <f>IF(F64="Prod",$F$4,$F$5)</f>
        <v>0.85658336747234742</v>
      </c>
      <c r="L64" s="554">
        <f>Passby_Length_Adj!H59</f>
        <v>0.3846286671810874</v>
      </c>
      <c r="M64" s="554">
        <f>Passby_Length_Adj!J59</f>
        <v>1</v>
      </c>
      <c r="N64" s="416">
        <v>0.5</v>
      </c>
      <c r="O64" s="546">
        <f>L64*M64*N64</f>
        <v>0.1923143335905437</v>
      </c>
      <c r="P64" s="555">
        <f>IF($F64="Prod",$I64*$O64*$F$4*$F$6,$I64*O64*$F$5*$F$7)</f>
        <v>99.80799521570178</v>
      </c>
      <c r="Q64" s="556">
        <f>+P64/J64</f>
        <v>59.765266596228614</v>
      </c>
      <c r="R64" s="557">
        <f>+$Q$4</f>
        <v>254.27556818181819</v>
      </c>
      <c r="S64" s="582">
        <f>+Q64*R64</f>
        <v>15196.847121293869</v>
      </c>
      <c r="T64" s="555">
        <f>IF($F64="Prod",$I64*$O64*$G$4*$G$6,$I64*$O64*$G$5*$G$7)</f>
        <v>6.2890756663200076</v>
      </c>
      <c r="U64" s="559">
        <f>+$R$4</f>
        <v>154.50490219883392</v>
      </c>
      <c r="V64" s="582">
        <f>+T64*U64</f>
        <v>971.69302074583902</v>
      </c>
      <c r="W64" s="555">
        <f>IF($F64="Prod",$I64*$O64*$J$4*$J$6,$I64*$O64*$J$5*$J$7)</f>
        <v>1.5891586388534462</v>
      </c>
      <c r="X64" s="559">
        <f>$S$4</f>
        <v>37.9060089869281</v>
      </c>
      <c r="Y64" s="582">
        <f>+W64*X64</f>
        <v>60.238661646033158</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9143.5729632925431</v>
      </c>
      <c r="I65" s="553">
        <f>ITECountywide!$B$9*E65</f>
        <v>38.970481283011466</v>
      </c>
      <c r="J65" s="562">
        <f>IF(F65="Prod",$M$3,$M$4)</f>
        <v>1.67</v>
      </c>
      <c r="K65" s="416">
        <f>IF(F65="Prod",$F$4,$F$5)</f>
        <v>0.85658336747234742</v>
      </c>
      <c r="L65" s="554">
        <f>Passby_Length_Adj!H60</f>
        <v>0.3846286671810874</v>
      </c>
      <c r="M65" s="554">
        <f>Passby_Length_Adj!J60</f>
        <v>1</v>
      </c>
      <c r="N65" s="416">
        <v>0.5</v>
      </c>
      <c r="O65" s="546">
        <f>L65*M65*N65</f>
        <v>0.1923143335905437</v>
      </c>
      <c r="P65" s="555">
        <f>IF($F65="Prod",$I65*$O65*$F$4*$F$6,$I65*O65*$F$5*$F$7)</f>
        <v>56.233540281383348</v>
      </c>
      <c r="Q65" s="556">
        <f>+P65/J65</f>
        <v>33.672778611606795</v>
      </c>
      <c r="R65" s="557">
        <f>+$Q$4</f>
        <v>254.27556818181819</v>
      </c>
      <c r="S65" s="582">
        <f>+Q65*R65</f>
        <v>8562.1649137268923</v>
      </c>
      <c r="T65" s="555">
        <f>IF($F65="Prod",$I65*$O65*$G$4*$G$6,$I65*$O65*$G$5*$G$7)</f>
        <v>3.5433733444937161</v>
      </c>
      <c r="U65" s="559">
        <f>+$R$4</f>
        <v>154.50490219883392</v>
      </c>
      <c r="V65" s="582">
        <f>+T65*U65</f>
        <v>547.4685520449566</v>
      </c>
      <c r="W65" s="555">
        <f>IF($F65="Prod",$I65*$O65*$J$4*$J$6,$I65*$O65*$J$5*$J$7)</f>
        <v>0.8953592959997142</v>
      </c>
      <c r="X65" s="559">
        <f>$S$4</f>
        <v>37.9060089869281</v>
      </c>
      <c r="Y65" s="582">
        <f>+W65*X65</f>
        <v>33.939497520694786</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10606.544637419354</v>
      </c>
      <c r="I66" s="553">
        <f>ITECountywide!$B$9*E66</f>
        <v>45.205758288293303</v>
      </c>
      <c r="J66" s="562">
        <f>IF(F66="Prod",$M$3,$M$4)</f>
        <v>1.67</v>
      </c>
      <c r="K66" s="416">
        <f>IF(F66="Prod",$F$4,$F$5)</f>
        <v>0.85658336747234742</v>
      </c>
      <c r="L66" s="554">
        <f>Passby_Length_Adj!H61</f>
        <v>0.3846286671810874</v>
      </c>
      <c r="M66" s="554">
        <f>Passby_Length_Adj!J61</f>
        <v>1</v>
      </c>
      <c r="N66" s="416">
        <v>0.5</v>
      </c>
      <c r="O66" s="546">
        <f>L66*M66*N66</f>
        <v>0.1923143335905437</v>
      </c>
      <c r="P66" s="555">
        <f>IF($F66="Prod",$I66*$O66*$F$4*$F$6,$I66*O66*$F$5*$F$7)</f>
        <v>65.230906726404697</v>
      </c>
      <c r="Q66" s="556">
        <f>+P66/J66</f>
        <v>39.06042318946389</v>
      </c>
      <c r="R66" s="557">
        <f>+$Q$4</f>
        <v>254.27556818181819</v>
      </c>
      <c r="S66" s="582">
        <f>+Q66*R66</f>
        <v>9932.1112999231973</v>
      </c>
      <c r="T66" s="555">
        <f>IF($F66="Prod",$I66*$O66*$G$4*$G$6,$I66*$O66*$G$5*$G$7)</f>
        <v>4.1103130796127108</v>
      </c>
      <c r="U66" s="559">
        <f>+$R$4</f>
        <v>154.50490219883392</v>
      </c>
      <c r="V66" s="582">
        <f>+T66*U66</f>
        <v>635.0635203721497</v>
      </c>
      <c r="W66" s="555">
        <f>IF($F66="Prod",$I66*$O66*$J$4*$J$6,$I66*$O66*$J$5*$J$7)</f>
        <v>1.0386167833596687</v>
      </c>
      <c r="X66" s="559">
        <f>$S$4</f>
        <v>37.9060089869281</v>
      </c>
      <c r="Y66" s="582">
        <f>+W66*X66</f>
        <v>39.369817124005955</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16155.326628796691</v>
      </c>
      <c r="I68" s="553">
        <f>ITECountywide!$B$9*E68</f>
        <v>20.049119939245994</v>
      </c>
      <c r="J68" s="562">
        <f t="shared" ref="J68:J87" si="53">IF(F68="Prod",$M$3,$M$4)</f>
        <v>1.67</v>
      </c>
      <c r="K68" s="416">
        <f t="shared" ref="K68:K87" si="54">IF(F68="Prod",$F$4,$F$5)</f>
        <v>0.85658336747234742</v>
      </c>
      <c r="L68" s="554">
        <f>Passby_Length_Adj!H63</f>
        <v>1.3209364175632392</v>
      </c>
      <c r="M68" s="554">
        <f>Passby_Length_Adj!J63</f>
        <v>1</v>
      </c>
      <c r="N68" s="416">
        <v>0.5</v>
      </c>
      <c r="O68" s="546">
        <f t="shared" ref="O68:O87" si="55">L68*M68*N68</f>
        <v>0.6604682087816196</v>
      </c>
      <c r="P68" s="555">
        <f t="shared" ref="P68:P87" si="56">IF($F68="Prod",$I68*$O68*$F$4*$F$6,$I68*O68*$F$5*$F$7)</f>
        <v>99.356259788865827</v>
      </c>
      <c r="Q68" s="556">
        <f t="shared" ref="Q68:Q87" si="57">+P68/J68</f>
        <v>59.494766340638222</v>
      </c>
      <c r="R68" s="561">
        <f t="shared" ref="R68:R87" si="58">+$Q$4</f>
        <v>254.27556818181819</v>
      </c>
      <c r="S68" s="583">
        <f t="shared" ref="S68:S87" si="59">+Q68*R68</f>
        <v>15128.065515110296</v>
      </c>
      <c r="T68" s="555">
        <f t="shared" ref="T68:T87" si="60">IF($F68="Prod",$I68*$O68*$G$4*$G$6,$I68*$O68*$G$5*$G$7)</f>
        <v>6.2606110300512521</v>
      </c>
      <c r="U68" s="559">
        <f t="shared" ref="U68:U87" si="61">+$R$4</f>
        <v>154.50490219883392</v>
      </c>
      <c r="V68" s="582">
        <f t="shared" ref="V68:V87" si="62">+T68*U68</f>
        <v>967.29509490300961</v>
      </c>
      <c r="W68" s="555">
        <f t="shared" ref="W68:W87" si="63">IF($F68="Prod",$I68*$O68*$J$4*$J$6,$I68*$O68*$J$5*$J$7)</f>
        <v>1.5819660361518184</v>
      </c>
      <c r="X68" s="559">
        <f t="shared" ref="X68:X87" si="64">$S$4</f>
        <v>37.9060089869281</v>
      </c>
      <c r="Y68" s="582">
        <f t="shared" ref="Y68:Y87" si="65">+W68*X68</f>
        <v>59.966018783385856</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15631.552205034312</v>
      </c>
      <c r="I69" s="553">
        <f>ITECountywide!$B$9*E69</f>
        <v>19.399104220937762</v>
      </c>
      <c r="J69" s="562">
        <f t="shared" si="53"/>
        <v>1.67</v>
      </c>
      <c r="K69" s="416">
        <f t="shared" si="54"/>
        <v>0.85658336747234742</v>
      </c>
      <c r="L69" s="554">
        <f>Passby_Length_Adj!H64</f>
        <v>1.3209364175632392</v>
      </c>
      <c r="M69" s="554">
        <f>Passby_Length_Adj!J64</f>
        <v>1</v>
      </c>
      <c r="N69" s="416">
        <v>0.5</v>
      </c>
      <c r="O69" s="546">
        <f t="shared" si="55"/>
        <v>0.6604682087816196</v>
      </c>
      <c r="P69" s="555">
        <f t="shared" si="56"/>
        <v>96.1350146284407</v>
      </c>
      <c r="Q69" s="556">
        <f t="shared" si="57"/>
        <v>57.565877023018388</v>
      </c>
      <c r="R69" s="561">
        <f t="shared" si="58"/>
        <v>254.27556818181819</v>
      </c>
      <c r="S69" s="583">
        <f t="shared" si="59"/>
        <v>14637.596087912672</v>
      </c>
      <c r="T69" s="555">
        <f t="shared" si="60"/>
        <v>6.0576347603656586</v>
      </c>
      <c r="U69" s="559">
        <f t="shared" si="61"/>
        <v>154.50490219883392</v>
      </c>
      <c r="V69" s="582">
        <f t="shared" si="62"/>
        <v>935.93426620655282</v>
      </c>
      <c r="W69" s="555">
        <f t="shared" si="63"/>
        <v>1.5306768627394953</v>
      </c>
      <c r="X69" s="559">
        <f t="shared" si="64"/>
        <v>37.9060089869281</v>
      </c>
      <c r="Y69" s="582">
        <f t="shared" si="65"/>
        <v>58.021850915086219</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15393.828465931436</v>
      </c>
      <c r="I70" s="553">
        <f>ITECountywide!$B$9*E70</f>
        <v>19.10408376934355</v>
      </c>
      <c r="J70" s="562">
        <f t="shared" si="53"/>
        <v>1.67</v>
      </c>
      <c r="K70" s="416">
        <f t="shared" si="54"/>
        <v>0.85658336747234742</v>
      </c>
      <c r="L70" s="554">
        <f>Passby_Length_Adj!H65</f>
        <v>1.3209364175632392</v>
      </c>
      <c r="M70" s="554">
        <f>Passby_Length_Adj!J65</f>
        <v>1</v>
      </c>
      <c r="N70" s="416">
        <v>0.5</v>
      </c>
      <c r="O70" s="546">
        <f t="shared" si="55"/>
        <v>0.6604682087816196</v>
      </c>
      <c r="P70" s="555">
        <f t="shared" si="56"/>
        <v>94.672998903039982</v>
      </c>
      <c r="Q70" s="556">
        <f t="shared" si="57"/>
        <v>56.69041850481436</v>
      </c>
      <c r="R70" s="561">
        <f t="shared" si="58"/>
        <v>254.27556818181819</v>
      </c>
      <c r="S70" s="583">
        <f t="shared" si="59"/>
        <v>14414.988375776731</v>
      </c>
      <c r="T70" s="555">
        <f t="shared" si="60"/>
        <v>5.9655106023508271</v>
      </c>
      <c r="U70" s="559">
        <f t="shared" si="61"/>
        <v>154.50490219883392</v>
      </c>
      <c r="V70" s="582">
        <f t="shared" si="62"/>
        <v>921.70063218232133</v>
      </c>
      <c r="W70" s="555">
        <f t="shared" si="63"/>
        <v>1.5073984178099187</v>
      </c>
      <c r="X70" s="559">
        <f t="shared" si="64"/>
        <v>37.9060089869281</v>
      </c>
      <c r="Y70" s="582">
        <f t="shared" si="65"/>
        <v>57.13945797238398</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15239.222212548821</v>
      </c>
      <c r="I71" s="553">
        <f>ITECountywide!$B$9*E71</f>
        <v>18.912213967596532</v>
      </c>
      <c r="J71" s="562">
        <f t="shared" si="53"/>
        <v>1.67</v>
      </c>
      <c r="K71" s="416">
        <f t="shared" si="54"/>
        <v>0.85658336747234742</v>
      </c>
      <c r="L71" s="554">
        <f>Passby_Length_Adj!H66</f>
        <v>1.3209364175632392</v>
      </c>
      <c r="M71" s="554">
        <f>Passby_Length_Adj!J66</f>
        <v>1</v>
      </c>
      <c r="N71" s="416">
        <v>0.5</v>
      </c>
      <c r="O71" s="546">
        <f t="shared" si="55"/>
        <v>0.6604682087816196</v>
      </c>
      <c r="P71" s="555">
        <f t="shared" si="56"/>
        <v>93.722160864972366</v>
      </c>
      <c r="Q71" s="556">
        <f t="shared" si="57"/>
        <v>56.121054410163097</v>
      </c>
      <c r="R71" s="561">
        <f t="shared" si="58"/>
        <v>254.27556818181819</v>
      </c>
      <c r="S71" s="583">
        <f t="shared" si="59"/>
        <v>14270.212997106955</v>
      </c>
      <c r="T71" s="555">
        <f t="shared" si="60"/>
        <v>5.9055966410003462</v>
      </c>
      <c r="U71" s="559">
        <f t="shared" si="61"/>
        <v>154.50490219883392</v>
      </c>
      <c r="V71" s="582">
        <f t="shared" si="62"/>
        <v>912.44363144352064</v>
      </c>
      <c r="W71" s="555">
        <f t="shared" si="63"/>
        <v>1.492259024627238</v>
      </c>
      <c r="X71" s="559">
        <f t="shared" si="64"/>
        <v>37.9060089869281</v>
      </c>
      <c r="Y71" s="582">
        <f t="shared" si="65"/>
        <v>56.565583998344643</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15077.028057104661</v>
      </c>
      <c r="I72" s="553">
        <f>ITECountywide!$B$9*E72</f>
        <v>18.710927410496026</v>
      </c>
      <c r="J72" s="562">
        <f t="shared" si="53"/>
        <v>1.67</v>
      </c>
      <c r="K72" s="416">
        <f t="shared" si="54"/>
        <v>0.85658336747234742</v>
      </c>
      <c r="L72" s="554">
        <f>Passby_Length_Adj!H67</f>
        <v>1.3209364175632392</v>
      </c>
      <c r="M72" s="554">
        <f>Passby_Length_Adj!J67</f>
        <v>1</v>
      </c>
      <c r="N72" s="416">
        <v>0.5</v>
      </c>
      <c r="O72" s="546">
        <f t="shared" si="55"/>
        <v>0.6604682087816196</v>
      </c>
      <c r="P72" s="555">
        <f t="shared" si="56"/>
        <v>92.724656759062142</v>
      </c>
      <c r="Q72" s="556">
        <f t="shared" si="57"/>
        <v>55.52374656231266</v>
      </c>
      <c r="R72" s="561">
        <f t="shared" si="58"/>
        <v>254.27556818181819</v>
      </c>
      <c r="S72" s="583">
        <f t="shared" si="59"/>
        <v>14118.332204715325</v>
      </c>
      <c r="T72" s="555">
        <f t="shared" si="60"/>
        <v>5.8427421694124098</v>
      </c>
      <c r="U72" s="559">
        <f t="shared" si="61"/>
        <v>154.50490219883392</v>
      </c>
      <c r="V72" s="582">
        <f t="shared" si="62"/>
        <v>902.73230745806711</v>
      </c>
      <c r="W72" s="555">
        <f t="shared" si="63"/>
        <v>1.4763766069534523</v>
      </c>
      <c r="X72" s="559">
        <f t="shared" si="64"/>
        <v>37.9060089869281</v>
      </c>
      <c r="Y72" s="582">
        <f t="shared" si="65"/>
        <v>55.963544931267975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14925.60355440786</v>
      </c>
      <c r="I73" s="553">
        <f>ITECountywide!$B$9*E73</f>
        <v>18.523006232171017</v>
      </c>
      <c r="J73" s="562">
        <f t="shared" si="53"/>
        <v>1.67</v>
      </c>
      <c r="K73" s="416">
        <f t="shared" si="54"/>
        <v>0.85658336747234742</v>
      </c>
      <c r="L73" s="554">
        <f>Passby_Length_Adj!H68</f>
        <v>1.3209364175632392</v>
      </c>
      <c r="M73" s="554">
        <f>Passby_Length_Adj!J68</f>
        <v>1</v>
      </c>
      <c r="N73" s="416">
        <v>0.5</v>
      </c>
      <c r="O73" s="546">
        <f t="shared" si="55"/>
        <v>0.6604682087816196</v>
      </c>
      <c r="P73" s="555">
        <f t="shared" si="56"/>
        <v>91.793386684861005</v>
      </c>
      <c r="Q73" s="556">
        <f t="shared" si="57"/>
        <v>54.966099811294015</v>
      </c>
      <c r="R73" s="561">
        <f t="shared" si="58"/>
        <v>254.27556818181819</v>
      </c>
      <c r="S73" s="583">
        <f t="shared" si="59"/>
        <v>13976.536260255316</v>
      </c>
      <c r="T73" s="555">
        <f t="shared" si="60"/>
        <v>5.7840612195569108</v>
      </c>
      <c r="U73" s="559">
        <f t="shared" si="61"/>
        <v>154.50490219883392</v>
      </c>
      <c r="V73" s="582">
        <f t="shared" si="62"/>
        <v>893.6658130397085</v>
      </c>
      <c r="W73" s="555">
        <f t="shared" si="63"/>
        <v>1.4615487779771859</v>
      </c>
      <c r="X73" s="559">
        <f t="shared" si="64"/>
        <v>37.9060089869281</v>
      </c>
      <c r="Y73" s="582">
        <f t="shared" si="65"/>
        <v>55.40148111283699</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14813.496112993867</v>
      </c>
      <c r="I74" s="553">
        <f>ITECountywide!$B$9*E74</f>
        <v>18.383878402035741</v>
      </c>
      <c r="J74" s="562">
        <f t="shared" si="53"/>
        <v>1.67</v>
      </c>
      <c r="K74" s="416">
        <f t="shared" si="54"/>
        <v>0.85658336747234742</v>
      </c>
      <c r="L74" s="554">
        <f>Passby_Length_Adj!H69</f>
        <v>1.3209364175632392</v>
      </c>
      <c r="M74" s="554">
        <f>Passby_Length_Adj!J69</f>
        <v>1</v>
      </c>
      <c r="N74" s="416">
        <v>0.5</v>
      </c>
      <c r="O74" s="546">
        <f t="shared" si="55"/>
        <v>0.6604682087816196</v>
      </c>
      <c r="P74" s="555">
        <f t="shared" si="56"/>
        <v>91.103918973726067</v>
      </c>
      <c r="Q74" s="556">
        <f t="shared" si="57"/>
        <v>54.553244894446749</v>
      </c>
      <c r="R74" s="561">
        <f t="shared" si="58"/>
        <v>254.27556818181819</v>
      </c>
      <c r="S74" s="583">
        <f t="shared" si="59"/>
        <v>13871.557341697318</v>
      </c>
      <c r="T74" s="555">
        <f t="shared" si="60"/>
        <v>5.7406166578718372</v>
      </c>
      <c r="U74" s="559">
        <f t="shared" si="61"/>
        <v>154.50490219883392</v>
      </c>
      <c r="V74" s="582">
        <f t="shared" si="62"/>
        <v>886.95341528548499</v>
      </c>
      <c r="W74" s="555">
        <f t="shared" si="63"/>
        <v>1.4505709643562161</v>
      </c>
      <c r="X74" s="559">
        <f t="shared" si="64"/>
        <v>37.9060089869281</v>
      </c>
      <c r="Y74" s="582">
        <f t="shared" si="65"/>
        <v>54.985356011063686</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14724.584972408742</v>
      </c>
      <c r="I75" s="553">
        <f>ITECountywide!$B$9*E75</f>
        <v>18.273537697543336</v>
      </c>
      <c r="J75" s="562">
        <f t="shared" si="53"/>
        <v>1.67</v>
      </c>
      <c r="K75" s="416">
        <f t="shared" si="54"/>
        <v>0.85658336747234742</v>
      </c>
      <c r="L75" s="554">
        <f>Passby_Length_Adj!H70</f>
        <v>1.3209364175632392</v>
      </c>
      <c r="M75" s="554">
        <f>Passby_Length_Adj!J70</f>
        <v>1</v>
      </c>
      <c r="N75" s="416">
        <v>0.5</v>
      </c>
      <c r="O75" s="546">
        <f t="shared" si="55"/>
        <v>0.6604682087816196</v>
      </c>
      <c r="P75" s="555">
        <f t="shared" si="56"/>
        <v>90.55710994998563</v>
      </c>
      <c r="Q75" s="556">
        <f t="shared" si="57"/>
        <v>54.225814341308762</v>
      </c>
      <c r="R75" s="561">
        <f t="shared" si="58"/>
        <v>254.27556818181819</v>
      </c>
      <c r="S75" s="583">
        <f t="shared" si="59"/>
        <v>13788.29975175807</v>
      </c>
      <c r="T75" s="555">
        <f t="shared" si="60"/>
        <v>5.7061612686227292</v>
      </c>
      <c r="U75" s="559">
        <f t="shared" si="61"/>
        <v>154.50490219883392</v>
      </c>
      <c r="V75" s="582">
        <f t="shared" si="62"/>
        <v>881.62988873932886</v>
      </c>
      <c r="W75" s="555">
        <f t="shared" si="63"/>
        <v>1.4418645848522282</v>
      </c>
      <c r="X75" s="559">
        <f t="shared" si="64"/>
        <v>37.9060089869281</v>
      </c>
      <c r="Y75" s="582">
        <f t="shared" si="65"/>
        <v>54.655331911341918</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14650.975515942742</v>
      </c>
      <c r="I76" s="553">
        <f>ITECountywide!$B$9*E76</f>
        <v>18.182186723634896</v>
      </c>
      <c r="J76" s="562">
        <f t="shared" si="53"/>
        <v>1.67</v>
      </c>
      <c r="K76" s="416">
        <f t="shared" si="54"/>
        <v>0.85658336747234742</v>
      </c>
      <c r="L76" s="554">
        <f>Passby_Length_Adj!H71</f>
        <v>1.3209364175632392</v>
      </c>
      <c r="M76" s="554">
        <f>Passby_Length_Adj!J71</f>
        <v>1</v>
      </c>
      <c r="N76" s="416">
        <v>0.5</v>
      </c>
      <c r="O76" s="546">
        <f t="shared" si="55"/>
        <v>0.6604682087816196</v>
      </c>
      <c r="P76" s="555">
        <f t="shared" si="56"/>
        <v>90.10440723170592</v>
      </c>
      <c r="Q76" s="556">
        <f t="shared" si="57"/>
        <v>53.954734869284984</v>
      </c>
      <c r="R76" s="561">
        <f t="shared" si="58"/>
        <v>254.27556818181819</v>
      </c>
      <c r="S76" s="583">
        <f t="shared" si="59"/>
        <v>13719.370864986797</v>
      </c>
      <c r="T76" s="555">
        <f t="shared" si="60"/>
        <v>5.6776356816348645</v>
      </c>
      <c r="U76" s="559">
        <f t="shared" si="61"/>
        <v>154.50490219883392</v>
      </c>
      <c r="V76" s="582">
        <f t="shared" si="62"/>
        <v>877.22254571160454</v>
      </c>
      <c r="W76" s="555">
        <f t="shared" si="63"/>
        <v>1.4346565807836975</v>
      </c>
      <c r="X76" s="559">
        <f t="shared" si="64"/>
        <v>37.9060089869281</v>
      </c>
      <c r="Y76" s="582">
        <f t="shared" si="65"/>
        <v>54.382105244342377</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14559.995597832083</v>
      </c>
      <c r="I77" s="553">
        <f>ITECountywide!$B$9*E77</f>
        <v>18.069278620185472</v>
      </c>
      <c r="J77" s="562">
        <f t="shared" si="53"/>
        <v>1.67</v>
      </c>
      <c r="K77" s="416">
        <f t="shared" si="54"/>
        <v>0.85658336747234742</v>
      </c>
      <c r="L77" s="554">
        <f>Passby_Length_Adj!H72</f>
        <v>1.3209364175632392</v>
      </c>
      <c r="M77" s="554">
        <f>Passby_Length_Adj!J72</f>
        <v>1</v>
      </c>
      <c r="N77" s="416">
        <v>0.5</v>
      </c>
      <c r="O77" s="546">
        <f t="shared" si="55"/>
        <v>0.6604682087816196</v>
      </c>
      <c r="P77" s="555">
        <f t="shared" si="56"/>
        <v>89.544875097997149</v>
      </c>
      <c r="Q77" s="556">
        <f t="shared" si="57"/>
        <v>53.619685687423448</v>
      </c>
      <c r="R77" s="561">
        <f t="shared" si="58"/>
        <v>254.27556818181819</v>
      </c>
      <c r="S77" s="583">
        <f t="shared" si="59"/>
        <v>13634.176043900103</v>
      </c>
      <c r="T77" s="555">
        <f t="shared" si="60"/>
        <v>5.6423785870601577</v>
      </c>
      <c r="U77" s="559">
        <f t="shared" si="61"/>
        <v>154.50490219883392</v>
      </c>
      <c r="V77" s="582">
        <f t="shared" si="62"/>
        <v>871.77515176252439</v>
      </c>
      <c r="W77" s="555">
        <f t="shared" si="63"/>
        <v>1.4257476219164475</v>
      </c>
      <c r="X77" s="559">
        <f t="shared" si="64"/>
        <v>37.9060089869281</v>
      </c>
      <c r="Y77" s="582">
        <f t="shared" si="65"/>
        <v>54.044402169456227</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23646.375797051969</v>
      </c>
      <c r="I78" s="553">
        <f>ITECountywide!$B$9*E78</f>
        <v>29.345678696370033</v>
      </c>
      <c r="J78" s="562">
        <f t="shared" si="53"/>
        <v>1.67</v>
      </c>
      <c r="K78" s="416">
        <f t="shared" si="54"/>
        <v>0.85658336747234742</v>
      </c>
      <c r="L78" s="554">
        <f>Passby_Length_Adj!H73</f>
        <v>1.3209364175632392</v>
      </c>
      <c r="M78" s="554">
        <f>Passby_Length_Adj!J73</f>
        <v>1</v>
      </c>
      <c r="N78" s="416">
        <v>0.5</v>
      </c>
      <c r="O78" s="546">
        <f t="shared" si="55"/>
        <v>0.6604682087816196</v>
      </c>
      <c r="P78" s="555">
        <f t="shared" si="56"/>
        <v>145.42667633653642</v>
      </c>
      <c r="Q78" s="556">
        <f t="shared" si="57"/>
        <v>87.081842117686477</v>
      </c>
      <c r="R78" s="561">
        <f t="shared" si="58"/>
        <v>254.27556818181819</v>
      </c>
      <c r="S78" s="583">
        <f t="shared" si="59"/>
        <v>22142.784882794116</v>
      </c>
      <c r="T78" s="555">
        <f t="shared" si="60"/>
        <v>9.1635882416564396</v>
      </c>
      <c r="U78" s="559">
        <f t="shared" si="61"/>
        <v>154.50490219883392</v>
      </c>
      <c r="V78" s="582">
        <f t="shared" si="62"/>
        <v>1415.8193050675127</v>
      </c>
      <c r="W78" s="555">
        <f t="shared" si="63"/>
        <v>2.3155064734091897</v>
      </c>
      <c r="X78" s="559">
        <f t="shared" si="64"/>
        <v>37.9060089869281</v>
      </c>
      <c r="Y78" s="582">
        <f t="shared" si="65"/>
        <v>87.771609190338935</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11611.407509979197</v>
      </c>
      <c r="I79" s="553">
        <f>ITECountywide!$B$9*E79</f>
        <v>14.410015172090286</v>
      </c>
      <c r="J79" s="562">
        <f t="shared" si="53"/>
        <v>1.67</v>
      </c>
      <c r="K79" s="416">
        <f t="shared" si="54"/>
        <v>0.85658336747234742</v>
      </c>
      <c r="L79" s="554">
        <f>Passby_Length_Adj!H74</f>
        <v>1.3209364175632392</v>
      </c>
      <c r="M79" s="554">
        <f>Passby_Length_Adj!J74</f>
        <v>1</v>
      </c>
      <c r="N79" s="416">
        <v>0.5</v>
      </c>
      <c r="O79" s="546">
        <f t="shared" si="55"/>
        <v>0.6604682087816196</v>
      </c>
      <c r="P79" s="555">
        <f t="shared" si="56"/>
        <v>71.410875656298018</v>
      </c>
      <c r="Q79" s="556">
        <f t="shared" si="57"/>
        <v>42.761003387004806</v>
      </c>
      <c r="R79" s="561">
        <f t="shared" si="58"/>
        <v>254.27556818181819</v>
      </c>
      <c r="S79" s="583">
        <f t="shared" si="59"/>
        <v>10873.078432255299</v>
      </c>
      <c r="T79" s="555">
        <f t="shared" si="60"/>
        <v>4.4997236887689134</v>
      </c>
      <c r="U79" s="559">
        <f t="shared" si="61"/>
        <v>154.50490219883392</v>
      </c>
      <c r="V79" s="582">
        <f t="shared" si="62"/>
        <v>695.22936845501715</v>
      </c>
      <c r="W79" s="555">
        <f t="shared" si="63"/>
        <v>1.1370152231996946</v>
      </c>
      <c r="X79" s="559">
        <f t="shared" si="64"/>
        <v>37.9060089869281</v>
      </c>
      <c r="Y79" s="582">
        <f t="shared" si="65"/>
        <v>43.099709268881682</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16431.237042423389</v>
      </c>
      <c r="I80" s="553">
        <f>ITECountywide!$B$9*E80</f>
        <v>20.391530903901348</v>
      </c>
      <c r="J80" s="562">
        <f t="shared" si="53"/>
        <v>1.67</v>
      </c>
      <c r="K80" s="416">
        <f t="shared" si="54"/>
        <v>0.85658336747234742</v>
      </c>
      <c r="L80" s="554">
        <f>Passby_Length_Adj!H75</f>
        <v>1.3209364175632392</v>
      </c>
      <c r="M80" s="554">
        <f>Passby_Length_Adj!J75</f>
        <v>1</v>
      </c>
      <c r="N80" s="416">
        <v>0.5</v>
      </c>
      <c r="O80" s="546">
        <f t="shared" si="55"/>
        <v>0.6604682087816196</v>
      </c>
      <c r="P80" s="555">
        <f t="shared" si="56"/>
        <v>101.05312592872359</v>
      </c>
      <c r="Q80" s="556">
        <f t="shared" si="57"/>
        <v>60.510853849535089</v>
      </c>
      <c r="R80" s="561">
        <f t="shared" si="58"/>
        <v>254.27556818181819</v>
      </c>
      <c r="S80" s="583">
        <f t="shared" si="59"/>
        <v>15386.431743757495</v>
      </c>
      <c r="T80" s="555">
        <f t="shared" si="60"/>
        <v>6.3675335218428009</v>
      </c>
      <c r="U80" s="559">
        <f t="shared" si="61"/>
        <v>154.50490219883392</v>
      </c>
      <c r="V80" s="582">
        <f t="shared" si="62"/>
        <v>983.81514404011841</v>
      </c>
      <c r="W80" s="555">
        <f t="shared" si="63"/>
        <v>1.6089838064146624</v>
      </c>
      <c r="X80" s="559">
        <f t="shared" si="64"/>
        <v>37.9060089869281</v>
      </c>
      <c r="Y80" s="582">
        <f t="shared" si="65"/>
        <v>60.990154625775979</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14799.829726631653</v>
      </c>
      <c r="I81" s="553">
        <f>ITECountywide!$B$9*E81</f>
        <v>63.077802262734835</v>
      </c>
      <c r="J81" s="562">
        <f t="shared" si="53"/>
        <v>1.67</v>
      </c>
      <c r="K81" s="416">
        <f t="shared" si="54"/>
        <v>0.85658336747234742</v>
      </c>
      <c r="L81" s="554">
        <f>Passby_Length_Adj!H76</f>
        <v>0.3846286671810874</v>
      </c>
      <c r="M81" s="554">
        <f>Passby_Length_Adj!J76</f>
        <v>1</v>
      </c>
      <c r="N81" s="416">
        <v>0.5</v>
      </c>
      <c r="O81" s="546">
        <f t="shared" si="55"/>
        <v>0.1923143335905437</v>
      </c>
      <c r="P81" s="555">
        <f t="shared" si="56"/>
        <v>91.019869850797235</v>
      </c>
      <c r="Q81" s="556">
        <f t="shared" si="57"/>
        <v>54.502916078321697</v>
      </c>
      <c r="R81" s="561">
        <f t="shared" si="58"/>
        <v>254.27556818181819</v>
      </c>
      <c r="S81" s="583">
        <f t="shared" si="59"/>
        <v>13858.759953381203</v>
      </c>
      <c r="T81" s="555">
        <f t="shared" si="60"/>
        <v>5.7353205762037813</v>
      </c>
      <c r="U81" s="559">
        <f t="shared" si="61"/>
        <v>154.50490219883392</v>
      </c>
      <c r="V81" s="582">
        <f t="shared" si="62"/>
        <v>886.13514470532505</v>
      </c>
      <c r="W81" s="555">
        <f t="shared" si="63"/>
        <v>1.4492327209669793</v>
      </c>
      <c r="X81" s="559">
        <f t="shared" si="64"/>
        <v>37.9060089869281</v>
      </c>
      <c r="Y81" s="582">
        <f t="shared" si="65"/>
        <v>54.934628545124582</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32993.923981186163</v>
      </c>
      <c r="I82" s="553">
        <f>ITECountywide!$B$9*E82</f>
        <v>40.946194055033907</v>
      </c>
      <c r="J82" s="562">
        <f t="shared" si="53"/>
        <v>1.67</v>
      </c>
      <c r="K82" s="416">
        <f t="shared" si="54"/>
        <v>0.85658336747234742</v>
      </c>
      <c r="L82" s="554">
        <f>Passby_Length_Adj!H77</f>
        <v>1.3209364175632392</v>
      </c>
      <c r="M82" s="554">
        <f>Passby_Length_Adj!J77</f>
        <v>1</v>
      </c>
      <c r="N82" s="416">
        <v>0.5</v>
      </c>
      <c r="O82" s="546">
        <f t="shared" si="55"/>
        <v>0.6604682087816196</v>
      </c>
      <c r="P82" s="555">
        <f t="shared" si="56"/>
        <v>202.91467686487695</v>
      </c>
      <c r="Q82" s="556">
        <f t="shared" si="57"/>
        <v>121.50579452986645</v>
      </c>
      <c r="R82" s="561">
        <f t="shared" si="58"/>
        <v>254.27556818181819</v>
      </c>
      <c r="S82" s="583">
        <f t="shared" si="59"/>
        <v>30895.954941465046</v>
      </c>
      <c r="T82" s="555">
        <f t="shared" si="60"/>
        <v>12.786007311860343</v>
      </c>
      <c r="U82" s="559">
        <f t="shared" si="61"/>
        <v>154.50490219883392</v>
      </c>
      <c r="V82" s="582">
        <f t="shared" si="62"/>
        <v>1975.5008092325577</v>
      </c>
      <c r="W82" s="555">
        <f t="shared" si="63"/>
        <v>3.2308394832806413</v>
      </c>
      <c r="X82" s="559">
        <f t="shared" si="64"/>
        <v>37.9060089869281</v>
      </c>
      <c r="Y82" s="582">
        <f t="shared" si="65"/>
        <v>122.46823048855813</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4767.4164148143927</v>
      </c>
      <c r="I83" s="553">
        <f>ITECountywide!$B$9*E83</f>
        <v>20.319027682909702</v>
      </c>
      <c r="J83" s="562">
        <f t="shared" si="53"/>
        <v>1.67</v>
      </c>
      <c r="K83" s="416">
        <f t="shared" si="54"/>
        <v>0.85658336747234742</v>
      </c>
      <c r="L83" s="554">
        <f>Passby_Length_Adj!H78</f>
        <v>0.3846286671810874</v>
      </c>
      <c r="M83" s="554">
        <f>Passby_Length_Adj!J78</f>
        <v>1</v>
      </c>
      <c r="N83" s="416">
        <v>0.5</v>
      </c>
      <c r="O83" s="546">
        <f t="shared" si="55"/>
        <v>0.1923143335905437</v>
      </c>
      <c r="P83" s="555">
        <f t="shared" si="56"/>
        <v>29.319906351363137</v>
      </c>
      <c r="Q83" s="556">
        <f t="shared" si="57"/>
        <v>17.556830150516848</v>
      </c>
      <c r="R83" s="561">
        <f t="shared" si="58"/>
        <v>254.27556818181819</v>
      </c>
      <c r="S83" s="583">
        <f t="shared" si="59"/>
        <v>4464.2729619943484</v>
      </c>
      <c r="T83" s="555">
        <f t="shared" si="60"/>
        <v>1.8474983810127703</v>
      </c>
      <c r="U83" s="559">
        <f t="shared" si="61"/>
        <v>154.50490219883392</v>
      </c>
      <c r="V83" s="582">
        <f t="shared" si="62"/>
        <v>285.44755667088208</v>
      </c>
      <c r="W83" s="555">
        <f t="shared" si="63"/>
        <v>0.46683617247240922</v>
      </c>
      <c r="X83" s="559">
        <f t="shared" si="64"/>
        <v>37.9060089869281</v>
      </c>
      <c r="Y83" s="582">
        <f t="shared" si="65"/>
        <v>17.695896149162259</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49629.638640137491</v>
      </c>
      <c r="I84" s="553">
        <f>ITECountywide!$B$9*E84</f>
        <v>61.591486232406027</v>
      </c>
      <c r="J84" s="562">
        <f t="shared" si="53"/>
        <v>1.67</v>
      </c>
      <c r="K84" s="416">
        <f t="shared" si="54"/>
        <v>0.85658336747234742</v>
      </c>
      <c r="L84" s="554">
        <f>Passby_Length_Adj!H79</f>
        <v>1.3209364175632392</v>
      </c>
      <c r="M84" s="554">
        <f>Passby_Length_Adj!J79</f>
        <v>1</v>
      </c>
      <c r="N84" s="416">
        <v>0.5</v>
      </c>
      <c r="O84" s="546">
        <f t="shared" si="55"/>
        <v>0.6604682087816196</v>
      </c>
      <c r="P84" s="555">
        <f t="shared" si="56"/>
        <v>305.22535280515797</v>
      </c>
      <c r="Q84" s="556">
        <f t="shared" si="57"/>
        <v>182.76967233841796</v>
      </c>
      <c r="R84" s="561">
        <f t="shared" si="58"/>
        <v>254.27556818181819</v>
      </c>
      <c r="S84" s="583">
        <f t="shared" si="59"/>
        <v>46473.862280255969</v>
      </c>
      <c r="T84" s="555">
        <f t="shared" si="60"/>
        <v>19.232781250863855</v>
      </c>
      <c r="U84" s="559">
        <f t="shared" si="61"/>
        <v>154.50490219883392</v>
      </c>
      <c r="V84" s="582">
        <f t="shared" si="62"/>
        <v>2971.5589861762865</v>
      </c>
      <c r="W84" s="555">
        <f t="shared" si="63"/>
        <v>4.8598461992862418</v>
      </c>
      <c r="X84" s="559">
        <f t="shared" si="64"/>
        <v>37.9060089869281</v>
      </c>
      <c r="Y84" s="582">
        <f t="shared" si="65"/>
        <v>184.21737370523266</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16168.337249744613</v>
      </c>
      <c r="I85" s="553">
        <f>ITECountywide!$B$9*E85</f>
        <v>20.065266409438927</v>
      </c>
      <c r="J85" s="562">
        <f t="shared" si="53"/>
        <v>1.67</v>
      </c>
      <c r="K85" s="416">
        <f t="shared" si="54"/>
        <v>0.85658336747234742</v>
      </c>
      <c r="L85" s="554">
        <f>Passby_Length_Adj!H80</f>
        <v>1.3209364175632392</v>
      </c>
      <c r="M85" s="554">
        <f>Passby_Length_Adj!J80</f>
        <v>1</v>
      </c>
      <c r="N85" s="416">
        <v>0.5</v>
      </c>
      <c r="O85" s="546">
        <f t="shared" si="55"/>
        <v>0.6604682087816196</v>
      </c>
      <c r="P85" s="555">
        <f t="shared" si="56"/>
        <v>99.436275913864009</v>
      </c>
      <c r="Q85" s="556">
        <f t="shared" si="57"/>
        <v>59.542680187942523</v>
      </c>
      <c r="R85" s="561">
        <f t="shared" si="58"/>
        <v>254.27556818181819</v>
      </c>
      <c r="S85" s="583">
        <f t="shared" si="59"/>
        <v>15140.248835857374</v>
      </c>
      <c r="T85" s="555">
        <f t="shared" si="60"/>
        <v>6.2656529854933165</v>
      </c>
      <c r="U85" s="559">
        <f t="shared" si="61"/>
        <v>154.50490219883392</v>
      </c>
      <c r="V85" s="582">
        <f t="shared" si="62"/>
        <v>968.07410173547657</v>
      </c>
      <c r="W85" s="555">
        <f t="shared" si="63"/>
        <v>1.5832400655120278</v>
      </c>
      <c r="X85" s="559">
        <f t="shared" si="64"/>
        <v>37.9060089869281</v>
      </c>
      <c r="Y85" s="582">
        <f t="shared" si="65"/>
        <v>60.014312151763562</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16445.842586461098</v>
      </c>
      <c r="I86" s="553">
        <f>ITECountywide!$B$9*E86</f>
        <v>20.40965670914926</v>
      </c>
      <c r="J86" s="562">
        <f t="shared" si="53"/>
        <v>1.67</v>
      </c>
      <c r="K86" s="416">
        <f t="shared" si="54"/>
        <v>0.85658336747234742</v>
      </c>
      <c r="L86" s="554">
        <f>Passby_Length_Adj!H81</f>
        <v>1.3209364175632392</v>
      </c>
      <c r="M86" s="554">
        <f>Passby_Length_Adj!J81</f>
        <v>1</v>
      </c>
      <c r="N86" s="416">
        <v>0.5</v>
      </c>
      <c r="O86" s="546">
        <f t="shared" si="55"/>
        <v>0.6604682087816196</v>
      </c>
      <c r="P86" s="555">
        <f t="shared" si="56"/>
        <v>101.14295092954913</v>
      </c>
      <c r="Q86" s="556">
        <f t="shared" si="57"/>
        <v>60.56464127517912</v>
      </c>
      <c r="R86" s="561">
        <f t="shared" si="58"/>
        <v>254.27556818181819</v>
      </c>
      <c r="S86" s="583">
        <f t="shared" si="59"/>
        <v>15400.108571974168</v>
      </c>
      <c r="T86" s="555">
        <f t="shared" si="60"/>
        <v>6.3731935516399947</v>
      </c>
      <c r="U86" s="559">
        <f t="shared" si="61"/>
        <v>154.50490219883392</v>
      </c>
      <c r="V86" s="582">
        <f t="shared" si="62"/>
        <v>984.68964639037631</v>
      </c>
      <c r="W86" s="555">
        <f t="shared" si="63"/>
        <v>1.6104140142425865</v>
      </c>
      <c r="X86" s="559">
        <f t="shared" si="64"/>
        <v>37.9060089869281</v>
      </c>
      <c r="Y86" s="582">
        <f t="shared" si="65"/>
        <v>61.044368096554436</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18169.296782910842</v>
      </c>
      <c r="I87" s="553">
        <f>ITECountywide!$B$9*E87</f>
        <v>22.548501728402911</v>
      </c>
      <c r="J87" s="562">
        <f t="shared" si="53"/>
        <v>1.67</v>
      </c>
      <c r="K87" s="416">
        <f t="shared" si="54"/>
        <v>0.85658336747234742</v>
      </c>
      <c r="L87" s="554">
        <f>Passby_Length_Adj!H82</f>
        <v>1.3209364175632392</v>
      </c>
      <c r="M87" s="554">
        <f>Passby_Length_Adj!J82</f>
        <v>1</v>
      </c>
      <c r="N87" s="416">
        <v>0.5</v>
      </c>
      <c r="O87" s="546">
        <f t="shared" si="55"/>
        <v>0.6604682087816196</v>
      </c>
      <c r="P87" s="555">
        <f t="shared" si="56"/>
        <v>111.7423010269619</v>
      </c>
      <c r="Q87" s="556">
        <f t="shared" si="57"/>
        <v>66.911557501174798</v>
      </c>
      <c r="R87" s="561">
        <f t="shared" si="58"/>
        <v>254.27556818181819</v>
      </c>
      <c r="S87" s="583">
        <f t="shared" si="59"/>
        <v>17013.974301541621</v>
      </c>
      <c r="T87" s="555">
        <f t="shared" si="60"/>
        <v>7.041077067708839</v>
      </c>
      <c r="U87" s="559">
        <f t="shared" si="61"/>
        <v>154.50490219883392</v>
      </c>
      <c r="V87" s="582">
        <f t="shared" si="62"/>
        <v>1087.8809237208065</v>
      </c>
      <c r="W87" s="555">
        <f t="shared" si="63"/>
        <v>1.7791785379376353</v>
      </c>
      <c r="X87" s="559">
        <f t="shared" si="64"/>
        <v>37.9060089869281</v>
      </c>
      <c r="Y87" s="582">
        <f t="shared" si="65"/>
        <v>67.441557648413593</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9360.0157161705229</v>
      </c>
      <c r="I89" s="553">
        <f>ITECountywide!$B$9*E89</f>
        <v>32.717078472481724</v>
      </c>
      <c r="J89" s="562">
        <f t="shared" ref="J89:J126" si="67">IF(F89="Prod",$M$3,$M$4)</f>
        <v>1.67</v>
      </c>
      <c r="K89" s="416">
        <f t="shared" ref="K89:K126" si="68">IF(F89="Prod",$F$4,$F$5)</f>
        <v>0.85658336747234742</v>
      </c>
      <c r="L89" s="554">
        <f>Passby_Length_Adj!H84</f>
        <v>0.4689899613519371</v>
      </c>
      <c r="M89" s="554">
        <f>Passby_Length_Adj!J84</f>
        <v>1</v>
      </c>
      <c r="N89" s="416">
        <v>0.5</v>
      </c>
      <c r="O89" s="546">
        <f t="shared" ref="O89:O126" si="69">L89*M89*N89</f>
        <v>0.23449498067596855</v>
      </c>
      <c r="P89" s="555">
        <f t="shared" ref="P89:P126" si="70">IF($F89="Prod",$I89*$O89*$F$4*$F$6,$I89*O89*$F$5*$F$7)</f>
        <v>57.564676622881358</v>
      </c>
      <c r="Q89" s="556">
        <f t="shared" ref="Q89:Q126" si="71">+P89/J89</f>
        <v>34.469866241246322</v>
      </c>
      <c r="R89" s="561">
        <f t="shared" ref="R89:R126" si="72">+$Q$4</f>
        <v>254.27556818181819</v>
      </c>
      <c r="S89" s="583">
        <f t="shared" ref="S89:S126" si="73">+Q89*R89</f>
        <v>8764.8448236441818</v>
      </c>
      <c r="T89" s="555">
        <f t="shared" ref="T89:T126" si="74">IF($F89="Prod",$I89*$O89*$G$4*$G$6,$I89*$O89*$G$5*$G$7)</f>
        <v>3.6272505645077726</v>
      </c>
      <c r="U89" s="559">
        <f t="shared" ref="U89:U126" si="75">+$R$4</f>
        <v>154.50490219883392</v>
      </c>
      <c r="V89" s="582">
        <f t="shared" ref="V89:V126" si="76">+T89*U89</f>
        <v>560.42799371993851</v>
      </c>
      <c r="W89" s="555">
        <f t="shared" ref="W89:W126" si="77">IF($F89="Prod",$I89*$O89*$J$4*$J$6,$I89*$O89*$J$5*$J$7)</f>
        <v>0.91655385874001993</v>
      </c>
      <c r="X89" s="559">
        <f t="shared" ref="X89:X126" si="78">$S$4</f>
        <v>37.9060089869281</v>
      </c>
      <c r="Y89" s="582">
        <f t="shared" ref="Y89:Y126" si="79">+W89*X89</f>
        <v>34.742898806402827</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26291.01367367565</v>
      </c>
      <c r="I90" s="553">
        <f>ITECountywide!$B$9*E90</f>
        <v>91.897832606915415</v>
      </c>
      <c r="J90" s="562">
        <f t="shared" si="67"/>
        <v>1.67</v>
      </c>
      <c r="K90" s="416">
        <f t="shared" si="68"/>
        <v>0.85658336747234742</v>
      </c>
      <c r="L90" s="554">
        <f>Passby_Length_Adj!H85</f>
        <v>0.4689899613519371</v>
      </c>
      <c r="M90" s="554">
        <f>Passby_Length_Adj!J85</f>
        <v>1</v>
      </c>
      <c r="N90" s="416">
        <v>0.5</v>
      </c>
      <c r="O90" s="546">
        <f t="shared" si="69"/>
        <v>0.23449498067596855</v>
      </c>
      <c r="P90" s="555">
        <f t="shared" si="70"/>
        <v>161.69136314571105</v>
      </c>
      <c r="Q90" s="556">
        <f t="shared" si="71"/>
        <v>96.821175536353934</v>
      </c>
      <c r="R90" s="561">
        <f t="shared" si="72"/>
        <v>254.27556818181819</v>
      </c>
      <c r="S90" s="583">
        <f t="shared" si="73"/>
        <v>24619.25942153795</v>
      </c>
      <c r="T90" s="555">
        <f t="shared" si="74"/>
        <v>10.188454494212966</v>
      </c>
      <c r="U90" s="559">
        <f t="shared" si="75"/>
        <v>154.50490219883392</v>
      </c>
      <c r="V90" s="582">
        <f t="shared" si="76"/>
        <v>1574.1661651856441</v>
      </c>
      <c r="W90" s="555">
        <f t="shared" si="77"/>
        <v>2.5744753816132415</v>
      </c>
      <c r="X90" s="559">
        <f t="shared" si="78"/>
        <v>37.9060089869281</v>
      </c>
      <c r="Y90" s="582">
        <f t="shared" si="79"/>
        <v>97.588086952056685</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4739.6423072464595</v>
      </c>
      <c r="I91" s="553">
        <f>ITECountywide!$B$9*E91</f>
        <v>16.566985996591853</v>
      </c>
      <c r="J91" s="562">
        <f t="shared" si="67"/>
        <v>1.67</v>
      </c>
      <c r="K91" s="416">
        <f t="shared" si="68"/>
        <v>0.85658336747234742</v>
      </c>
      <c r="L91" s="554">
        <f>Passby_Length_Adj!H86</f>
        <v>0.4689899613519371</v>
      </c>
      <c r="M91" s="554">
        <f>Passby_Length_Adj!J86</f>
        <v>1</v>
      </c>
      <c r="N91" s="416">
        <v>0.5</v>
      </c>
      <c r="O91" s="546">
        <f t="shared" si="69"/>
        <v>0.23449498067596855</v>
      </c>
      <c r="P91" s="555">
        <f t="shared" si="70"/>
        <v>29.14909386887178</v>
      </c>
      <c r="Q91" s="556">
        <f t="shared" si="71"/>
        <v>17.45454722686933</v>
      </c>
      <c r="R91" s="561">
        <f t="shared" si="72"/>
        <v>254.27556818181819</v>
      </c>
      <c r="S91" s="583">
        <f t="shared" si="73"/>
        <v>4438.264913468578</v>
      </c>
      <c r="T91" s="555">
        <f t="shared" si="74"/>
        <v>1.8367351888975649</v>
      </c>
      <c r="U91" s="559">
        <f t="shared" si="75"/>
        <v>154.50490219883392</v>
      </c>
      <c r="V91" s="582">
        <f t="shared" si="76"/>
        <v>283.78459072577499</v>
      </c>
      <c r="W91" s="555">
        <f t="shared" si="77"/>
        <v>0.4641164691902373</v>
      </c>
      <c r="X91" s="559">
        <f t="shared" si="78"/>
        <v>37.9060089869281</v>
      </c>
      <c r="Y91" s="582">
        <f t="shared" si="79"/>
        <v>17.592803052106476</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35313.965111978541</v>
      </c>
      <c r="I92" s="553">
        <f>ITECountywide!$B$9*E92</f>
        <v>123.43673373828283</v>
      </c>
      <c r="J92" s="562">
        <f t="shared" si="67"/>
        <v>1.67</v>
      </c>
      <c r="K92" s="416">
        <f t="shared" si="68"/>
        <v>0.85658336747234742</v>
      </c>
      <c r="L92" s="554">
        <f>Passby_Length_Adj!H87</f>
        <v>0.4689899613519371</v>
      </c>
      <c r="M92" s="554">
        <f>Passby_Length_Adj!J87</f>
        <v>1</v>
      </c>
      <c r="N92" s="416">
        <v>0.5</v>
      </c>
      <c r="O92" s="546">
        <f t="shared" si="69"/>
        <v>0.23449498067596855</v>
      </c>
      <c r="P92" s="555">
        <f t="shared" si="70"/>
        <v>217.18307357441662</v>
      </c>
      <c r="Q92" s="556">
        <f t="shared" si="71"/>
        <v>130.04974465533931</v>
      </c>
      <c r="R92" s="561">
        <f t="shared" si="72"/>
        <v>254.27556818181819</v>
      </c>
      <c r="S92" s="583">
        <f t="shared" si="73"/>
        <v>33068.472714136777</v>
      </c>
      <c r="T92" s="555">
        <f t="shared" si="74"/>
        <v>13.685083847256472</v>
      </c>
      <c r="U92" s="559">
        <f t="shared" si="75"/>
        <v>154.50490219883392</v>
      </c>
      <c r="V92" s="582">
        <f t="shared" si="76"/>
        <v>2114.4125414032028</v>
      </c>
      <c r="W92" s="555">
        <f t="shared" si="77"/>
        <v>3.4580231457171942</v>
      </c>
      <c r="X92" s="559">
        <f t="shared" si="78"/>
        <v>37.9060089869281</v>
      </c>
      <c r="Y92" s="582">
        <f t="shared" si="79"/>
        <v>131.07985643856134</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19575.656137697351</v>
      </c>
      <c r="I93" s="553">
        <f>ITECountywide!$B$9*E93</f>
        <v>68.42491481086897</v>
      </c>
      <c r="J93" s="562">
        <f t="shared" si="67"/>
        <v>1.67</v>
      </c>
      <c r="K93" s="416">
        <f t="shared" si="68"/>
        <v>0.85658336747234742</v>
      </c>
      <c r="L93" s="554">
        <f>Passby_Length_Adj!H88</f>
        <v>0.4689899613519371</v>
      </c>
      <c r="M93" s="554">
        <f>Passby_Length_Adj!J88</f>
        <v>1</v>
      </c>
      <c r="N93" s="416">
        <v>0.5</v>
      </c>
      <c r="O93" s="546">
        <f t="shared" si="69"/>
        <v>0.23449498067596855</v>
      </c>
      <c r="P93" s="555">
        <f t="shared" si="70"/>
        <v>120.39149820020891</v>
      </c>
      <c r="Q93" s="556">
        <f t="shared" si="71"/>
        <v>72.090717485155039</v>
      </c>
      <c r="R93" s="561">
        <f t="shared" si="72"/>
        <v>254.27556818181819</v>
      </c>
      <c r="S93" s="583">
        <f t="shared" si="73"/>
        <v>18330.908149172734</v>
      </c>
      <c r="T93" s="555">
        <f t="shared" si="74"/>
        <v>7.5860780504248426</v>
      </c>
      <c r="U93" s="559">
        <f t="shared" si="75"/>
        <v>154.50490219883392</v>
      </c>
      <c r="V93" s="582">
        <f t="shared" si="76"/>
        <v>1172.086247253611</v>
      </c>
      <c r="W93" s="555">
        <f t="shared" si="77"/>
        <v>1.9168924192485179</v>
      </c>
      <c r="X93" s="559">
        <f t="shared" si="78"/>
        <v>37.9060089869281</v>
      </c>
      <c r="Y93" s="582">
        <f t="shared" si="79"/>
        <v>72.661741271008665</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19001.361923000066</v>
      </c>
      <c r="I94" s="553">
        <f>ITECountywide!$B$9*E94</f>
        <v>284.21511603055654</v>
      </c>
      <c r="J94" s="562">
        <f t="shared" si="67"/>
        <v>1.67</v>
      </c>
      <c r="K94" s="416">
        <f t="shared" si="68"/>
        <v>0.85658336747234742</v>
      </c>
      <c r="L94" s="554">
        <f>Passby_Length_Adj!H89</f>
        <v>0.3846286671810874</v>
      </c>
      <c r="M94" s="554">
        <f>Passby_Length_Adj!J89</f>
        <v>0.28494260634706281</v>
      </c>
      <c r="N94" s="416">
        <v>0.5</v>
      </c>
      <c r="O94" s="546">
        <f t="shared" si="69"/>
        <v>5.4798547451188014E-2</v>
      </c>
      <c r="P94" s="555">
        <f t="shared" si="70"/>
        <v>116.85955319520988</v>
      </c>
      <c r="Q94" s="556">
        <f t="shared" si="71"/>
        <v>69.975780356413111</v>
      </c>
      <c r="R94" s="561">
        <f t="shared" si="72"/>
        <v>254.27556818181819</v>
      </c>
      <c r="S94" s="583">
        <f t="shared" si="73"/>
        <v>17793.131309093056</v>
      </c>
      <c r="T94" s="555">
        <f t="shared" si="74"/>
        <v>7.3635240422242516</v>
      </c>
      <c r="U94" s="559">
        <f t="shared" si="75"/>
        <v>154.50490219883392</v>
      </c>
      <c r="V94" s="582">
        <f t="shared" si="76"/>
        <v>1137.7005619826202</v>
      </c>
      <c r="W94" s="555">
        <f t="shared" si="77"/>
        <v>1.8606562339156774</v>
      </c>
      <c r="X94" s="559">
        <f t="shared" si="78"/>
        <v>37.9060089869281</v>
      </c>
      <c r="Y94" s="582">
        <f t="shared" si="79"/>
        <v>70.530051924391458</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10142.086482481671</v>
      </c>
      <c r="I95" s="553">
        <f>ITECountywide!$B$9*E95</f>
        <v>160.19124330117839</v>
      </c>
      <c r="J95" s="562">
        <f t="shared" si="67"/>
        <v>1.67</v>
      </c>
      <c r="K95" s="416">
        <f t="shared" si="68"/>
        <v>0.85658336747234742</v>
      </c>
      <c r="L95" s="554">
        <f>Passby_Length_Adj!H90</f>
        <v>0.3846286671810874</v>
      </c>
      <c r="M95" s="554">
        <f>Passby_Length_Adj!J90</f>
        <v>0.26984126984126988</v>
      </c>
      <c r="N95" s="416">
        <v>0.5</v>
      </c>
      <c r="O95" s="546">
        <f t="shared" si="69"/>
        <v>5.1894343984749895E-2</v>
      </c>
      <c r="P95" s="555">
        <f t="shared" si="70"/>
        <v>62.374460294625997</v>
      </c>
      <c r="Q95" s="556">
        <f t="shared" si="71"/>
        <v>37.349976224326944</v>
      </c>
      <c r="R95" s="561">
        <f t="shared" si="72"/>
        <v>254.27556818181819</v>
      </c>
      <c r="S95" s="583">
        <f t="shared" si="73"/>
        <v>9497.1864260181337</v>
      </c>
      <c r="T95" s="555">
        <f t="shared" si="74"/>
        <v>3.9303234133798406</v>
      </c>
      <c r="U95" s="559">
        <f t="shared" si="75"/>
        <v>154.50490219883392</v>
      </c>
      <c r="V95" s="582">
        <f t="shared" si="76"/>
        <v>607.25423459403942</v>
      </c>
      <c r="W95" s="555">
        <f t="shared" si="77"/>
        <v>0.99313599283108489</v>
      </c>
      <c r="X95" s="559">
        <f t="shared" si="78"/>
        <v>37.9060089869281</v>
      </c>
      <c r="Y95" s="582">
        <f t="shared" si="79"/>
        <v>37.645821869496864</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7564.6093766258309</v>
      </c>
      <c r="I96" s="553">
        <f>ITECountywide!$B$9*E96</f>
        <v>119.48075804939616</v>
      </c>
      <c r="J96" s="562">
        <f t="shared" si="67"/>
        <v>1.67</v>
      </c>
      <c r="K96" s="416">
        <f t="shared" si="68"/>
        <v>0.85658336747234742</v>
      </c>
      <c r="L96" s="554">
        <f>Passby_Length_Adj!H91</f>
        <v>0.3846286671810874</v>
      </c>
      <c r="M96" s="554">
        <f>Passby_Length_Adj!J91</f>
        <v>0.26984126984126988</v>
      </c>
      <c r="N96" s="416">
        <v>0.5</v>
      </c>
      <c r="O96" s="546">
        <f t="shared" si="69"/>
        <v>5.1894343984749895E-2</v>
      </c>
      <c r="P96" s="555">
        <f t="shared" si="70"/>
        <v>46.522816387111803</v>
      </c>
      <c r="Q96" s="556">
        <f t="shared" si="71"/>
        <v>27.857973884498087</v>
      </c>
      <c r="R96" s="561">
        <f t="shared" si="72"/>
        <v>254.27556818181819</v>
      </c>
      <c r="S96" s="583">
        <f t="shared" si="73"/>
        <v>7083.6021378750038</v>
      </c>
      <c r="T96" s="555">
        <f t="shared" si="74"/>
        <v>2.9314837136697545</v>
      </c>
      <c r="U96" s="559">
        <f t="shared" si="75"/>
        <v>154.50490219883392</v>
      </c>
      <c r="V96" s="582">
        <f t="shared" si="76"/>
        <v>452.92860447801985</v>
      </c>
      <c r="W96" s="555">
        <f t="shared" si="77"/>
        <v>0.74074361884127282</v>
      </c>
      <c r="X96" s="559">
        <f t="shared" si="78"/>
        <v>37.9060089869281</v>
      </c>
      <c r="Y96" s="582">
        <f t="shared" si="79"/>
        <v>28.07863427280693</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27382.332076257037</v>
      </c>
      <c r="I97" s="553">
        <f>ITECountywide!$B$9*E97</f>
        <v>95.712436224945051</v>
      </c>
      <c r="J97" s="562">
        <f t="shared" si="67"/>
        <v>1.67</v>
      </c>
      <c r="K97" s="416">
        <f t="shared" si="68"/>
        <v>0.85658336747234742</v>
      </c>
      <c r="L97" s="554">
        <f>Passby_Length_Adj!H92</f>
        <v>0.4689899613519371</v>
      </c>
      <c r="M97" s="554">
        <f>Passby_Length_Adj!J92</f>
        <v>1</v>
      </c>
      <c r="N97" s="416">
        <v>0.5</v>
      </c>
      <c r="O97" s="546">
        <f t="shared" si="69"/>
        <v>0.23449498067596855</v>
      </c>
      <c r="P97" s="555">
        <f t="shared" si="70"/>
        <v>168.40303894222339</v>
      </c>
      <c r="Q97" s="556">
        <f t="shared" si="71"/>
        <v>100.84014307917569</v>
      </c>
      <c r="R97" s="561">
        <f t="shared" si="72"/>
        <v>254.27556818181819</v>
      </c>
      <c r="S97" s="583">
        <f t="shared" si="73"/>
        <v>25641.184676993238</v>
      </c>
      <c r="T97" s="555">
        <f t="shared" si="74"/>
        <v>10.611368879386731</v>
      </c>
      <c r="U97" s="559">
        <f t="shared" si="75"/>
        <v>154.50490219883392</v>
      </c>
      <c r="V97" s="582">
        <f t="shared" si="76"/>
        <v>1639.5085109053969</v>
      </c>
      <c r="W97" s="555">
        <f t="shared" si="77"/>
        <v>2.6813397420300626</v>
      </c>
      <c r="X97" s="559">
        <f t="shared" si="78"/>
        <v>37.9060089869281</v>
      </c>
      <c r="Y97" s="582">
        <f t="shared" si="79"/>
        <v>101.63888835839903</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23252.991515071288</v>
      </c>
      <c r="I98" s="553">
        <f>ITECountywide!$B$9*E98</f>
        <v>81.278704137667205</v>
      </c>
      <c r="J98" s="562">
        <f t="shared" si="67"/>
        <v>1.67</v>
      </c>
      <c r="K98" s="416">
        <f t="shared" si="68"/>
        <v>0.85658336747234742</v>
      </c>
      <c r="L98" s="554">
        <f>Passby_Length_Adj!H93</f>
        <v>0.4689899613519371</v>
      </c>
      <c r="M98" s="554">
        <f>Passby_Length_Adj!J93</f>
        <v>1</v>
      </c>
      <c r="N98" s="416">
        <v>0.5</v>
      </c>
      <c r="O98" s="546">
        <f t="shared" si="69"/>
        <v>0.23449498067596855</v>
      </c>
      <c r="P98" s="555">
        <f t="shared" si="70"/>
        <v>143.00733862734646</v>
      </c>
      <c r="Q98" s="556">
        <f t="shared" si="71"/>
        <v>85.633136902602672</v>
      </c>
      <c r="R98" s="561">
        <f t="shared" si="72"/>
        <v>254.27556818181819</v>
      </c>
      <c r="S98" s="583">
        <f t="shared" si="73"/>
        <v>21774.414541100716</v>
      </c>
      <c r="T98" s="555">
        <f t="shared" si="74"/>
        <v>9.0111415575747298</v>
      </c>
      <c r="U98" s="559">
        <f t="shared" si="75"/>
        <v>154.50490219883392</v>
      </c>
      <c r="V98" s="582">
        <f t="shared" si="76"/>
        <v>1392.2655450529317</v>
      </c>
      <c r="W98" s="555">
        <f t="shared" si="77"/>
        <v>2.2769853968906797</v>
      </c>
      <c r="X98" s="559">
        <f t="shared" si="78"/>
        <v>37.9060089869281</v>
      </c>
      <c r="Y98" s="582">
        <f t="shared" si="79"/>
        <v>86.311428917642147</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20879.392658452743</v>
      </c>
      <c r="I99" s="553">
        <f>ITECountywide!$B$9*E99</f>
        <v>72.982006524219813</v>
      </c>
      <c r="J99" s="562">
        <f t="shared" si="67"/>
        <v>1.67</v>
      </c>
      <c r="K99" s="416">
        <f t="shared" si="68"/>
        <v>0.85658336747234742</v>
      </c>
      <c r="L99" s="554">
        <f>Passby_Length_Adj!H94</f>
        <v>0.4689899613519371</v>
      </c>
      <c r="M99" s="554">
        <f>Passby_Length_Adj!J94</f>
        <v>1</v>
      </c>
      <c r="N99" s="416">
        <v>0.5</v>
      </c>
      <c r="O99" s="546">
        <f t="shared" si="69"/>
        <v>0.23449498067596855</v>
      </c>
      <c r="P99" s="555">
        <f t="shared" si="70"/>
        <v>128.40955858541406</v>
      </c>
      <c r="Q99" s="556">
        <f t="shared" si="71"/>
        <v>76.891951248750942</v>
      </c>
      <c r="R99" s="561">
        <f t="shared" si="72"/>
        <v>254.27556818181819</v>
      </c>
      <c r="S99" s="583">
        <f t="shared" si="73"/>
        <v>19551.74459238481</v>
      </c>
      <c r="T99" s="555">
        <f t="shared" si="74"/>
        <v>8.0913100045453383</v>
      </c>
      <c r="U99" s="559">
        <f t="shared" si="75"/>
        <v>154.50490219883392</v>
      </c>
      <c r="V99" s="582">
        <f t="shared" si="76"/>
        <v>1250.1470609127239</v>
      </c>
      <c r="W99" s="555">
        <f t="shared" si="77"/>
        <v>2.0445572410943011</v>
      </c>
      <c r="X99" s="559">
        <f t="shared" si="78"/>
        <v>37.9060089869281</v>
      </c>
      <c r="Y99" s="582">
        <f t="shared" si="79"/>
        <v>77.501005155209498</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19266.003351652733</v>
      </c>
      <c r="I100" s="553">
        <f>ITECountywide!$B$9*E100</f>
        <v>67.342551831206222</v>
      </c>
      <c r="J100" s="562">
        <f t="shared" si="67"/>
        <v>1.67</v>
      </c>
      <c r="K100" s="416">
        <f t="shared" si="68"/>
        <v>0.85658336747234742</v>
      </c>
      <c r="L100" s="554">
        <f>Passby_Length_Adj!H95</f>
        <v>0.4689899613519371</v>
      </c>
      <c r="M100" s="554">
        <f>Passby_Length_Adj!J95</f>
        <v>1</v>
      </c>
      <c r="N100" s="416">
        <v>0.5</v>
      </c>
      <c r="O100" s="546">
        <f t="shared" si="69"/>
        <v>0.23449498067596855</v>
      </c>
      <c r="P100" s="555">
        <f t="shared" si="70"/>
        <v>118.48711437922474</v>
      </c>
      <c r="Q100" s="556">
        <f t="shared" si="71"/>
        <v>70.950367891751341</v>
      </c>
      <c r="R100" s="561">
        <f t="shared" si="72"/>
        <v>254.27556818181819</v>
      </c>
      <c r="S100" s="583">
        <f t="shared" si="73"/>
        <v>18040.945108384101</v>
      </c>
      <c r="T100" s="555">
        <f t="shared" si="74"/>
        <v>7.4660795080034532</v>
      </c>
      <c r="U100" s="559">
        <f t="shared" si="75"/>
        <v>154.50490219883392</v>
      </c>
      <c r="V100" s="582">
        <f t="shared" si="76"/>
        <v>1153.5458841927916</v>
      </c>
      <c r="W100" s="555">
        <f t="shared" si="77"/>
        <v>1.8865705197426792</v>
      </c>
      <c r="X100" s="559">
        <f t="shared" si="78"/>
        <v>37.9060089869281</v>
      </c>
      <c r="Y100" s="582">
        <f t="shared" si="79"/>
        <v>71.512359075839612</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18067.729306572528</v>
      </c>
      <c r="I101" s="553">
        <f>ITECountywide!$B$9*E101</f>
        <v>63.154094551514092</v>
      </c>
      <c r="J101" s="562">
        <f t="shared" si="67"/>
        <v>1.67</v>
      </c>
      <c r="K101" s="416">
        <f t="shared" si="68"/>
        <v>0.85658336747234742</v>
      </c>
      <c r="L101" s="554">
        <f>Passby_Length_Adj!H96</f>
        <v>0.4689899613519371</v>
      </c>
      <c r="M101" s="554">
        <f>Passby_Length_Adj!J96</f>
        <v>1</v>
      </c>
      <c r="N101" s="416">
        <v>0.5</v>
      </c>
      <c r="O101" s="546">
        <f t="shared" si="69"/>
        <v>0.23449498067596855</v>
      </c>
      <c r="P101" s="555">
        <f t="shared" si="70"/>
        <v>111.11765475412325</v>
      </c>
      <c r="Q101" s="556">
        <f t="shared" si="71"/>
        <v>66.537517816840278</v>
      </c>
      <c r="R101" s="561">
        <f t="shared" si="72"/>
        <v>254.27556818181819</v>
      </c>
      <c r="S101" s="583">
        <f t="shared" si="73"/>
        <v>16918.865148284913</v>
      </c>
      <c r="T101" s="555">
        <f t="shared" si="74"/>
        <v>7.0017170177842116</v>
      </c>
      <c r="U101" s="559">
        <f t="shared" si="75"/>
        <v>154.50490219883392</v>
      </c>
      <c r="V101" s="582">
        <f t="shared" si="76"/>
        <v>1081.7996030566608</v>
      </c>
      <c r="W101" s="555">
        <f t="shared" si="77"/>
        <v>1.7692328214791107</v>
      </c>
      <c r="X101" s="559">
        <f t="shared" si="78"/>
        <v>37.9060089869281</v>
      </c>
      <c r="Y101" s="582">
        <f t="shared" si="79"/>
        <v>67.064555230955321</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16725.852521052395</v>
      </c>
      <c r="I102" s="553">
        <f>ITECountywide!$B$9*E102</f>
        <v>58.463687032601783</v>
      </c>
      <c r="J102" s="562">
        <f t="shared" si="67"/>
        <v>1.67</v>
      </c>
      <c r="K102" s="416">
        <f t="shared" si="68"/>
        <v>0.85658336747234742</v>
      </c>
      <c r="L102" s="554">
        <f>Passby_Length_Adj!H97</f>
        <v>0.4689899613519371</v>
      </c>
      <c r="M102" s="554">
        <f>Passby_Length_Adj!J97</f>
        <v>1</v>
      </c>
      <c r="N102" s="416">
        <v>0.5</v>
      </c>
      <c r="O102" s="546">
        <f t="shared" si="69"/>
        <v>0.23449498067596855</v>
      </c>
      <c r="P102" s="555">
        <f t="shared" si="70"/>
        <v>102.86502937735507</v>
      </c>
      <c r="Q102" s="556">
        <f t="shared" si="71"/>
        <v>61.59582597446412</v>
      </c>
      <c r="R102" s="561">
        <f t="shared" si="72"/>
        <v>254.27556818181819</v>
      </c>
      <c r="S102" s="583">
        <f t="shared" si="73"/>
        <v>15662.313647285258</v>
      </c>
      <c r="T102" s="555">
        <f t="shared" si="74"/>
        <v>6.4817047148808209</v>
      </c>
      <c r="U102" s="559">
        <f t="shared" si="75"/>
        <v>154.50490219883392</v>
      </c>
      <c r="V102" s="582">
        <f t="shared" si="76"/>
        <v>1001.4551530543819</v>
      </c>
      <c r="W102" s="555">
        <f t="shared" si="77"/>
        <v>1.6378332188483877</v>
      </c>
      <c r="X102" s="559">
        <f t="shared" si="78"/>
        <v>37.9060089869281</v>
      </c>
      <c r="Y102" s="582">
        <f t="shared" si="79"/>
        <v>62.08372071275636</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15433.414946549708</v>
      </c>
      <c r="I103" s="553">
        <f>ITECountywide!$B$9*E103</f>
        <v>53.946089751997178</v>
      </c>
      <c r="J103" s="562">
        <f t="shared" si="67"/>
        <v>1.67</v>
      </c>
      <c r="K103" s="416">
        <f t="shared" si="68"/>
        <v>0.85658336747234742</v>
      </c>
      <c r="L103" s="554">
        <f>Passby_Length_Adj!H98</f>
        <v>0.4689899613519371</v>
      </c>
      <c r="M103" s="554">
        <f>Passby_Length_Adj!J98</f>
        <v>1</v>
      </c>
      <c r="N103" s="416">
        <v>0.5</v>
      </c>
      <c r="O103" s="546">
        <f t="shared" si="69"/>
        <v>0.23449498067596855</v>
      </c>
      <c r="P103" s="555">
        <f t="shared" si="70"/>
        <v>94.916458211713149</v>
      </c>
      <c r="Q103" s="556">
        <f t="shared" si="71"/>
        <v>56.836202521983921</v>
      </c>
      <c r="R103" s="561">
        <f t="shared" si="72"/>
        <v>254.27556818181819</v>
      </c>
      <c r="S103" s="583">
        <f t="shared" si="73"/>
        <v>14452.057689574349</v>
      </c>
      <c r="T103" s="555">
        <f t="shared" si="74"/>
        <v>5.9808513975507154</v>
      </c>
      <c r="U103" s="559">
        <f t="shared" si="75"/>
        <v>154.50490219883392</v>
      </c>
      <c r="V103" s="582">
        <f t="shared" si="76"/>
        <v>924.07086024433238</v>
      </c>
      <c r="W103" s="555">
        <f t="shared" si="77"/>
        <v>1.5112748153144584</v>
      </c>
      <c r="X103" s="559">
        <f t="shared" si="78"/>
        <v>37.9060089869281</v>
      </c>
      <c r="Y103" s="582">
        <f t="shared" si="79"/>
        <v>57.286396731027963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14473.513703938484</v>
      </c>
      <c r="I104" s="553">
        <f>ITECountywide!$B$9*E104</f>
        <v>50.590842791664826</v>
      </c>
      <c r="J104" s="562">
        <f t="shared" si="67"/>
        <v>1.67</v>
      </c>
      <c r="K104" s="416">
        <f t="shared" si="68"/>
        <v>0.85658336747234742</v>
      </c>
      <c r="L104" s="554">
        <f>Passby_Length_Adj!H99</f>
        <v>0.4689899613519371</v>
      </c>
      <c r="M104" s="554">
        <f>Passby_Length_Adj!J99</f>
        <v>1</v>
      </c>
      <c r="N104" s="416">
        <v>0.5</v>
      </c>
      <c r="O104" s="546">
        <f t="shared" si="69"/>
        <v>0.23449498067596855</v>
      </c>
      <c r="P104" s="555">
        <f t="shared" si="70"/>
        <v>89.013006091931416</v>
      </c>
      <c r="Q104" s="556">
        <f t="shared" si="71"/>
        <v>53.301201252653541</v>
      </c>
      <c r="R104" s="561">
        <f t="shared" si="72"/>
        <v>254.27556818181819</v>
      </c>
      <c r="S104" s="583">
        <f t="shared" si="73"/>
        <v>13553.193233291919</v>
      </c>
      <c r="T104" s="555">
        <f t="shared" si="74"/>
        <v>5.6088645943535731</v>
      </c>
      <c r="U104" s="559">
        <f t="shared" si="75"/>
        <v>154.50490219883392</v>
      </c>
      <c r="V104" s="582">
        <f t="shared" si="76"/>
        <v>866.59707559710114</v>
      </c>
      <c r="W104" s="555">
        <f t="shared" si="77"/>
        <v>1.4172791197298134</v>
      </c>
      <c r="X104" s="559">
        <f t="shared" si="78"/>
        <v>37.9060089869281</v>
      </c>
      <c r="Y104" s="582">
        <f t="shared" si="79"/>
        <v>53.723395049463853</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13720.115366279862</v>
      </c>
      <c r="I105" s="553">
        <f>ITECountywide!$B$9*E105</f>
        <v>47.957407840094127</v>
      </c>
      <c r="J105" s="562">
        <f t="shared" si="67"/>
        <v>1.67</v>
      </c>
      <c r="K105" s="416">
        <f t="shared" si="68"/>
        <v>0.85658336747234742</v>
      </c>
      <c r="L105" s="554">
        <f>Passby_Length_Adj!H100</f>
        <v>0.4689899613519371</v>
      </c>
      <c r="M105" s="554">
        <f>Passby_Length_Adj!J100</f>
        <v>1</v>
      </c>
      <c r="N105" s="416">
        <v>0.5</v>
      </c>
      <c r="O105" s="546">
        <f t="shared" si="69"/>
        <v>0.23449498067596855</v>
      </c>
      <c r="P105" s="555">
        <f t="shared" si="70"/>
        <v>84.379559633010444</v>
      </c>
      <c r="Q105" s="556">
        <f t="shared" si="71"/>
        <v>50.526682414976314</v>
      </c>
      <c r="R105" s="561">
        <f t="shared" si="72"/>
        <v>254.27556818181819</v>
      </c>
      <c r="S105" s="583">
        <f t="shared" si="73"/>
        <v>12847.700879410384</v>
      </c>
      <c r="T105" s="555">
        <f t="shared" si="74"/>
        <v>5.3169030604802607</v>
      </c>
      <c r="U105" s="559">
        <f t="shared" si="75"/>
        <v>154.50490219883392</v>
      </c>
      <c r="V105" s="582">
        <f t="shared" si="76"/>
        <v>821.4875873601834</v>
      </c>
      <c r="W105" s="555">
        <f t="shared" si="77"/>
        <v>1.3435046545484828</v>
      </c>
      <c r="X105" s="559">
        <f t="shared" si="78"/>
        <v>37.9060089869281</v>
      </c>
      <c r="Y105" s="582">
        <f t="shared" si="79"/>
        <v>50.926899509294522</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13788.521766923781</v>
      </c>
      <c r="I106" s="553">
        <f>ITECountywide!$B$9*E106</f>
        <v>48.196516154198832</v>
      </c>
      <c r="J106" s="562">
        <f t="shared" si="67"/>
        <v>1.67</v>
      </c>
      <c r="K106" s="416">
        <f t="shared" si="68"/>
        <v>0.85658336747234742</v>
      </c>
      <c r="L106" s="554">
        <f>Passby_Length_Adj!H101</f>
        <v>0.4689899613519371</v>
      </c>
      <c r="M106" s="554">
        <f>Passby_Length_Adj!J101</f>
        <v>1</v>
      </c>
      <c r="N106" s="416">
        <v>0.5</v>
      </c>
      <c r="O106" s="546">
        <f t="shared" si="69"/>
        <v>0.23449498067596855</v>
      </c>
      <c r="P106" s="555">
        <f t="shared" si="70"/>
        <v>84.800263235590876</v>
      </c>
      <c r="Q106" s="556">
        <f t="shared" si="71"/>
        <v>50.778600739874776</v>
      </c>
      <c r="R106" s="561">
        <f t="shared" si="72"/>
        <v>254.27556818181819</v>
      </c>
      <c r="S106" s="583">
        <f t="shared" si="73"/>
        <v>12911.757554609352</v>
      </c>
      <c r="T106" s="555">
        <f t="shared" si="74"/>
        <v>5.3434123274383198</v>
      </c>
      <c r="U106" s="559">
        <f t="shared" si="75"/>
        <v>154.50490219883392</v>
      </c>
      <c r="V106" s="582">
        <f t="shared" si="76"/>
        <v>825.58339905890114</v>
      </c>
      <c r="W106" s="555">
        <f t="shared" si="77"/>
        <v>1.3502031636508105</v>
      </c>
      <c r="X106" s="559">
        <f t="shared" si="78"/>
        <v>37.9060089869281</v>
      </c>
      <c r="Y106" s="582">
        <f t="shared" si="79"/>
        <v>51.180813255526374</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14436.722301284617</v>
      </c>
      <c r="I107" s="553">
        <f>ITECountywide!$B$9*E107</f>
        <v>50.462241810187869</v>
      </c>
      <c r="J107" s="562">
        <f t="shared" si="67"/>
        <v>1.67</v>
      </c>
      <c r="K107" s="416">
        <f t="shared" si="68"/>
        <v>0.85658336747234742</v>
      </c>
      <c r="L107" s="554">
        <f>Passby_Length_Adj!H102</f>
        <v>0.4689899613519371</v>
      </c>
      <c r="M107" s="554">
        <f>Passby_Length_Adj!J102</f>
        <v>1</v>
      </c>
      <c r="N107" s="416">
        <v>0.5</v>
      </c>
      <c r="O107" s="546">
        <f t="shared" si="69"/>
        <v>0.23449498067596855</v>
      </c>
      <c r="P107" s="555">
        <f t="shared" si="70"/>
        <v>88.786736685928915</v>
      </c>
      <c r="Q107" s="556">
        <f t="shared" si="71"/>
        <v>53.165710590376598</v>
      </c>
      <c r="R107" s="561">
        <f t="shared" si="72"/>
        <v>254.27556818181819</v>
      </c>
      <c r="S107" s="583">
        <f t="shared" si="73"/>
        <v>13518.741268158117</v>
      </c>
      <c r="T107" s="555">
        <f t="shared" si="74"/>
        <v>5.5946069648696053</v>
      </c>
      <c r="U107" s="559">
        <f t="shared" si="75"/>
        <v>154.50490219883392</v>
      </c>
      <c r="V107" s="582">
        <f t="shared" si="76"/>
        <v>864.39420194809338</v>
      </c>
      <c r="W107" s="555">
        <f t="shared" si="77"/>
        <v>1.4136764225663243</v>
      </c>
      <c r="X107" s="559">
        <f t="shared" si="78"/>
        <v>37.9060089869281</v>
      </c>
      <c r="Y107" s="582">
        <f t="shared" si="79"/>
        <v>53.586831178407458</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28697.134057223095</v>
      </c>
      <c r="I108" s="553">
        <f>ITECountywide!$B$9*E108</f>
        <v>100.30820624194673</v>
      </c>
      <c r="J108" s="562">
        <f t="shared" si="67"/>
        <v>1.67</v>
      </c>
      <c r="K108" s="416">
        <f t="shared" si="68"/>
        <v>0.85658336747234742</v>
      </c>
      <c r="L108" s="554">
        <f>Passby_Length_Adj!H103</f>
        <v>0.4689899613519371</v>
      </c>
      <c r="M108" s="554">
        <f>Passby_Length_Adj!J103</f>
        <v>1</v>
      </c>
      <c r="N108" s="416">
        <v>0.5</v>
      </c>
      <c r="O108" s="546">
        <f t="shared" si="69"/>
        <v>0.23449498067596855</v>
      </c>
      <c r="P108" s="555">
        <f t="shared" si="70"/>
        <v>176.4891525933659</v>
      </c>
      <c r="Q108" s="556">
        <f t="shared" si="71"/>
        <v>105.68212730141671</v>
      </c>
      <c r="R108" s="561">
        <f t="shared" si="72"/>
        <v>254.27556818181819</v>
      </c>
      <c r="S108" s="583">
        <f t="shared" si="73"/>
        <v>26872.382966230976</v>
      </c>
      <c r="T108" s="555">
        <f t="shared" si="74"/>
        <v>11.120888988357901</v>
      </c>
      <c r="U108" s="559">
        <f t="shared" si="75"/>
        <v>154.50490219883392</v>
      </c>
      <c r="V108" s="582">
        <f t="shared" si="76"/>
        <v>1718.2318655103265</v>
      </c>
      <c r="W108" s="555">
        <f t="shared" si="77"/>
        <v>2.810088118707629</v>
      </c>
      <c r="X108" s="559">
        <f t="shared" si="78"/>
        <v>37.9060089869281</v>
      </c>
      <c r="Y108" s="582">
        <f t="shared" si="79"/>
        <v>106.51922548179127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14789.343391976912</v>
      </c>
      <c r="I109" s="553">
        <f>ITECountywide!$B$9*E109</f>
        <v>51.694796567045906</v>
      </c>
      <c r="J109" s="562">
        <f t="shared" si="67"/>
        <v>1.67</v>
      </c>
      <c r="K109" s="416">
        <f t="shared" si="68"/>
        <v>0.85658336747234742</v>
      </c>
      <c r="L109" s="554">
        <f>Passby_Length_Adj!H104</f>
        <v>0.4689899613519371</v>
      </c>
      <c r="M109" s="554">
        <f>Passby_Length_Adj!J104</f>
        <v>1</v>
      </c>
      <c r="N109" s="416">
        <v>0.5</v>
      </c>
      <c r="O109" s="546">
        <f t="shared" si="69"/>
        <v>0.23449498067596855</v>
      </c>
      <c r="P109" s="555">
        <f t="shared" si="70"/>
        <v>90.955378242912786</v>
      </c>
      <c r="Q109" s="556">
        <f t="shared" si="71"/>
        <v>54.464298349049578</v>
      </c>
      <c r="R109" s="561">
        <f t="shared" si="72"/>
        <v>254.27556818181819</v>
      </c>
      <c r="S109" s="583">
        <f t="shared" si="73"/>
        <v>13848.940408328644</v>
      </c>
      <c r="T109" s="555">
        <f t="shared" si="74"/>
        <v>5.731256847632225</v>
      </c>
      <c r="U109" s="559">
        <f t="shared" si="75"/>
        <v>154.50490219883392</v>
      </c>
      <c r="V109" s="582">
        <f t="shared" si="76"/>
        <v>885.50727871981405</v>
      </c>
      <c r="W109" s="555">
        <f t="shared" si="77"/>
        <v>1.4482058754163638</v>
      </c>
      <c r="X109" s="559">
        <f t="shared" si="78"/>
        <v>37.9060089869281</v>
      </c>
      <c r="Y109" s="582">
        <f t="shared" si="79"/>
        <v>54.895704928454762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12253.940389329222</v>
      </c>
      <c r="I110" s="553">
        <f>ITECountywide!$B$9*E110</f>
        <v>193.54734843720766</v>
      </c>
      <c r="J110" s="562">
        <f t="shared" si="67"/>
        <v>1.67</v>
      </c>
      <c r="K110" s="416">
        <f t="shared" si="68"/>
        <v>0.85658336747234742</v>
      </c>
      <c r="L110" s="554">
        <f>Passby_Length_Adj!H105</f>
        <v>0.3846286671810874</v>
      </c>
      <c r="M110" s="554">
        <f>Passby_Length_Adj!J105</f>
        <v>0.26984126984126988</v>
      </c>
      <c r="N110" s="416">
        <v>0.5</v>
      </c>
      <c r="O110" s="546">
        <f t="shared" si="69"/>
        <v>5.1894343984749895E-2</v>
      </c>
      <c r="P110" s="555">
        <f t="shared" si="70"/>
        <v>75.362492677138405</v>
      </c>
      <c r="Q110" s="556">
        <f t="shared" si="71"/>
        <v>45.127241124034974</v>
      </c>
      <c r="R110" s="561">
        <f t="shared" si="72"/>
        <v>254.27556818181819</v>
      </c>
      <c r="S110" s="583">
        <f t="shared" si="73"/>
        <v>11474.754877291905</v>
      </c>
      <c r="T110" s="555">
        <f t="shared" si="74"/>
        <v>4.7487219618498813</v>
      </c>
      <c r="U110" s="559">
        <f t="shared" si="75"/>
        <v>154.50490219883392</v>
      </c>
      <c r="V110" s="582">
        <f t="shared" si="76"/>
        <v>733.70082228507067</v>
      </c>
      <c r="W110" s="555">
        <f t="shared" si="77"/>
        <v>1.1999334925481298</v>
      </c>
      <c r="X110" s="559">
        <f t="shared" si="78"/>
        <v>37.9060089869281</v>
      </c>
      <c r="Y110" s="582">
        <f t="shared" si="79"/>
        <v>45.48468975224543</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92373.923996970829</v>
      </c>
      <c r="I111" s="553">
        <f>ITECountywide!$B$9*E111</f>
        <v>1381.6938824378594</v>
      </c>
      <c r="J111" s="562">
        <f t="shared" si="67"/>
        <v>1.67</v>
      </c>
      <c r="K111" s="416">
        <f t="shared" si="68"/>
        <v>0.85658336747234742</v>
      </c>
      <c r="L111" s="554">
        <f>Passby_Length_Adj!H106</f>
        <v>0.3846286671810874</v>
      </c>
      <c r="M111" s="554">
        <f>Passby_Length_Adj!J106</f>
        <v>0.28494260634706281</v>
      </c>
      <c r="N111" s="416">
        <v>0.5</v>
      </c>
      <c r="O111" s="546">
        <f t="shared" si="69"/>
        <v>5.4798547451188014E-2</v>
      </c>
      <c r="P111" s="555">
        <f t="shared" si="70"/>
        <v>568.10535628542641</v>
      </c>
      <c r="Q111" s="556">
        <f t="shared" si="71"/>
        <v>340.18284807510565</v>
      </c>
      <c r="R111" s="561">
        <f t="shared" si="72"/>
        <v>254.27556818181819</v>
      </c>
      <c r="S111" s="583">
        <f t="shared" si="73"/>
        <v>86500.18698000662</v>
      </c>
      <c r="T111" s="555">
        <f t="shared" si="74"/>
        <v>35.797308265727516</v>
      </c>
      <c r="U111" s="559">
        <f t="shared" si="75"/>
        <v>154.50490219883392</v>
      </c>
      <c r="V111" s="582">
        <f t="shared" si="76"/>
        <v>5530.8596125777385</v>
      </c>
      <c r="W111" s="555">
        <f t="shared" si="77"/>
        <v>9.0454630690535147</v>
      </c>
      <c r="X111" s="559">
        <f t="shared" si="78"/>
        <v>37.9060089869281</v>
      </c>
      <c r="Y111" s="582">
        <f t="shared" si="79"/>
        <v>342.87740438646875</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75641.238598558528</v>
      </c>
      <c r="I112" s="553">
        <f>ITECountywide!$B$9*E112</f>
        <v>1131.4127635746866</v>
      </c>
      <c r="J112" s="562">
        <f t="shared" si="67"/>
        <v>1.67</v>
      </c>
      <c r="K112" s="416">
        <f t="shared" si="68"/>
        <v>0.85658336747234742</v>
      </c>
      <c r="L112" s="554">
        <f>Passby_Length_Adj!H107</f>
        <v>0.3846286671810874</v>
      </c>
      <c r="M112" s="554">
        <f>Passby_Length_Adj!J107</f>
        <v>0.28494260634706281</v>
      </c>
      <c r="N112" s="416">
        <v>0.5</v>
      </c>
      <c r="O112" s="546">
        <f t="shared" si="69"/>
        <v>5.4798547451188014E-2</v>
      </c>
      <c r="P112" s="555">
        <f t="shared" si="70"/>
        <v>465.19830428892692</v>
      </c>
      <c r="Q112" s="556">
        <f t="shared" si="71"/>
        <v>278.56185885564486</v>
      </c>
      <c r="R112" s="561">
        <f t="shared" si="72"/>
        <v>254.27556818181819</v>
      </c>
      <c r="S112" s="583">
        <f t="shared" si="73"/>
        <v>70831.474934302532</v>
      </c>
      <c r="T112" s="555">
        <f t="shared" si="74"/>
        <v>29.312955632401636</v>
      </c>
      <c r="U112" s="559">
        <f t="shared" si="75"/>
        <v>154.50490219883392</v>
      </c>
      <c r="V112" s="582">
        <f t="shared" si="76"/>
        <v>4528.9953431429722</v>
      </c>
      <c r="W112" s="555">
        <f t="shared" si="77"/>
        <v>7.4069607594364326</v>
      </c>
      <c r="X112" s="559">
        <f t="shared" si="78"/>
        <v>37.9060089869281</v>
      </c>
      <c r="Y112" s="582">
        <f t="shared" si="79"/>
        <v>280.76832111302122</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21675.825869026474</v>
      </c>
      <c r="I113" s="553">
        <f>ITECountywide!$B$9*E113</f>
        <v>75.765865936273457</v>
      </c>
      <c r="J113" s="562">
        <f t="shared" si="67"/>
        <v>1.67</v>
      </c>
      <c r="K113" s="416">
        <f t="shared" si="68"/>
        <v>0.85658336747234742</v>
      </c>
      <c r="L113" s="554">
        <f>Passby_Length_Adj!H108</f>
        <v>0.4689899613519371</v>
      </c>
      <c r="M113" s="554">
        <f>Passby_Length_Adj!J108</f>
        <v>1</v>
      </c>
      <c r="N113" s="416">
        <v>0.5</v>
      </c>
      <c r="O113" s="546">
        <f t="shared" si="69"/>
        <v>0.23449498067596855</v>
      </c>
      <c r="P113" s="555">
        <f t="shared" si="70"/>
        <v>133.30767217930418</v>
      </c>
      <c r="Q113" s="556">
        <f t="shared" si="71"/>
        <v>79.824953400780942</v>
      </c>
      <c r="R113" s="561">
        <f t="shared" si="72"/>
        <v>254.27556818181819</v>
      </c>
      <c r="S113" s="583">
        <f t="shared" si="73"/>
        <v>20297.535381070735</v>
      </c>
      <c r="T113" s="555">
        <f t="shared" si="74"/>
        <v>8.3999486757022108</v>
      </c>
      <c r="U113" s="559">
        <f t="shared" si="75"/>
        <v>154.50490219883392</v>
      </c>
      <c r="V113" s="582">
        <f t="shared" si="76"/>
        <v>1297.8332486145946</v>
      </c>
      <c r="W113" s="555">
        <f t="shared" si="77"/>
        <v>2.122545778134783</v>
      </c>
      <c r="X113" s="559">
        <f t="shared" si="78"/>
        <v>37.9060089869281</v>
      </c>
      <c r="Y113" s="582">
        <f t="shared" si="79"/>
        <v>80.457239341143378</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14908.61229029931</v>
      </c>
      <c r="I114" s="553">
        <f>ITECountywide!$B$9*E114</f>
        <v>52.111690087747888</v>
      </c>
      <c r="J114" s="562">
        <f t="shared" si="67"/>
        <v>1.67</v>
      </c>
      <c r="K114" s="416">
        <f t="shared" si="68"/>
        <v>0.85658336747234742</v>
      </c>
      <c r="L114" s="554">
        <f>Passby_Length_Adj!H109</f>
        <v>0.4689899613519371</v>
      </c>
      <c r="M114" s="554">
        <f>Passby_Length_Adj!J109</f>
        <v>1</v>
      </c>
      <c r="N114" s="416">
        <v>0.5</v>
      </c>
      <c r="O114" s="546">
        <f t="shared" si="69"/>
        <v>0.23449498067596855</v>
      </c>
      <c r="P114" s="555">
        <f t="shared" si="70"/>
        <v>91.688889357775011</v>
      </c>
      <c r="Q114" s="556">
        <f t="shared" si="71"/>
        <v>54.903526561541923</v>
      </c>
      <c r="R114" s="561">
        <f t="shared" si="72"/>
        <v>254.27556818181819</v>
      </c>
      <c r="S114" s="583">
        <f t="shared" si="73"/>
        <v>13960.625411621619</v>
      </c>
      <c r="T114" s="555">
        <f t="shared" si="74"/>
        <v>5.7774766609195822</v>
      </c>
      <c r="U114" s="559">
        <f t="shared" si="75"/>
        <v>154.50490219883392</v>
      </c>
      <c r="V114" s="582">
        <f t="shared" si="76"/>
        <v>892.64846645142563</v>
      </c>
      <c r="W114" s="555">
        <f t="shared" si="77"/>
        <v>1.4598849550568185</v>
      </c>
      <c r="X114" s="559">
        <f t="shared" si="78"/>
        <v>37.9060089869281</v>
      </c>
      <c r="Y114" s="582">
        <f t="shared" si="79"/>
        <v>55.338412226264886</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15940.547541001766</v>
      </c>
      <c r="I115" s="553">
        <f>ITECountywide!$B$9*E115</f>
        <v>55.718725332082435</v>
      </c>
      <c r="J115" s="562">
        <f t="shared" si="67"/>
        <v>1.67</v>
      </c>
      <c r="K115" s="416">
        <f t="shared" si="68"/>
        <v>0.85658336747234742</v>
      </c>
      <c r="L115" s="554">
        <f>Passby_Length_Adj!H110</f>
        <v>0.4689899613519371</v>
      </c>
      <c r="M115" s="554">
        <f>Passby_Length_Adj!J110</f>
        <v>1</v>
      </c>
      <c r="N115" s="416">
        <v>0.5</v>
      </c>
      <c r="O115" s="546">
        <f t="shared" si="69"/>
        <v>0.23449498067596855</v>
      </c>
      <c r="P115" s="555">
        <f t="shared" si="70"/>
        <v>98.035355090713168</v>
      </c>
      <c r="Q115" s="556">
        <f t="shared" si="71"/>
        <v>58.703805443540823</v>
      </c>
      <c r="R115" s="561">
        <f t="shared" si="72"/>
        <v>254.27556818181819</v>
      </c>
      <c r="S115" s="583">
        <f t="shared" si="73"/>
        <v>14926.943483591254</v>
      </c>
      <c r="T115" s="555">
        <f t="shared" si="74"/>
        <v>6.177378523710189</v>
      </c>
      <c r="U115" s="559">
        <f t="shared" si="75"/>
        <v>154.50490219883392</v>
      </c>
      <c r="V115" s="582">
        <f t="shared" si="76"/>
        <v>954.43526465101979</v>
      </c>
      <c r="W115" s="555">
        <f t="shared" si="77"/>
        <v>1.5609343832503164</v>
      </c>
      <c r="X115" s="559">
        <f t="shared" si="78"/>
        <v>37.9060089869281</v>
      </c>
      <c r="Y115" s="582">
        <f t="shared" si="79"/>
        <v>59.168792759491566</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21286.90554840997</v>
      </c>
      <c r="I116" s="553">
        <f>ITECountywide!$B$9*E116</f>
        <v>74.406430542680027</v>
      </c>
      <c r="J116" s="562">
        <f t="shared" si="67"/>
        <v>1.67</v>
      </c>
      <c r="K116" s="416">
        <f t="shared" si="68"/>
        <v>0.85658336747234742</v>
      </c>
      <c r="L116" s="554">
        <f>Passby_Length_Adj!H111</f>
        <v>0.4689899613519371</v>
      </c>
      <c r="M116" s="554">
        <f>Passby_Length_Adj!J111</f>
        <v>1</v>
      </c>
      <c r="N116" s="416">
        <v>0.5</v>
      </c>
      <c r="O116" s="546">
        <f t="shared" si="69"/>
        <v>0.23449498067596855</v>
      </c>
      <c r="P116" s="555">
        <f t="shared" si="70"/>
        <v>130.91578810910136</v>
      </c>
      <c r="Q116" s="556">
        <f t="shared" si="71"/>
        <v>78.392687490479858</v>
      </c>
      <c r="R116" s="561">
        <f t="shared" si="72"/>
        <v>254.27556818181819</v>
      </c>
      <c r="S116" s="583">
        <f t="shared" si="73"/>
        <v>19933.345152941478</v>
      </c>
      <c r="T116" s="555">
        <f t="shared" si="74"/>
        <v>8.2492318932434365</v>
      </c>
      <c r="U116" s="559">
        <f t="shared" si="75"/>
        <v>154.50490219883392</v>
      </c>
      <c r="V116" s="582">
        <f t="shared" si="76"/>
        <v>1274.5467668810786</v>
      </c>
      <c r="W116" s="555">
        <f t="shared" si="77"/>
        <v>2.0844618227854745</v>
      </c>
      <c r="X116" s="559">
        <f t="shared" si="78"/>
        <v>37.9060089869281</v>
      </c>
      <c r="Y116" s="582">
        <f t="shared" si="79"/>
        <v>79.013628587414729</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74465.277387373237</v>
      </c>
      <c r="I117" s="553">
        <f>ITECountywide!$B$9*E117</f>
        <v>260.28656336002075</v>
      </c>
      <c r="J117" s="562">
        <f t="shared" si="67"/>
        <v>1.67</v>
      </c>
      <c r="K117" s="416">
        <f t="shared" si="68"/>
        <v>0.85658336747234742</v>
      </c>
      <c r="L117" s="554">
        <f>Passby_Length_Adj!H112</f>
        <v>0.4689899613519371</v>
      </c>
      <c r="M117" s="554">
        <f>Passby_Length_Adj!J112</f>
        <v>1</v>
      </c>
      <c r="N117" s="416">
        <v>0.5</v>
      </c>
      <c r="O117" s="546">
        <f t="shared" si="69"/>
        <v>0.23449498067596855</v>
      </c>
      <c r="P117" s="555">
        <f t="shared" si="70"/>
        <v>457.9660699748344</v>
      </c>
      <c r="Q117" s="556">
        <f t="shared" si="71"/>
        <v>274.23117962564936</v>
      </c>
      <c r="R117" s="561">
        <f t="shared" si="72"/>
        <v>254.27556818181819</v>
      </c>
      <c r="S117" s="583">
        <f t="shared" si="73"/>
        <v>69730.28901248223</v>
      </c>
      <c r="T117" s="555">
        <f t="shared" si="74"/>
        <v>28.857239948106152</v>
      </c>
      <c r="U117" s="559">
        <f t="shared" si="75"/>
        <v>154.50490219883392</v>
      </c>
      <c r="V117" s="582">
        <f t="shared" si="76"/>
        <v>4458.5850359104243</v>
      </c>
      <c r="W117" s="555">
        <f t="shared" si="77"/>
        <v>7.2918079842142287</v>
      </c>
      <c r="X117" s="559">
        <f t="shared" si="78"/>
        <v>37.9060089869281</v>
      </c>
      <c r="Y117" s="582">
        <f t="shared" si="79"/>
        <v>276.40333898057861</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10371.208549773433</v>
      </c>
      <c r="I118" s="553">
        <f>ITECountywide!$B$9*E118</f>
        <v>36.251610495824622</v>
      </c>
      <c r="J118" s="562">
        <f t="shared" si="67"/>
        <v>1.67</v>
      </c>
      <c r="K118" s="416">
        <f t="shared" si="68"/>
        <v>0.85658336747234742</v>
      </c>
      <c r="L118" s="554">
        <f>Passby_Length_Adj!H113</f>
        <v>0.4689899613519371</v>
      </c>
      <c r="M118" s="554">
        <f>Passby_Length_Adj!J113</f>
        <v>1</v>
      </c>
      <c r="N118" s="416">
        <v>0.5</v>
      </c>
      <c r="O118" s="546">
        <f t="shared" si="69"/>
        <v>0.23449498067596855</v>
      </c>
      <c r="P118" s="555">
        <f t="shared" si="70"/>
        <v>63.783575205408702</v>
      </c>
      <c r="Q118" s="556">
        <f t="shared" si="71"/>
        <v>38.193757608029166</v>
      </c>
      <c r="R118" s="561">
        <f t="shared" si="72"/>
        <v>254.27556818181819</v>
      </c>
      <c r="S118" s="583">
        <f t="shared" si="73"/>
        <v>9711.7394167802577</v>
      </c>
      <c r="T118" s="555">
        <f t="shared" si="74"/>
        <v>4.0191141989005787</v>
      </c>
      <c r="U118" s="559">
        <f t="shared" si="75"/>
        <v>154.50490219883392</v>
      </c>
      <c r="V118" s="582">
        <f t="shared" si="76"/>
        <v>620.97284622707866</v>
      </c>
      <c r="W118" s="555">
        <f t="shared" si="77"/>
        <v>1.0155721426482214</v>
      </c>
      <c r="X118" s="559">
        <f t="shared" si="78"/>
        <v>37.9060089869281</v>
      </c>
      <c r="Y118" s="582">
        <f t="shared" si="79"/>
        <v>38.496286766097306</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11864.662580940803</v>
      </c>
      <c r="I119" s="553">
        <f>ITECountywide!$B$9*E119</f>
        <v>41.471842407223363</v>
      </c>
      <c r="J119" s="562">
        <f t="shared" si="67"/>
        <v>1.67</v>
      </c>
      <c r="K119" s="416">
        <f t="shared" si="68"/>
        <v>0.85658336747234742</v>
      </c>
      <c r="L119" s="554">
        <f>Passby_Length_Adj!H114</f>
        <v>0.4689899613519371</v>
      </c>
      <c r="M119" s="554">
        <f>Passby_Length_Adj!J114</f>
        <v>1</v>
      </c>
      <c r="N119" s="416">
        <v>0.5</v>
      </c>
      <c r="O119" s="546">
        <f t="shared" si="69"/>
        <v>0.23449498067596855</v>
      </c>
      <c r="P119" s="555">
        <f t="shared" si="70"/>
        <v>72.968410034987542</v>
      </c>
      <c r="Q119" s="556">
        <f t="shared" si="71"/>
        <v>43.693658703585356</v>
      </c>
      <c r="R119" s="561">
        <f t="shared" si="72"/>
        <v>254.27556818181819</v>
      </c>
      <c r="S119" s="583">
        <f t="shared" si="73"/>
        <v>11110.229892796611</v>
      </c>
      <c r="T119" s="555">
        <f t="shared" si="74"/>
        <v>4.5978666435422619</v>
      </c>
      <c r="U119" s="559">
        <f t="shared" si="75"/>
        <v>154.50490219883392</v>
      </c>
      <c r="V119" s="582">
        <f t="shared" si="76"/>
        <v>710.39293608377795</v>
      </c>
      <c r="W119" s="555">
        <f t="shared" si="77"/>
        <v>1.1618145311895653</v>
      </c>
      <c r="X119" s="559">
        <f t="shared" si="78"/>
        <v>37.9060089869281</v>
      </c>
      <c r="Y119" s="582">
        <f t="shared" si="79"/>
        <v>44.039752060415324</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34432.412385247793</v>
      </c>
      <c r="I120" s="553">
        <f>ITECountywide!$B$9*E120</f>
        <v>120.35534684613775</v>
      </c>
      <c r="J120" s="562">
        <f t="shared" si="67"/>
        <v>1.67</v>
      </c>
      <c r="K120" s="416">
        <f t="shared" si="68"/>
        <v>0.85658336747234742</v>
      </c>
      <c r="L120" s="554">
        <f>Passby_Length_Adj!H115</f>
        <v>0.4689899613519371</v>
      </c>
      <c r="M120" s="554">
        <f>Passby_Length_Adj!J115</f>
        <v>1</v>
      </c>
      <c r="N120" s="416">
        <v>0.5</v>
      </c>
      <c r="O120" s="546">
        <f t="shared" si="69"/>
        <v>0.23449498067596855</v>
      </c>
      <c r="P120" s="555">
        <f t="shared" si="70"/>
        <v>211.7614696819569</v>
      </c>
      <c r="Q120" s="556">
        <f t="shared" si="71"/>
        <v>126.80327525865683</v>
      </c>
      <c r="R120" s="561">
        <f t="shared" si="72"/>
        <v>254.27556818181819</v>
      </c>
      <c r="S120" s="583">
        <f t="shared" si="73"/>
        <v>32242.974863710453</v>
      </c>
      <c r="T120" s="555">
        <f t="shared" si="74"/>
        <v>13.343459140349923</v>
      </c>
      <c r="U120" s="559">
        <f t="shared" si="75"/>
        <v>154.50490219883392</v>
      </c>
      <c r="V120" s="582">
        <f t="shared" si="76"/>
        <v>2061.6298494739012</v>
      </c>
      <c r="W120" s="555">
        <f t="shared" si="77"/>
        <v>3.3716995135920955</v>
      </c>
      <c r="X120" s="559">
        <f t="shared" si="78"/>
        <v>37.9060089869281</v>
      </c>
      <c r="Y120" s="582">
        <f t="shared" si="79"/>
        <v>127.80767206344308</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29324.592174484373</v>
      </c>
      <c r="I121" s="553">
        <f>ITECountywide!$B$9*E121</f>
        <v>102.5014286769441</v>
      </c>
      <c r="J121" s="562">
        <f t="shared" si="67"/>
        <v>1.67</v>
      </c>
      <c r="K121" s="416">
        <f t="shared" si="68"/>
        <v>0.85658336747234742</v>
      </c>
      <c r="L121" s="554">
        <f>Passby_Length_Adj!H116</f>
        <v>0.4689899613519371</v>
      </c>
      <c r="M121" s="554">
        <f>Passby_Length_Adj!J116</f>
        <v>1</v>
      </c>
      <c r="N121" s="416">
        <v>0.5</v>
      </c>
      <c r="O121" s="546">
        <f t="shared" si="69"/>
        <v>0.23449498067596855</v>
      </c>
      <c r="P121" s="555">
        <f t="shared" si="70"/>
        <v>180.34805889329309</v>
      </c>
      <c r="Q121" s="556">
        <f t="shared" si="71"/>
        <v>107.99284963670245</v>
      </c>
      <c r="R121" s="561">
        <f t="shared" si="72"/>
        <v>254.27556818181819</v>
      </c>
      <c r="S121" s="583">
        <f t="shared" si="73"/>
        <v>27459.943200946171</v>
      </c>
      <c r="T121" s="555">
        <f t="shared" si="74"/>
        <v>11.364045397391385</v>
      </c>
      <c r="U121" s="559">
        <f t="shared" si="75"/>
        <v>154.50490219883392</v>
      </c>
      <c r="V121" s="582">
        <f t="shared" si="76"/>
        <v>1755.8007227070646</v>
      </c>
      <c r="W121" s="555">
        <f t="shared" si="77"/>
        <v>2.8715302333378458</v>
      </c>
      <c r="X121" s="559">
        <f t="shared" si="78"/>
        <v>37.9060089869281</v>
      </c>
      <c r="Y121" s="582">
        <f t="shared" si="79"/>
        <v>108.84825083114013</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10915.992907654843</v>
      </c>
      <c r="I122" s="553">
        <f>ITECountywide!$B$9*E122</f>
        <v>163.27725367319408</v>
      </c>
      <c r="J122" s="562">
        <f t="shared" si="67"/>
        <v>1.67</v>
      </c>
      <c r="K122" s="416">
        <f t="shared" si="68"/>
        <v>0.85658336747234742</v>
      </c>
      <c r="L122" s="554">
        <f>Passby_Length_Adj!H117</f>
        <v>0.3846286671810874</v>
      </c>
      <c r="M122" s="554">
        <f>Passby_Length_Adj!J117</f>
        <v>0.28494260634706281</v>
      </c>
      <c r="N122" s="416">
        <v>0.5</v>
      </c>
      <c r="O122" s="546">
        <f t="shared" si="69"/>
        <v>5.4798547451188014E-2</v>
      </c>
      <c r="P122" s="555">
        <f t="shared" si="70"/>
        <v>67.134032762490435</v>
      </c>
      <c r="Q122" s="556">
        <f t="shared" si="71"/>
        <v>40.200019618257748</v>
      </c>
      <c r="R122" s="561">
        <f t="shared" si="72"/>
        <v>254.27556818181819</v>
      </c>
      <c r="S122" s="583">
        <f t="shared" si="73"/>
        <v>10221.882829352728</v>
      </c>
      <c r="T122" s="555">
        <f t="shared" si="74"/>
        <v>4.2302323668163071</v>
      </c>
      <c r="U122" s="559">
        <f t="shared" si="75"/>
        <v>154.50490219883392</v>
      </c>
      <c r="V122" s="582">
        <f t="shared" si="76"/>
        <v>653.59163811329529</v>
      </c>
      <c r="W122" s="555">
        <f t="shared" si="77"/>
        <v>1.0689186562160105</v>
      </c>
      <c r="X122" s="559">
        <f t="shared" si="78"/>
        <v>37.9060089869281</v>
      </c>
      <c r="Y122" s="582">
        <f t="shared" si="79"/>
        <v>40.518440188819199</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13228.128172730934</v>
      </c>
      <c r="I123" s="553">
        <f>ITECountywide!$B$9*E123</f>
        <v>197.86129008621077</v>
      </c>
      <c r="J123" s="562">
        <f t="shared" si="67"/>
        <v>1.67</v>
      </c>
      <c r="K123" s="416">
        <f t="shared" si="68"/>
        <v>0.85658336747234742</v>
      </c>
      <c r="L123" s="554">
        <f>Passby_Length_Adj!H118</f>
        <v>0.3846286671810874</v>
      </c>
      <c r="M123" s="554">
        <f>Passby_Length_Adj!J118</f>
        <v>0.28494260634706281</v>
      </c>
      <c r="N123" s="416">
        <v>0.5</v>
      </c>
      <c r="O123" s="546">
        <f t="shared" si="69"/>
        <v>5.4798547451188014E-2</v>
      </c>
      <c r="P123" s="555">
        <f t="shared" si="70"/>
        <v>81.35380790800906</v>
      </c>
      <c r="Q123" s="556">
        <f t="shared" si="71"/>
        <v>48.714855034735969</v>
      </c>
      <c r="R123" s="561">
        <f t="shared" si="72"/>
        <v>254.27556818181819</v>
      </c>
      <c r="S123" s="583">
        <f t="shared" si="73"/>
        <v>12386.997442852395</v>
      </c>
      <c r="T123" s="555">
        <f t="shared" si="74"/>
        <v>5.1262451727538645</v>
      </c>
      <c r="U123" s="559">
        <f t="shared" si="75"/>
        <v>154.50490219883392</v>
      </c>
      <c r="V123" s="582">
        <f t="shared" si="76"/>
        <v>792.03000906358034</v>
      </c>
      <c r="W123" s="555">
        <f t="shared" si="77"/>
        <v>1.2953281584429364</v>
      </c>
      <c r="X123" s="559">
        <f t="shared" si="78"/>
        <v>37.9060089869281</v>
      </c>
      <c r="Y123" s="582">
        <f t="shared" si="79"/>
        <v>49.100720814958969</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131040.22002638729</v>
      </c>
      <c r="I124" s="553">
        <f>ITECountywide!$B$9*E124</f>
        <v>458.03909861474403</v>
      </c>
      <c r="J124" s="562">
        <f t="shared" si="67"/>
        <v>1.67</v>
      </c>
      <c r="K124" s="416">
        <f t="shared" si="68"/>
        <v>0.85658336747234742</v>
      </c>
      <c r="L124" s="554">
        <f>Passby_Length_Adj!H119</f>
        <v>0.4689899613519371</v>
      </c>
      <c r="M124" s="554">
        <f>Passby_Length_Adj!J119</f>
        <v>1</v>
      </c>
      <c r="N124" s="416">
        <v>0.5</v>
      </c>
      <c r="O124" s="546">
        <f t="shared" si="69"/>
        <v>0.23449498067596855</v>
      </c>
      <c r="P124" s="555">
        <f t="shared" si="70"/>
        <v>805.90547272033882</v>
      </c>
      <c r="Q124" s="556">
        <f t="shared" si="71"/>
        <v>482.57812737744842</v>
      </c>
      <c r="R124" s="561">
        <f t="shared" si="72"/>
        <v>254.27556818181819</v>
      </c>
      <c r="S124" s="583">
        <f t="shared" si="73"/>
        <v>122707.82753101853</v>
      </c>
      <c r="T124" s="555">
        <f t="shared" si="74"/>
        <v>50.78150790310881</v>
      </c>
      <c r="U124" s="559">
        <f t="shared" si="75"/>
        <v>154.50490219883392</v>
      </c>
      <c r="V124" s="582">
        <f t="shared" si="76"/>
        <v>7845.9919120791383</v>
      </c>
      <c r="W124" s="555">
        <f t="shared" si="77"/>
        <v>12.831754022360279</v>
      </c>
      <c r="X124" s="559">
        <f t="shared" si="78"/>
        <v>37.9060089869281</v>
      </c>
      <c r="Y124" s="582">
        <f t="shared" si="79"/>
        <v>486.40058328963954</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3266.9306931786318</v>
      </c>
      <c r="I125" s="553">
        <f>ITECountywide!$B$9*E125</f>
        <v>11.419257306184756</v>
      </c>
      <c r="J125" s="562">
        <f t="shared" si="67"/>
        <v>1.67</v>
      </c>
      <c r="K125" s="416">
        <f t="shared" si="68"/>
        <v>0.85658336747234742</v>
      </c>
      <c r="L125" s="554">
        <f>Passby_Length_Adj!H120</f>
        <v>0.4689899613519371</v>
      </c>
      <c r="M125" s="554">
        <f>Passby_Length_Adj!J120</f>
        <v>1</v>
      </c>
      <c r="N125" s="416">
        <v>0.5</v>
      </c>
      <c r="O125" s="546">
        <f t="shared" si="69"/>
        <v>0.23449498067596855</v>
      </c>
      <c r="P125" s="555">
        <f t="shared" si="70"/>
        <v>20.091826189703742</v>
      </c>
      <c r="Q125" s="556">
        <f t="shared" si="71"/>
        <v>12.031033646529186</v>
      </c>
      <c r="R125" s="561">
        <f t="shared" si="72"/>
        <v>254.27556818181819</v>
      </c>
      <c r="S125" s="583">
        <f t="shared" si="73"/>
        <v>3059.197916285781</v>
      </c>
      <c r="T125" s="555">
        <f t="shared" si="74"/>
        <v>1.2660209726536824</v>
      </c>
      <c r="U125" s="559">
        <f t="shared" si="75"/>
        <v>154.50490219883392</v>
      </c>
      <c r="V125" s="582">
        <f t="shared" si="76"/>
        <v>195.60644656152979</v>
      </c>
      <c r="W125" s="555">
        <f t="shared" si="77"/>
        <v>0.31990522493418977</v>
      </c>
      <c r="X125" s="559">
        <f t="shared" si="78"/>
        <v>37.9060089869281</v>
      </c>
      <c r="Y125" s="582">
        <f t="shared" si="79"/>
        <v>12.126330331320652</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43161.917211374908</v>
      </c>
      <c r="I126" s="553">
        <f>ITECountywide!$B$9*E126</f>
        <v>183.95879746106203</v>
      </c>
      <c r="J126" s="562">
        <f t="shared" si="67"/>
        <v>1.67</v>
      </c>
      <c r="K126" s="416">
        <f t="shared" si="68"/>
        <v>0.85658336747234742</v>
      </c>
      <c r="L126" s="554">
        <f>Passby_Length_Adj!H121</f>
        <v>0.3846286671810874</v>
      </c>
      <c r="M126" s="554">
        <f>Passby_Length_Adj!J121</f>
        <v>1</v>
      </c>
      <c r="N126" s="416">
        <v>0.5</v>
      </c>
      <c r="O126" s="546">
        <f t="shared" si="69"/>
        <v>0.1923143335905437</v>
      </c>
      <c r="P126" s="555">
        <f t="shared" si="70"/>
        <v>265.44846526314404</v>
      </c>
      <c r="Q126" s="556">
        <f t="shared" si="71"/>
        <v>158.95117680427788</v>
      </c>
      <c r="R126" s="561">
        <f t="shared" si="72"/>
        <v>254.27556818181819</v>
      </c>
      <c r="S126" s="583">
        <f t="shared" si="73"/>
        <v>40417.400795076399</v>
      </c>
      <c r="T126" s="555">
        <f t="shared" si="74"/>
        <v>16.726370266635683</v>
      </c>
      <c r="U126" s="559">
        <f t="shared" si="75"/>
        <v>154.50490219883392</v>
      </c>
      <c r="V126" s="582">
        <f t="shared" si="76"/>
        <v>2584.3062021880301</v>
      </c>
      <c r="W126" s="555">
        <f t="shared" si="77"/>
        <v>4.2265123233028374</v>
      </c>
      <c r="X126" s="559">
        <f t="shared" si="78"/>
        <v>37.9060089869281</v>
      </c>
      <c r="Y126" s="582">
        <f t="shared" si="79"/>
        <v>160.21021411047971</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1469.9266648518344</v>
      </c>
      <c r="I128" s="553">
        <f>ITECountywide!$B$9*E128</f>
        <v>21.986601765717634</v>
      </c>
      <c r="J128" s="562">
        <f t="shared" ref="J128:J137" si="80">IF(F128="Prod",$M$3,$M$4)</f>
        <v>1.67</v>
      </c>
      <c r="K128" s="416">
        <f t="shared" ref="K128:K137" si="81">IF(F128="Prod",$F$4,$F$5)</f>
        <v>0.85658336747234742</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9.0401400689277214</v>
      </c>
      <c r="Q128" s="556">
        <f t="shared" ref="Q128:Q137" si="84">+P128/J128</f>
        <v>5.413257526304025</v>
      </c>
      <c r="R128" s="561">
        <f t="shared" ref="R128:R137" si="85">+$Q$4</f>
        <v>254.27556818181819</v>
      </c>
      <c r="S128" s="583">
        <f t="shared" ref="S128:S137" si="86">+Q128*R128</f>
        <v>1376.4591332154596</v>
      </c>
      <c r="T128" s="555">
        <f t="shared" ref="T128:T137" si="87">IF($F128="Prod",$I128*$O128*$G$4*$G$6,$I128*$O128*$G$5*$G$7)</f>
        <v>0.56963497568252464</v>
      </c>
      <c r="U128" s="559">
        <f t="shared" ref="U128:U137" si="88">+$R$4</f>
        <v>154.50490219883392</v>
      </c>
      <c r="V128" s="582">
        <f t="shared" ref="V128:V137" si="89">+T128*U128</f>
        <v>88.011396206863608</v>
      </c>
      <c r="W128" s="555">
        <f t="shared" ref="W128:W137" si="90">IF($F128="Prod",$I128*$O128*$J$4*$J$6,$I128*$O128*$J$5*$J$7)</f>
        <v>0.14393853574489573</v>
      </c>
      <c r="X128" s="559">
        <f t="shared" ref="X128:X137" si="91">$S$4</f>
        <v>37.9060089869281</v>
      </c>
      <c r="Y128" s="582">
        <f t="shared" ref="Y128:Y137" si="92">+W128*X128</f>
        <v>5.4561354295112894</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12121.744788551445</v>
      </c>
      <c r="I129" s="553">
        <f>ITECountywide!$B$9*E129</f>
        <v>181.31242989486685</v>
      </c>
      <c r="J129" s="562">
        <f t="shared" si="80"/>
        <v>1.67</v>
      </c>
      <c r="K129" s="416">
        <f t="shared" si="81"/>
        <v>0.85658336747234742</v>
      </c>
      <c r="L129" s="554">
        <f>Passby_Length_Adj!H124</f>
        <v>0.3846286671810874</v>
      </c>
      <c r="M129" s="554">
        <f>Passby_Length_Adj!J124</f>
        <v>0.28494260634706281</v>
      </c>
      <c r="N129" s="416">
        <v>0.5</v>
      </c>
      <c r="O129" s="546">
        <f t="shared" si="82"/>
        <v>5.4798547451188014E-2</v>
      </c>
      <c r="P129" s="555">
        <f t="shared" si="83"/>
        <v>74.54948154120693</v>
      </c>
      <c r="Q129" s="556">
        <f t="shared" si="84"/>
        <v>44.640408108507145</v>
      </c>
      <c r="R129" s="557">
        <f t="shared" si="85"/>
        <v>254.27556818181819</v>
      </c>
      <c r="S129" s="582">
        <f t="shared" si="86"/>
        <v>11350.965135658898</v>
      </c>
      <c r="T129" s="555">
        <f t="shared" si="87"/>
        <v>4.697492713728189</v>
      </c>
      <c r="U129" s="559">
        <f t="shared" si="88"/>
        <v>154.50490219883392</v>
      </c>
      <c r="V129" s="582">
        <f t="shared" si="89"/>
        <v>725.78565231430878</v>
      </c>
      <c r="W129" s="555">
        <f t="shared" si="90"/>
        <v>1.1869886010356079</v>
      </c>
      <c r="X129" s="559">
        <f t="shared" si="91"/>
        <v>37.9060089869281</v>
      </c>
      <c r="Y129" s="582">
        <f t="shared" si="92"/>
        <v>44.994000578236964</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35655.681732206824</v>
      </c>
      <c r="I130" s="553">
        <f>ITECountywide!$B$9*E130</f>
        <v>151.96675119849681</v>
      </c>
      <c r="J130" s="562">
        <f t="shared" si="80"/>
        <v>1.67</v>
      </c>
      <c r="K130" s="416">
        <f t="shared" si="81"/>
        <v>0.85658336747234742</v>
      </c>
      <c r="L130" s="554">
        <f>Passby_Length_Adj!H125</f>
        <v>0.3846286671810874</v>
      </c>
      <c r="M130" s="554">
        <f>Passby_Length_Adj!J125</f>
        <v>1</v>
      </c>
      <c r="N130" s="416">
        <v>0.5</v>
      </c>
      <c r="O130" s="546">
        <f t="shared" si="82"/>
        <v>0.1923143335905437</v>
      </c>
      <c r="P130" s="555">
        <f t="shared" si="83"/>
        <v>219.28465196238045</v>
      </c>
      <c r="Q130" s="556">
        <f t="shared" si="84"/>
        <v>131.30817482777272</v>
      </c>
      <c r="R130" s="557">
        <f t="shared" si="85"/>
        <v>254.27556818181819</v>
      </c>
      <c r="S130" s="582">
        <f t="shared" si="86"/>
        <v>33388.460761249422</v>
      </c>
      <c r="T130" s="555">
        <f t="shared" si="87"/>
        <v>13.817507962900146</v>
      </c>
      <c r="U130" s="559">
        <f t="shared" si="88"/>
        <v>154.50490219883392</v>
      </c>
      <c r="V130" s="582">
        <f t="shared" si="89"/>
        <v>2134.8727164394959</v>
      </c>
      <c r="W130" s="555">
        <f t="shared" si="90"/>
        <v>3.4914848082146999</v>
      </c>
      <c r="X130" s="559">
        <f t="shared" si="91"/>
        <v>37.9060089869281</v>
      </c>
      <c r="Y130" s="582">
        <f t="shared" si="92"/>
        <v>132.34825451790934</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1105.7344048632847</v>
      </c>
      <c r="I131" s="553">
        <f>ITECountywide!$B$9*E131</f>
        <v>4.7127093644572007</v>
      </c>
      <c r="J131" s="562">
        <f t="shared" si="80"/>
        <v>1.67</v>
      </c>
      <c r="K131" s="416">
        <f t="shared" si="81"/>
        <v>0.85658336747234742</v>
      </c>
      <c r="L131" s="554">
        <f>Passby_Length_Adj!H126</f>
        <v>0.3846286671810874</v>
      </c>
      <c r="M131" s="554">
        <f>Passby_Length_Adj!J126</f>
        <v>1</v>
      </c>
      <c r="N131" s="416">
        <v>0.5</v>
      </c>
      <c r="O131" s="546">
        <f t="shared" si="82"/>
        <v>0.1923143335905437</v>
      </c>
      <c r="P131" s="555">
        <f t="shared" si="83"/>
        <v>6.8003351037951969</v>
      </c>
      <c r="Q131" s="556">
        <f t="shared" si="84"/>
        <v>4.0720569483803573</v>
      </c>
      <c r="R131" s="557">
        <f t="shared" si="85"/>
        <v>254.27556818181819</v>
      </c>
      <c r="S131" s="582">
        <f t="shared" si="86"/>
        <v>1035.424594218136</v>
      </c>
      <c r="T131" s="555">
        <f t="shared" si="87"/>
        <v>0.42850096258993775</v>
      </c>
      <c r="U131" s="559">
        <f t="shared" si="88"/>
        <v>154.50490219883392</v>
      </c>
      <c r="V131" s="582">
        <f t="shared" si="89"/>
        <v>66.205499317064522</v>
      </c>
      <c r="W131" s="555">
        <f t="shared" si="90"/>
        <v>0.10827600788833752</v>
      </c>
      <c r="X131" s="559">
        <f t="shared" si="91"/>
        <v>37.9060089869281</v>
      </c>
      <c r="Y131" s="582">
        <f t="shared" si="92"/>
        <v>4.1043113280840196</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13594.095075274425</v>
      </c>
      <c r="I132" s="553">
        <f>ITECountywide!$B$9*E132</f>
        <v>203.3352832710803</v>
      </c>
      <c r="J132" s="562">
        <f t="shared" si="80"/>
        <v>1.67</v>
      </c>
      <c r="K132" s="416">
        <f t="shared" si="81"/>
        <v>0.85658336747234742</v>
      </c>
      <c r="L132" s="554">
        <f>Passby_Length_Adj!H127</f>
        <v>0.3846286671810874</v>
      </c>
      <c r="M132" s="554">
        <f>Passby_Length_Adj!J127</f>
        <v>0.28494260634706281</v>
      </c>
      <c r="N132" s="416">
        <v>0.5</v>
      </c>
      <c r="O132" s="546">
        <f t="shared" si="82"/>
        <v>5.4798547451188014E-2</v>
      </c>
      <c r="P132" s="555">
        <f t="shared" si="83"/>
        <v>83.604527034815476</v>
      </c>
      <c r="Q132" s="556">
        <f t="shared" si="84"/>
        <v>50.062591038811661</v>
      </c>
      <c r="R132" s="557">
        <f t="shared" si="85"/>
        <v>254.27556818181819</v>
      </c>
      <c r="S132" s="582">
        <f t="shared" si="86"/>
        <v>12729.693781047834</v>
      </c>
      <c r="T132" s="555">
        <f t="shared" si="87"/>
        <v>5.2680669061884249</v>
      </c>
      <c r="U132" s="559">
        <f t="shared" si="88"/>
        <v>154.50490219883392</v>
      </c>
      <c r="V132" s="582">
        <f t="shared" si="89"/>
        <v>813.94216211755611</v>
      </c>
      <c r="W132" s="555">
        <f t="shared" si="90"/>
        <v>1.3311644633027537</v>
      </c>
      <c r="X132" s="559">
        <f t="shared" si="91"/>
        <v>37.9060089869281</v>
      </c>
      <c r="Y132" s="582">
        <f t="shared" si="92"/>
        <v>50.459132109033504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529.56137884604414</v>
      </c>
      <c r="I133" s="553">
        <f>ITECountywide!$B$9*E133</f>
        <v>7.9209768933376798</v>
      </c>
      <c r="J133" s="562">
        <f t="shared" si="80"/>
        <v>1.67</v>
      </c>
      <c r="K133" s="416">
        <f t="shared" si="81"/>
        <v>0.85658336747234742</v>
      </c>
      <c r="L133" s="554">
        <f>Passby_Length_Adj!H128</f>
        <v>0.3846286671810874</v>
      </c>
      <c r="M133" s="554">
        <f>Passby_Length_Adj!J128</f>
        <v>0.28494260634706281</v>
      </c>
      <c r="N133" s="416">
        <v>0.5</v>
      </c>
      <c r="O133" s="546">
        <f t="shared" si="82"/>
        <v>5.4798547451188014E-2</v>
      </c>
      <c r="P133" s="555">
        <f t="shared" si="83"/>
        <v>3.2568352927629132</v>
      </c>
      <c r="Q133" s="556">
        <f t="shared" si="84"/>
        <v>1.9502007741095289</v>
      </c>
      <c r="R133" s="557">
        <f t="shared" si="85"/>
        <v>254.27556818181819</v>
      </c>
      <c r="S133" s="582">
        <f t="shared" si="86"/>
        <v>495.88840990532213</v>
      </c>
      <c r="T133" s="555">
        <f t="shared" si="87"/>
        <v>0.2052188659301428</v>
      </c>
      <c r="U133" s="559">
        <f t="shared" si="88"/>
        <v>154.50490219883392</v>
      </c>
      <c r="V133" s="582">
        <f t="shared" si="89"/>
        <v>31.707320809892323</v>
      </c>
      <c r="W133" s="555">
        <f t="shared" si="90"/>
        <v>5.1855845111722539E-2</v>
      </c>
      <c r="X133" s="559">
        <f t="shared" si="91"/>
        <v>37.9060089869281</v>
      </c>
      <c r="Y133" s="582">
        <f t="shared" si="92"/>
        <v>1.9656481308297062</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39732.925463546133</v>
      </c>
      <c r="I134" s="553">
        <f>ITECountywide!$B$9*E134</f>
        <v>627.56975509846791</v>
      </c>
      <c r="J134" s="562">
        <f t="shared" si="80"/>
        <v>1.67</v>
      </c>
      <c r="K134" s="416">
        <f t="shared" si="81"/>
        <v>0.85658336747234742</v>
      </c>
      <c r="L134" s="554">
        <f>Passby_Length_Adj!H129</f>
        <v>0.3846286671810874</v>
      </c>
      <c r="M134" s="554">
        <f>Passby_Length_Adj!J129</f>
        <v>0.26984126984126988</v>
      </c>
      <c r="N134" s="416">
        <v>0.5</v>
      </c>
      <c r="O134" s="546">
        <f t="shared" si="82"/>
        <v>5.1894343984749895E-2</v>
      </c>
      <c r="P134" s="555">
        <f t="shared" si="83"/>
        <v>244.35995354566049</v>
      </c>
      <c r="Q134" s="556">
        <f t="shared" si="84"/>
        <v>146.32332547644342</v>
      </c>
      <c r="R134" s="557">
        <f t="shared" si="85"/>
        <v>254.27556818181819</v>
      </c>
      <c r="S134" s="582">
        <f t="shared" si="86"/>
        <v>37206.446723775764</v>
      </c>
      <c r="T134" s="555">
        <f t="shared" si="87"/>
        <v>15.397546402428208</v>
      </c>
      <c r="U134" s="559">
        <f t="shared" si="88"/>
        <v>154.50490219883392</v>
      </c>
      <c r="V134" s="582">
        <f t="shared" si="89"/>
        <v>2378.9964010091771</v>
      </c>
      <c r="W134" s="555">
        <f t="shared" si="90"/>
        <v>3.8907377142249384</v>
      </c>
      <c r="X134" s="559">
        <f t="shared" si="91"/>
        <v>37.9060089869281</v>
      </c>
      <c r="Y134" s="582">
        <f t="shared" si="92"/>
        <v>147.48233876119062</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54045.638006692221</v>
      </c>
      <c r="I135" s="553">
        <f>ITECountywide!$B$9*E135</f>
        <v>853.63479815043024</v>
      </c>
      <c r="J135" s="562">
        <f t="shared" si="80"/>
        <v>1.67</v>
      </c>
      <c r="K135" s="416">
        <f t="shared" si="81"/>
        <v>0.85658336747234742</v>
      </c>
      <c r="L135" s="554">
        <f>Passby_Length_Adj!H130</f>
        <v>0.3846286671810874</v>
      </c>
      <c r="M135" s="554">
        <f>Passby_Length_Adj!J130</f>
        <v>0.26984126984126988</v>
      </c>
      <c r="N135" s="416">
        <v>0.5</v>
      </c>
      <c r="O135" s="546">
        <f t="shared" si="82"/>
        <v>5.1894343984749895E-2</v>
      </c>
      <c r="P135" s="555">
        <f t="shared" si="83"/>
        <v>332.38402253510327</v>
      </c>
      <c r="Q135" s="556">
        <f t="shared" si="84"/>
        <v>199.03234882341513</v>
      </c>
      <c r="R135" s="557">
        <f t="shared" si="85"/>
        <v>254.27556818181819</v>
      </c>
      <c r="S135" s="582">
        <f t="shared" si="86"/>
        <v>50609.063583635718</v>
      </c>
      <c r="T135" s="555">
        <f t="shared" si="87"/>
        <v>20.944096347005072</v>
      </c>
      <c r="U135" s="559">
        <f t="shared" si="88"/>
        <v>154.50490219883392</v>
      </c>
      <c r="V135" s="582">
        <f t="shared" si="89"/>
        <v>3235.9655577369736</v>
      </c>
      <c r="W135" s="555">
        <f t="shared" si="90"/>
        <v>5.2922708214604004</v>
      </c>
      <c r="X135" s="559">
        <f t="shared" si="91"/>
        <v>37.9060089869281</v>
      </c>
      <c r="Y135" s="582">
        <f t="shared" si="92"/>
        <v>200.60886531953528</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94145.791502134365</v>
      </c>
      <c r="I136" s="553">
        <f>ITECountywide!$B$9*E136</f>
        <v>1487.00481092823</v>
      </c>
      <c r="J136" s="562">
        <f t="shared" si="80"/>
        <v>1.67</v>
      </c>
      <c r="K136" s="416">
        <f t="shared" si="81"/>
        <v>0.85658336747234742</v>
      </c>
      <c r="L136" s="554">
        <f>Passby_Length_Adj!H131</f>
        <v>0.3846286671810874</v>
      </c>
      <c r="M136" s="554">
        <f>Passby_Length_Adj!J131</f>
        <v>0.26984126984126988</v>
      </c>
      <c r="N136" s="416">
        <v>0.5</v>
      </c>
      <c r="O136" s="546">
        <f t="shared" si="82"/>
        <v>5.1894343984749895E-2</v>
      </c>
      <c r="P136" s="555">
        <f t="shared" si="83"/>
        <v>579.00245123123057</v>
      </c>
      <c r="Q136" s="556">
        <f t="shared" si="84"/>
        <v>346.70805462947942</v>
      </c>
      <c r="R136" s="557">
        <f t="shared" si="85"/>
        <v>254.27556818181819</v>
      </c>
      <c r="S136" s="582">
        <f t="shared" si="86"/>
        <v>88159.387584123746</v>
      </c>
      <c r="T136" s="555">
        <f t="shared" si="87"/>
        <v>36.483953203431398</v>
      </c>
      <c r="U136" s="559">
        <f t="shared" si="88"/>
        <v>154.50490219883392</v>
      </c>
      <c r="V136" s="582">
        <f t="shared" si="89"/>
        <v>5636.949621523002</v>
      </c>
      <c r="W136" s="555">
        <f t="shared" si="90"/>
        <v>9.2189683331769476</v>
      </c>
      <c r="X136" s="559">
        <f t="shared" si="91"/>
        <v>37.9060089869281</v>
      </c>
      <c r="Y136" s="582">
        <f t="shared" si="92"/>
        <v>349.45429648761092</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19739.654302008978</v>
      </c>
      <c r="I137" s="566">
        <f>ITECountywide!$B$9*E137</f>
        <v>311.78197606933963</v>
      </c>
      <c r="J137" s="567">
        <f t="shared" si="80"/>
        <v>1.67</v>
      </c>
      <c r="K137" s="533">
        <f t="shared" si="81"/>
        <v>0.85658336747234742</v>
      </c>
      <c r="L137" s="568">
        <f>Passby_Length_Adj!H132</f>
        <v>0.3846286671810874</v>
      </c>
      <c r="M137" s="568">
        <f>Passby_Length_Adj!J132</f>
        <v>0.26984126984126988</v>
      </c>
      <c r="N137" s="533">
        <v>0.5</v>
      </c>
      <c r="O137" s="569">
        <f t="shared" si="82"/>
        <v>5.1894343984749895E-2</v>
      </c>
      <c r="P137" s="570">
        <f t="shared" si="83"/>
        <v>121.40009707243468</v>
      </c>
      <c r="Q137" s="571">
        <f t="shared" si="84"/>
        <v>72.694668905649507</v>
      </c>
      <c r="R137" s="572">
        <f t="shared" si="85"/>
        <v>254.27556818181819</v>
      </c>
      <c r="S137" s="585">
        <f t="shared" si="86"/>
        <v>18484.47823977318</v>
      </c>
      <c r="T137" s="570">
        <f t="shared" si="87"/>
        <v>7.6496316225678767</v>
      </c>
      <c r="U137" s="574">
        <f t="shared" si="88"/>
        <v>154.50490219883392</v>
      </c>
      <c r="V137" s="585">
        <f t="shared" si="89"/>
        <v>1181.9055857019571</v>
      </c>
      <c r="W137" s="570">
        <f t="shared" si="90"/>
        <v>1.9329514895411475</v>
      </c>
      <c r="X137" s="574">
        <f t="shared" si="91"/>
        <v>37.9060089869281</v>
      </c>
      <c r="Y137" s="585">
        <f t="shared" si="92"/>
        <v>73.270476533842796</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T9:V9"/>
    <mergeCell ref="W9:Y9"/>
    <mergeCell ref="I9:O9"/>
    <mergeCell ref="P9:S9"/>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90016-90B6-4BBF-A34B-9370A8E81F71}">
  <sheetPr>
    <tabColor theme="5" tint="0.39997558519241921"/>
  </sheetPr>
  <dimension ref="A1:BD214"/>
  <sheetViews>
    <sheetView topLeftCell="A69" zoomScaleNormal="110" workbookViewId="0">
      <selection activeCell="A2" sqref="A2:A103"/>
    </sheetView>
  </sheetViews>
  <sheetFormatPr defaultColWidth="9" defaultRowHeight="16.5" x14ac:dyDescent="0.3"/>
  <cols>
    <col min="1" max="1" width="9" style="124"/>
    <col min="2" max="2" width="22.85546875" style="124" customWidth="1"/>
    <col min="3" max="3" width="44.85546875" style="124" customWidth="1"/>
    <col min="4" max="4" width="13.42578125" style="124" customWidth="1"/>
    <col min="5" max="6" width="9" style="124"/>
    <col min="7" max="7" width="9" style="228"/>
    <col min="8" max="8" width="9" style="124"/>
    <col min="9" max="12" width="4.5703125" style="124" customWidth="1"/>
    <col min="13" max="13" width="11.5703125" style="162" customWidth="1"/>
    <col min="14" max="14" width="9" style="124"/>
    <col min="15" max="15" width="8.5703125" style="125" customWidth="1"/>
    <col min="16" max="16" width="9" style="126"/>
    <col min="17" max="17" width="10.42578125" style="151" customWidth="1"/>
    <col min="18" max="18" width="9" style="153"/>
    <col min="19" max="19" width="244.5703125" style="157" customWidth="1"/>
    <col min="20" max="20" width="9" style="157"/>
    <col min="21" max="21" width="37.5703125" style="157" customWidth="1"/>
    <col min="22" max="38" width="9" style="157"/>
    <col min="39" max="56" width="9" style="143"/>
    <col min="57" max="16384" width="9" style="124"/>
  </cols>
  <sheetData>
    <row r="1" spans="1:56" s="123" customFormat="1" ht="117.75" thickBot="1" x14ac:dyDescent="0.45">
      <c r="B1" s="592" t="s">
        <v>125</v>
      </c>
      <c r="C1" s="659" t="s">
        <v>77</v>
      </c>
      <c r="D1" s="659" t="s">
        <v>78</v>
      </c>
      <c r="E1" s="659" t="s">
        <v>126</v>
      </c>
      <c r="F1" s="659" t="s">
        <v>127</v>
      </c>
      <c r="G1" s="660" t="s">
        <v>128</v>
      </c>
      <c r="H1" s="660" t="s">
        <v>129</v>
      </c>
      <c r="I1" s="661" t="s">
        <v>130</v>
      </c>
      <c r="J1" s="661" t="s">
        <v>131</v>
      </c>
      <c r="K1" s="661" t="s">
        <v>132</v>
      </c>
      <c r="L1" s="661" t="s">
        <v>133</v>
      </c>
      <c r="M1" s="660" t="s">
        <v>134</v>
      </c>
      <c r="N1" s="660" t="s">
        <v>135</v>
      </c>
      <c r="O1" s="660" t="s">
        <v>136</v>
      </c>
      <c r="P1" s="660" t="s">
        <v>137</v>
      </c>
      <c r="Q1" s="662" t="s">
        <v>138</v>
      </c>
      <c r="R1" s="663" t="s">
        <v>139</v>
      </c>
      <c r="S1" s="157"/>
      <c r="T1" s="157"/>
      <c r="U1" s="157"/>
      <c r="V1" s="157"/>
      <c r="W1" s="157"/>
      <c r="X1" s="157"/>
      <c r="Y1" s="157"/>
      <c r="Z1" s="157"/>
      <c r="AA1" s="157"/>
      <c r="AB1" s="157"/>
      <c r="AC1" s="157"/>
      <c r="AD1" s="157"/>
      <c r="AE1" s="157"/>
      <c r="AF1" s="157"/>
      <c r="AG1" s="157"/>
      <c r="AH1" s="157"/>
      <c r="AI1" s="157"/>
      <c r="AJ1" s="157"/>
      <c r="AK1" s="157"/>
      <c r="AL1" s="157"/>
      <c r="AM1" s="406"/>
      <c r="AN1" s="406"/>
      <c r="AO1" s="406"/>
      <c r="AP1" s="406"/>
      <c r="AQ1" s="406"/>
      <c r="AR1" s="406"/>
      <c r="AS1" s="406"/>
      <c r="AT1" s="406"/>
      <c r="AU1" s="406"/>
      <c r="AV1" s="406"/>
      <c r="AW1" s="406"/>
      <c r="AX1" s="406"/>
      <c r="AY1" s="406"/>
      <c r="AZ1" s="406"/>
      <c r="BA1" s="406"/>
      <c r="BB1" s="406"/>
      <c r="BC1" s="406"/>
      <c r="BD1" s="406"/>
    </row>
    <row r="2" spans="1:56" x14ac:dyDescent="0.3">
      <c r="A2" s="156" t="str">
        <f>B2&amp;"-00"</f>
        <v>30-00</v>
      </c>
      <c r="B2" s="593">
        <v>30</v>
      </c>
      <c r="C2" s="594" t="s">
        <v>144</v>
      </c>
      <c r="D2" s="511" t="s">
        <v>110</v>
      </c>
      <c r="E2" s="595" t="str">
        <f>IF(G2,"✓","X")</f>
        <v>✓</v>
      </c>
      <c r="F2" s="595" t="str">
        <f>IF(H2,"✓","X")</f>
        <v>✓</v>
      </c>
      <c r="G2" s="596">
        <v>9.85</v>
      </c>
      <c r="H2" s="597">
        <v>9.85</v>
      </c>
      <c r="I2" s="598"/>
      <c r="J2" s="598"/>
      <c r="K2" s="598"/>
      <c r="L2" s="598"/>
      <c r="M2" s="694">
        <f t="shared" ref="M2:M58" si="0">((G2*0.97*(P2/2)*O2)/8500)*(1951500-278800)*1.02*1.682</f>
        <v>10080.5280136125</v>
      </c>
      <c r="N2" s="299"/>
      <c r="O2" s="599">
        <v>6.25</v>
      </c>
      <c r="P2" s="600">
        <v>1</v>
      </c>
      <c r="Q2" s="601">
        <v>10080.200000000001</v>
      </c>
      <c r="R2" s="602">
        <f t="shared" ref="R2:R59" si="1">Q2/M2</f>
        <v>0.99996746067149889</v>
      </c>
      <c r="S2" s="158"/>
      <c r="T2" s="159"/>
      <c r="U2" s="159"/>
      <c r="V2" s="159" t="s">
        <v>145</v>
      </c>
      <c r="W2" s="159"/>
      <c r="X2" s="159" t="s">
        <v>146</v>
      </c>
      <c r="Y2" s="159" t="s">
        <v>147</v>
      </c>
      <c r="Z2" s="158"/>
      <c r="AA2" s="158"/>
      <c r="AB2" s="158"/>
      <c r="AC2" s="158"/>
      <c r="AD2" s="158"/>
      <c r="AE2" s="158"/>
      <c r="AF2" s="158"/>
      <c r="AG2" s="158"/>
      <c r="AH2" s="158"/>
      <c r="AI2" s="158"/>
      <c r="AJ2" s="158"/>
      <c r="AK2" s="158"/>
      <c r="AL2" s="158"/>
      <c r="AM2" s="158"/>
      <c r="AN2" s="158"/>
      <c r="AO2" s="158"/>
      <c r="AP2" s="158"/>
      <c r="AQ2" s="158"/>
      <c r="AR2" s="158"/>
      <c r="AS2" s="158"/>
      <c r="AT2" s="158"/>
      <c r="AU2" s="158"/>
      <c r="AV2" s="158"/>
      <c r="AW2" s="158"/>
      <c r="AX2" s="158"/>
      <c r="AY2" s="158"/>
      <c r="AZ2" s="158"/>
      <c r="BA2" s="406"/>
      <c r="BB2" s="406"/>
      <c r="BC2" s="406"/>
      <c r="BD2" s="406"/>
    </row>
    <row r="3" spans="1:56" x14ac:dyDescent="0.3">
      <c r="A3" s="156" t="str">
        <f t="shared" ref="A3:A51" si="2">B3&amp;"-00"</f>
        <v>110-00</v>
      </c>
      <c r="B3" s="593">
        <v>110</v>
      </c>
      <c r="C3" s="594" t="s">
        <v>144</v>
      </c>
      <c r="D3" s="511" t="s">
        <v>110</v>
      </c>
      <c r="E3" s="595" t="str">
        <f t="shared" ref="E3:F9" si="3">IF(G3,"✓","X")</f>
        <v>X</v>
      </c>
      <c r="F3" s="595" t="str">
        <f t="shared" si="3"/>
        <v>✓</v>
      </c>
      <c r="G3" s="596"/>
      <c r="H3" s="598">
        <v>4.96</v>
      </c>
      <c r="I3" s="598"/>
      <c r="J3" s="598"/>
      <c r="K3" s="598"/>
      <c r="L3" s="598"/>
      <c r="M3" s="694"/>
      <c r="N3" s="299"/>
      <c r="O3" s="599"/>
      <c r="P3" s="603"/>
      <c r="Q3" s="601"/>
      <c r="R3" s="602"/>
      <c r="S3" s="158"/>
      <c r="T3" s="159"/>
      <c r="U3" s="159"/>
      <c r="V3" s="159" t="s">
        <v>145</v>
      </c>
      <c r="W3" s="159"/>
      <c r="X3" s="159" t="s">
        <v>146</v>
      </c>
      <c r="Y3" s="159" t="s">
        <v>147</v>
      </c>
      <c r="Z3" s="158"/>
      <c r="AA3" s="158"/>
      <c r="AB3" s="158"/>
      <c r="AC3" s="158"/>
      <c r="AD3" s="158"/>
      <c r="AE3" s="158"/>
      <c r="AF3" s="158"/>
      <c r="AG3" s="158"/>
      <c r="AH3" s="158"/>
      <c r="AI3" s="158"/>
      <c r="AJ3" s="158"/>
      <c r="AK3" s="158"/>
      <c r="AL3" s="158"/>
      <c r="AM3" s="158"/>
      <c r="AN3" s="158"/>
      <c r="AO3" s="158"/>
      <c r="AP3" s="158"/>
      <c r="AQ3" s="158"/>
      <c r="AR3" s="158"/>
      <c r="AS3" s="158"/>
      <c r="AT3" s="158"/>
      <c r="AU3" s="158"/>
      <c r="AV3" s="158"/>
      <c r="AW3" s="158"/>
      <c r="AX3" s="158"/>
      <c r="AY3" s="158"/>
      <c r="AZ3" s="158"/>
      <c r="BA3" s="406"/>
      <c r="BB3" s="406"/>
      <c r="BC3" s="406"/>
      <c r="BD3" s="406"/>
    </row>
    <row r="4" spans="1:56" x14ac:dyDescent="0.3">
      <c r="A4" s="156" t="str">
        <f t="shared" si="2"/>
        <v>130-00</v>
      </c>
      <c r="B4" s="593">
        <v>130</v>
      </c>
      <c r="C4" s="594" t="s">
        <v>150</v>
      </c>
      <c r="D4" s="511" t="s">
        <v>110</v>
      </c>
      <c r="E4" s="595" t="str">
        <f t="shared" si="3"/>
        <v>✓</v>
      </c>
      <c r="F4" s="595" t="str">
        <f t="shared" si="3"/>
        <v>✓</v>
      </c>
      <c r="G4" s="596">
        <v>6.96</v>
      </c>
      <c r="H4" s="598">
        <v>3.37</v>
      </c>
      <c r="I4" s="598"/>
      <c r="J4" s="598"/>
      <c r="K4" s="598"/>
      <c r="L4" s="598"/>
      <c r="M4" s="694">
        <f t="shared" si="0"/>
        <v>7020.3212319905288</v>
      </c>
      <c r="N4" s="299"/>
      <c r="O4" s="599">
        <v>6.16</v>
      </c>
      <c r="P4" s="600">
        <v>1</v>
      </c>
      <c r="Q4" s="601">
        <v>7020.7</v>
      </c>
      <c r="R4" s="602">
        <f t="shared" si="1"/>
        <v>1.0000539530880361</v>
      </c>
      <c r="S4" s="158"/>
      <c r="T4" s="159"/>
      <c r="U4" s="159"/>
      <c r="V4" s="159"/>
      <c r="W4" s="159"/>
      <c r="X4" s="159" t="s">
        <v>151</v>
      </c>
      <c r="Y4" s="159" t="s">
        <v>152</v>
      </c>
      <c r="Z4" s="158"/>
      <c r="AA4" s="158"/>
      <c r="AB4" s="158"/>
      <c r="AC4" s="158"/>
      <c r="AD4" s="158"/>
      <c r="AE4" s="158"/>
      <c r="AF4" s="158"/>
      <c r="AG4" s="158"/>
      <c r="AH4" s="158"/>
      <c r="AI4" s="158"/>
      <c r="AJ4" s="158"/>
      <c r="AK4" s="158"/>
      <c r="AL4" s="158"/>
      <c r="AM4" s="158"/>
      <c r="AN4" s="158"/>
      <c r="AO4" s="158"/>
      <c r="AP4" s="158"/>
      <c r="AQ4" s="158"/>
      <c r="AR4" s="158"/>
      <c r="AS4" s="158"/>
      <c r="AT4" s="158"/>
      <c r="AU4" s="158"/>
      <c r="AV4" s="158"/>
      <c r="AW4" s="158"/>
      <c r="AX4" s="158"/>
      <c r="AY4" s="158"/>
      <c r="AZ4" s="158"/>
      <c r="BA4" s="406"/>
      <c r="BB4" s="406"/>
      <c r="BC4" s="406"/>
      <c r="BD4" s="406"/>
    </row>
    <row r="5" spans="1:56" x14ac:dyDescent="0.3">
      <c r="A5" s="156" t="str">
        <f t="shared" si="2"/>
        <v>140-00</v>
      </c>
      <c r="B5" s="593">
        <v>140</v>
      </c>
      <c r="C5" s="594" t="s">
        <v>153</v>
      </c>
      <c r="D5" s="511" t="s">
        <v>110</v>
      </c>
      <c r="E5" s="595" t="str">
        <f t="shared" si="3"/>
        <v>✓</v>
      </c>
      <c r="F5" s="595" t="str">
        <f t="shared" si="3"/>
        <v>✓</v>
      </c>
      <c r="G5" s="596">
        <v>3.82</v>
      </c>
      <c r="H5" s="598">
        <v>3.93</v>
      </c>
      <c r="I5" s="598"/>
      <c r="J5" s="598"/>
      <c r="K5" s="598"/>
      <c r="L5" s="598"/>
      <c r="M5" s="694">
        <f t="shared" si="0"/>
        <v>3853.1073428453751</v>
      </c>
      <c r="N5" s="299"/>
      <c r="O5" s="599">
        <v>6.16</v>
      </c>
      <c r="P5" s="600">
        <v>1</v>
      </c>
      <c r="Q5" s="601">
        <v>3853.5</v>
      </c>
      <c r="R5" s="602">
        <f t="shared" si="1"/>
        <v>1.0001019066222887</v>
      </c>
      <c r="S5" s="158"/>
      <c r="T5" s="159"/>
      <c r="U5" s="159" t="s">
        <v>140</v>
      </c>
      <c r="V5" s="159"/>
      <c r="W5" s="159"/>
      <c r="X5" s="159"/>
      <c r="Y5" s="159"/>
      <c r="Z5" s="158"/>
      <c r="AA5" s="158"/>
      <c r="AB5" s="158"/>
      <c r="AC5" s="158"/>
      <c r="AD5" s="158"/>
      <c r="AE5" s="158"/>
      <c r="AF5" s="158"/>
      <c r="AG5" s="158"/>
      <c r="AH5" s="158"/>
      <c r="AI5" s="158"/>
      <c r="AJ5" s="158"/>
      <c r="AK5" s="158"/>
      <c r="AL5" s="158"/>
      <c r="AM5" s="158"/>
      <c r="AN5" s="158"/>
      <c r="AO5" s="158"/>
      <c r="AP5" s="158"/>
      <c r="AQ5" s="158"/>
      <c r="AR5" s="158"/>
      <c r="AS5" s="158"/>
      <c r="AT5" s="158"/>
      <c r="AU5" s="158"/>
      <c r="AV5" s="158"/>
      <c r="AW5" s="158"/>
      <c r="AX5" s="158"/>
      <c r="AY5" s="158"/>
      <c r="AZ5" s="158"/>
      <c r="BA5" s="406"/>
      <c r="BB5" s="406"/>
      <c r="BC5" s="406"/>
      <c r="BD5" s="406"/>
    </row>
    <row r="6" spans="1:56" x14ac:dyDescent="0.3">
      <c r="A6" s="156" t="str">
        <f t="shared" si="2"/>
        <v>150-00</v>
      </c>
      <c r="B6" s="593">
        <v>150</v>
      </c>
      <c r="C6" s="594" t="s">
        <v>154</v>
      </c>
      <c r="D6" s="511" t="s">
        <v>110</v>
      </c>
      <c r="E6" s="595" t="str">
        <f t="shared" si="3"/>
        <v>✓</v>
      </c>
      <c r="F6" s="595" t="str">
        <f t="shared" si="3"/>
        <v>✓</v>
      </c>
      <c r="G6" s="596">
        <v>4.96</v>
      </c>
      <c r="H6" s="598">
        <v>1.74</v>
      </c>
      <c r="I6" s="598"/>
      <c r="J6" s="598"/>
      <c r="K6" s="598"/>
      <c r="L6" s="598"/>
      <c r="M6" s="694">
        <f t="shared" si="0"/>
        <v>5002.9875446369279</v>
      </c>
      <c r="N6" s="299"/>
      <c r="O6" s="599">
        <v>6.16</v>
      </c>
      <c r="P6" s="600">
        <v>1</v>
      </c>
      <c r="Q6" s="601">
        <v>5002.3</v>
      </c>
      <c r="R6" s="602">
        <f t="shared" si="1"/>
        <v>0.99986257318636251</v>
      </c>
      <c r="S6" s="158"/>
      <c r="T6" s="159">
        <v>30</v>
      </c>
      <c r="U6" s="159" t="s">
        <v>155</v>
      </c>
      <c r="V6" s="159" t="s">
        <v>156</v>
      </c>
      <c r="W6" s="159"/>
      <c r="X6" s="159"/>
      <c r="Y6" s="160">
        <v>5993</v>
      </c>
      <c r="Z6" s="158"/>
      <c r="AA6" s="158"/>
      <c r="AB6" s="158"/>
      <c r="AC6" s="158"/>
      <c r="AD6" s="158"/>
      <c r="AE6" s="158"/>
      <c r="AF6" s="158"/>
      <c r="AG6" s="158"/>
      <c r="AH6" s="158"/>
      <c r="AI6" s="158"/>
      <c r="AJ6" s="158"/>
      <c r="AK6" s="158"/>
      <c r="AL6" s="158"/>
      <c r="AM6" s="158"/>
      <c r="AN6" s="158"/>
      <c r="AO6" s="158"/>
      <c r="AP6" s="158"/>
      <c r="AQ6" s="158"/>
      <c r="AR6" s="158"/>
      <c r="AS6" s="158"/>
      <c r="AT6" s="158"/>
      <c r="AU6" s="158"/>
      <c r="AV6" s="158"/>
      <c r="AW6" s="158"/>
      <c r="AX6" s="158"/>
      <c r="AY6" s="158"/>
      <c r="AZ6" s="158"/>
      <c r="BA6" s="406"/>
      <c r="BB6" s="406"/>
      <c r="BC6" s="406"/>
      <c r="BD6" s="406"/>
    </row>
    <row r="7" spans="1:56" x14ac:dyDescent="0.3">
      <c r="A7" s="156" t="str">
        <f t="shared" si="2"/>
        <v>151-00</v>
      </c>
      <c r="B7" s="593">
        <v>151</v>
      </c>
      <c r="C7" s="594" t="s">
        <v>157</v>
      </c>
      <c r="D7" s="511" t="s">
        <v>110</v>
      </c>
      <c r="E7" s="595" t="str">
        <f t="shared" si="3"/>
        <v>✓</v>
      </c>
      <c r="F7" s="595" t="str">
        <f t="shared" si="3"/>
        <v>✓</v>
      </c>
      <c r="G7" s="596">
        <v>2.5</v>
      </c>
      <c r="H7" s="598">
        <v>1.51</v>
      </c>
      <c r="I7" s="598"/>
      <c r="J7" s="598"/>
      <c r="K7" s="598"/>
      <c r="L7" s="598"/>
      <c r="M7" s="694">
        <f t="shared" si="0"/>
        <v>2415.2331078299999</v>
      </c>
      <c r="N7" s="299"/>
      <c r="O7" s="599">
        <v>5.9</v>
      </c>
      <c r="P7" s="600">
        <v>1</v>
      </c>
      <c r="Q7" s="601">
        <v>2415.4</v>
      </c>
      <c r="R7" s="602">
        <f t="shared" si="1"/>
        <v>1.0000690998187542</v>
      </c>
      <c r="S7" s="158"/>
      <c r="T7" s="159"/>
      <c r="U7" s="159" t="s">
        <v>148</v>
      </c>
      <c r="V7" s="159"/>
      <c r="W7" s="159"/>
      <c r="X7" s="159"/>
      <c r="Y7" s="159"/>
      <c r="Z7" s="158"/>
      <c r="AA7" s="158"/>
      <c r="AB7" s="158"/>
      <c r="AC7" s="158"/>
      <c r="AD7" s="158"/>
      <c r="AE7" s="158"/>
      <c r="AF7" s="158"/>
      <c r="AG7" s="158"/>
      <c r="AH7" s="158"/>
      <c r="AI7" s="158"/>
      <c r="AJ7" s="158"/>
      <c r="AK7" s="158"/>
      <c r="AL7" s="158"/>
      <c r="AM7" s="158"/>
      <c r="AN7" s="158"/>
      <c r="AO7" s="158"/>
      <c r="AP7" s="158"/>
      <c r="AQ7" s="158"/>
      <c r="AR7" s="158"/>
      <c r="AS7" s="158"/>
      <c r="AT7" s="158"/>
      <c r="AU7" s="158"/>
      <c r="AV7" s="158"/>
      <c r="AW7" s="158"/>
      <c r="AX7" s="158"/>
      <c r="AY7" s="158"/>
      <c r="AZ7" s="158"/>
      <c r="BA7" s="406"/>
      <c r="BB7" s="406"/>
      <c r="BC7" s="406"/>
      <c r="BD7" s="406"/>
    </row>
    <row r="8" spans="1:56" x14ac:dyDescent="0.3">
      <c r="A8" s="156" t="str">
        <f t="shared" si="2"/>
        <v>160-00</v>
      </c>
      <c r="B8" s="593">
        <v>160</v>
      </c>
      <c r="C8" s="594" t="s">
        <v>158</v>
      </c>
      <c r="D8" s="511" t="s">
        <v>110</v>
      </c>
      <c r="E8" s="595" t="str">
        <f t="shared" si="3"/>
        <v>X</v>
      </c>
      <c r="F8" s="595" t="str">
        <f t="shared" si="3"/>
        <v>✓</v>
      </c>
      <c r="G8" s="596"/>
      <c r="H8" s="598">
        <v>0.99</v>
      </c>
      <c r="I8" s="598"/>
      <c r="J8" s="598"/>
      <c r="K8" s="598"/>
      <c r="L8" s="598"/>
      <c r="M8" s="694"/>
      <c r="N8" s="299"/>
      <c r="O8" s="599"/>
      <c r="P8" s="603"/>
      <c r="Q8" s="601"/>
      <c r="R8" s="602"/>
      <c r="S8" s="158"/>
      <c r="T8" s="159">
        <v>130</v>
      </c>
      <c r="U8" s="159" t="s">
        <v>150</v>
      </c>
      <c r="V8" s="159" t="s">
        <v>159</v>
      </c>
      <c r="W8" s="159"/>
      <c r="X8" s="159"/>
      <c r="Y8" s="160">
        <v>4174</v>
      </c>
      <c r="Z8" s="158"/>
      <c r="AA8" s="158"/>
      <c r="AB8" s="158"/>
      <c r="AC8" s="158"/>
      <c r="AD8" s="158"/>
      <c r="AE8" s="158"/>
      <c r="AF8" s="158"/>
      <c r="AG8" s="158"/>
      <c r="AH8" s="158"/>
      <c r="AI8" s="158"/>
      <c r="AJ8" s="158"/>
      <c r="AK8" s="158"/>
      <c r="AL8" s="158"/>
      <c r="AM8" s="158"/>
      <c r="AN8" s="158"/>
      <c r="AO8" s="158"/>
      <c r="AP8" s="158"/>
      <c r="AQ8" s="158"/>
      <c r="AR8" s="158"/>
      <c r="AS8" s="158"/>
      <c r="AT8" s="158"/>
      <c r="AU8" s="158"/>
      <c r="AV8" s="158"/>
      <c r="AW8" s="158"/>
      <c r="AX8" s="158"/>
      <c r="AY8" s="158"/>
      <c r="AZ8" s="158"/>
      <c r="BA8" s="406"/>
      <c r="BB8" s="406"/>
      <c r="BC8" s="406"/>
      <c r="BD8" s="406"/>
    </row>
    <row r="9" spans="1:56" x14ac:dyDescent="0.3">
      <c r="A9" s="156" t="str">
        <f t="shared" si="2"/>
        <v>170-00</v>
      </c>
      <c r="B9" s="593">
        <v>170</v>
      </c>
      <c r="C9" s="594" t="s">
        <v>160</v>
      </c>
      <c r="D9" s="511" t="s">
        <v>110</v>
      </c>
      <c r="E9" s="595" t="str">
        <f t="shared" si="3"/>
        <v>X</v>
      </c>
      <c r="F9" s="595" t="str">
        <f t="shared" si="3"/>
        <v>✓</v>
      </c>
      <c r="G9" s="596"/>
      <c r="H9" s="598">
        <v>13.24</v>
      </c>
      <c r="I9" s="598"/>
      <c r="J9" s="598"/>
      <c r="K9" s="598"/>
      <c r="L9" s="598"/>
      <c r="M9" s="694"/>
      <c r="N9" s="299"/>
      <c r="O9" s="599"/>
      <c r="P9" s="603"/>
      <c r="Q9" s="601"/>
      <c r="R9" s="602"/>
      <c r="S9" s="158"/>
      <c r="T9" s="159">
        <v>140</v>
      </c>
      <c r="U9" s="159" t="s">
        <v>153</v>
      </c>
      <c r="V9" s="159" t="s">
        <v>161</v>
      </c>
      <c r="W9" s="159"/>
      <c r="X9" s="159"/>
      <c r="Y9" s="160">
        <v>2291</v>
      </c>
      <c r="Z9" s="158"/>
      <c r="AA9" s="158"/>
      <c r="AB9" s="158"/>
      <c r="AC9" s="158"/>
      <c r="AD9" s="158"/>
      <c r="AE9" s="158"/>
      <c r="AF9" s="158"/>
      <c r="AG9" s="158"/>
      <c r="AH9" s="158"/>
      <c r="AI9" s="158"/>
      <c r="AJ9" s="158"/>
      <c r="AK9" s="158"/>
      <c r="AL9" s="158"/>
      <c r="AM9" s="158"/>
      <c r="AN9" s="158"/>
      <c r="AO9" s="158"/>
      <c r="AP9" s="158"/>
      <c r="AQ9" s="158"/>
      <c r="AR9" s="158"/>
      <c r="AS9" s="158"/>
      <c r="AT9" s="158"/>
      <c r="AU9" s="158"/>
      <c r="AV9" s="158"/>
      <c r="AW9" s="158"/>
      <c r="AX9" s="158"/>
      <c r="AY9" s="158"/>
      <c r="AZ9" s="158"/>
      <c r="BA9" s="406"/>
      <c r="BB9" s="406"/>
      <c r="BC9" s="406"/>
      <c r="BD9" s="406"/>
    </row>
    <row r="10" spans="1:56" x14ac:dyDescent="0.3">
      <c r="A10" s="156" t="str">
        <f t="shared" si="2"/>
        <v>210-00</v>
      </c>
      <c r="B10" s="593">
        <v>210</v>
      </c>
      <c r="C10" s="594" t="s">
        <v>163</v>
      </c>
      <c r="D10" s="511" t="s">
        <v>164</v>
      </c>
      <c r="E10" s="595" t="str">
        <f t="shared" ref="E10:E23" si="4">IF(G10,"✓","X")</f>
        <v>✓</v>
      </c>
      <c r="F10" s="595" t="str">
        <f t="shared" ref="F10:F23" si="5">IF(H10,"✓","X")</f>
        <v>✓</v>
      </c>
      <c r="G10" s="596">
        <v>9.57</v>
      </c>
      <c r="H10" s="598">
        <v>9.44</v>
      </c>
      <c r="I10" s="598"/>
      <c r="J10" s="598"/>
      <c r="K10" s="598"/>
      <c r="L10" s="598"/>
      <c r="M10" s="694">
        <f>((G10*0.97*(P10/2)*O10)/8500)*(1951500-278800)*1.02*1.682</f>
        <v>9543.2491747371241</v>
      </c>
      <c r="N10" s="299"/>
      <c r="O10" s="599">
        <v>6.09</v>
      </c>
      <c r="P10" s="600">
        <v>1</v>
      </c>
      <c r="Q10" s="601">
        <v>9543.67</v>
      </c>
      <c r="R10" s="602">
        <f t="shared" si="1"/>
        <v>1.0000440966441482</v>
      </c>
      <c r="S10" s="158"/>
      <c r="T10" s="159">
        <v>151</v>
      </c>
      <c r="U10" s="159" t="s">
        <v>165</v>
      </c>
      <c r="V10" s="159" t="s">
        <v>166</v>
      </c>
      <c r="W10" s="159"/>
      <c r="X10" s="159"/>
      <c r="Y10" s="160">
        <v>1436</v>
      </c>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406"/>
      <c r="BB10" s="406"/>
      <c r="BC10" s="406"/>
      <c r="BD10" s="406"/>
    </row>
    <row r="11" spans="1:56" x14ac:dyDescent="0.3">
      <c r="A11" s="156" t="str">
        <f t="shared" si="2"/>
        <v>220-00</v>
      </c>
      <c r="B11" s="593">
        <v>220</v>
      </c>
      <c r="C11" s="594" t="s">
        <v>167</v>
      </c>
      <c r="D11" s="511" t="s">
        <v>164</v>
      </c>
      <c r="E11" s="595" t="str">
        <f t="shared" si="4"/>
        <v>✓</v>
      </c>
      <c r="F11" s="595" t="str">
        <f t="shared" si="5"/>
        <v>✓</v>
      </c>
      <c r="G11" s="596">
        <v>6.72</v>
      </c>
      <c r="H11" s="598">
        <v>7.32</v>
      </c>
      <c r="I11" s="598"/>
      <c r="J11" s="598"/>
      <c r="K11" s="598"/>
      <c r="L11" s="598"/>
      <c r="M11" s="694">
        <f>((G11*0.97*(P11/2)*O11)/8500)*(1951500-278800)*1.02*1.682</f>
        <v>6701.2157214455046</v>
      </c>
      <c r="N11" s="299"/>
      <c r="O11" s="599">
        <v>6.09</v>
      </c>
      <c r="P11" s="600">
        <v>1</v>
      </c>
      <c r="Q11" s="601">
        <v>6701.09</v>
      </c>
      <c r="R11" s="602">
        <f t="shared" si="1"/>
        <v>0.99998123900934843</v>
      </c>
      <c r="S11" s="158"/>
      <c r="T11" s="159"/>
      <c r="U11" s="159" t="s">
        <v>162</v>
      </c>
      <c r="V11" s="159"/>
      <c r="W11" s="159"/>
      <c r="X11" s="159"/>
      <c r="Y11" s="159"/>
      <c r="Z11" s="158"/>
      <c r="AA11" s="158"/>
      <c r="AB11" s="158"/>
      <c r="AC11" s="158"/>
      <c r="AD11" s="158"/>
      <c r="AE11" s="158"/>
      <c r="AF11" s="158"/>
      <c r="AG11" s="158"/>
      <c r="AH11" s="158"/>
      <c r="AI11" s="158"/>
      <c r="AJ11" s="158"/>
      <c r="AK11" s="158"/>
      <c r="AL11" s="158"/>
      <c r="AM11" s="158"/>
      <c r="AN11" s="158"/>
      <c r="AO11" s="158"/>
      <c r="AP11" s="158"/>
      <c r="AQ11" s="158"/>
      <c r="AR11" s="158"/>
      <c r="AS11" s="158"/>
      <c r="AT11" s="158"/>
      <c r="AU11" s="158"/>
      <c r="AV11" s="158"/>
      <c r="AW11" s="158"/>
      <c r="AX11" s="158"/>
      <c r="AY11" s="158"/>
      <c r="AZ11" s="158"/>
      <c r="BA11" s="406"/>
      <c r="BB11" s="406"/>
      <c r="BC11" s="406"/>
      <c r="BD11" s="406"/>
    </row>
    <row r="12" spans="1:56" x14ac:dyDescent="0.3">
      <c r="A12" s="156" t="str">
        <f t="shared" si="2"/>
        <v>221-00</v>
      </c>
      <c r="B12" s="593">
        <v>221</v>
      </c>
      <c r="C12" s="594" t="s">
        <v>168</v>
      </c>
      <c r="D12" s="511" t="s">
        <v>164</v>
      </c>
      <c r="E12" s="595" t="str">
        <f t="shared" si="4"/>
        <v>X</v>
      </c>
      <c r="F12" s="595" t="str">
        <f t="shared" si="5"/>
        <v>✓</v>
      </c>
      <c r="G12" s="596"/>
      <c r="H12" s="598">
        <v>5.44</v>
      </c>
      <c r="I12" s="598">
        <v>2.59</v>
      </c>
      <c r="J12" s="598"/>
      <c r="K12" s="598"/>
      <c r="L12" s="598"/>
      <c r="M12" s="694"/>
      <c r="N12" s="299"/>
      <c r="O12" s="599"/>
      <c r="P12" s="600"/>
      <c r="Q12" s="601"/>
      <c r="R12" s="602"/>
      <c r="S12" s="158"/>
      <c r="T12" s="159">
        <v>210</v>
      </c>
      <c r="U12" s="159" t="s">
        <v>169</v>
      </c>
      <c r="V12" s="159" t="s">
        <v>170</v>
      </c>
      <c r="W12" s="159"/>
      <c r="X12" s="159"/>
      <c r="Y12" s="160">
        <v>5674</v>
      </c>
      <c r="Z12" s="158"/>
      <c r="AA12" s="158"/>
      <c r="AB12" s="158"/>
      <c r="AC12" s="158"/>
      <c r="AD12" s="158"/>
      <c r="AE12" s="158"/>
      <c r="AF12" s="158"/>
      <c r="AG12" s="158"/>
      <c r="AH12" s="158"/>
      <c r="AI12" s="158"/>
      <c r="AJ12" s="158"/>
      <c r="AK12" s="158"/>
      <c r="AL12" s="158"/>
      <c r="AM12" s="158"/>
      <c r="AN12" s="158"/>
      <c r="AO12" s="158"/>
      <c r="AP12" s="158"/>
      <c r="AQ12" s="158"/>
      <c r="AR12" s="158"/>
      <c r="AS12" s="158"/>
      <c r="AT12" s="158"/>
      <c r="AU12" s="158"/>
      <c r="AV12" s="158"/>
      <c r="AW12" s="158"/>
      <c r="AX12" s="158"/>
      <c r="AY12" s="158"/>
      <c r="AZ12" s="158"/>
      <c r="BA12" s="406"/>
      <c r="BB12" s="406"/>
      <c r="BC12" s="406"/>
      <c r="BD12" s="406"/>
    </row>
    <row r="13" spans="1:56" x14ac:dyDescent="0.3">
      <c r="A13" s="156" t="str">
        <f t="shared" si="2"/>
        <v>222-00</v>
      </c>
      <c r="B13" s="593">
        <v>222</v>
      </c>
      <c r="C13" s="594" t="s">
        <v>171</v>
      </c>
      <c r="D13" s="511" t="s">
        <v>164</v>
      </c>
      <c r="E13" s="595" t="str">
        <f t="shared" si="4"/>
        <v>✓</v>
      </c>
      <c r="F13" s="595" t="str">
        <f t="shared" si="5"/>
        <v>✓</v>
      </c>
      <c r="G13" s="596">
        <v>4.2</v>
      </c>
      <c r="H13" s="598">
        <v>4.45</v>
      </c>
      <c r="I13" s="598">
        <v>2.0699999999999998</v>
      </c>
      <c r="J13" s="598">
        <v>2.16</v>
      </c>
      <c r="K13" s="598">
        <v>7.96</v>
      </c>
      <c r="L13" s="598">
        <v>8.0399999999999991</v>
      </c>
      <c r="M13" s="694">
        <f t="shared" si="0"/>
        <v>4188.2598259034394</v>
      </c>
      <c r="N13" s="299"/>
      <c r="O13" s="599">
        <v>6.09</v>
      </c>
      <c r="P13" s="600">
        <v>1</v>
      </c>
      <c r="Q13" s="601">
        <v>4188.18</v>
      </c>
      <c r="R13" s="602">
        <f t="shared" si="1"/>
        <v>0.99998094055604059</v>
      </c>
      <c r="S13" s="158"/>
      <c r="T13" s="159">
        <v>220</v>
      </c>
      <c r="U13" s="159" t="s">
        <v>172</v>
      </c>
      <c r="V13" s="159" t="s">
        <v>173</v>
      </c>
      <c r="W13" s="159"/>
      <c r="X13" s="159"/>
      <c r="Y13" s="160">
        <v>3984</v>
      </c>
      <c r="Z13" s="158"/>
      <c r="AA13" s="158"/>
      <c r="AB13" s="158"/>
      <c r="AC13" s="158"/>
      <c r="AD13" s="158"/>
      <c r="AE13" s="158"/>
      <c r="AF13" s="158"/>
      <c r="AG13" s="158"/>
      <c r="AH13" s="158"/>
      <c r="AI13" s="158"/>
      <c r="AJ13" s="158"/>
      <c r="AK13" s="158"/>
      <c r="AL13" s="158"/>
      <c r="AM13" s="158"/>
      <c r="AN13" s="158"/>
      <c r="AO13" s="158"/>
      <c r="AP13" s="158"/>
      <c r="AQ13" s="158"/>
      <c r="AR13" s="158"/>
      <c r="AS13" s="158"/>
      <c r="AT13" s="158"/>
      <c r="AU13" s="158"/>
      <c r="AV13" s="158"/>
      <c r="AW13" s="158"/>
      <c r="AX13" s="158"/>
      <c r="AY13" s="158"/>
      <c r="AZ13" s="158"/>
      <c r="BA13" s="406"/>
      <c r="BB13" s="406"/>
      <c r="BC13" s="406"/>
      <c r="BD13" s="406"/>
    </row>
    <row r="14" spans="1:56" x14ac:dyDescent="0.3">
      <c r="A14" s="156" t="str">
        <f t="shared" si="2"/>
        <v>230-00</v>
      </c>
      <c r="B14" s="593">
        <v>230</v>
      </c>
      <c r="C14" s="594" t="s">
        <v>174</v>
      </c>
      <c r="D14" s="511" t="s">
        <v>164</v>
      </c>
      <c r="E14" s="595" t="str">
        <f>IF(G14,"✓","X")</f>
        <v>✓</v>
      </c>
      <c r="F14" s="595" t="str">
        <f>IF(H14,"✓","X")</f>
        <v>✓</v>
      </c>
      <c r="G14" s="596">
        <v>5.86</v>
      </c>
      <c r="H14" s="597">
        <v>5.86</v>
      </c>
      <c r="I14" s="598"/>
      <c r="J14" s="598"/>
      <c r="K14" s="598"/>
      <c r="L14" s="598"/>
      <c r="M14" s="694">
        <f t="shared" si="0"/>
        <v>5843.6196618557515</v>
      </c>
      <c r="N14" s="299"/>
      <c r="O14" s="599">
        <v>6.09</v>
      </c>
      <c r="P14" s="600">
        <v>1</v>
      </c>
      <c r="Q14" s="601">
        <v>5843.27</v>
      </c>
      <c r="R14" s="602">
        <f t="shared" si="1"/>
        <v>0.99994016348154324</v>
      </c>
      <c r="S14" s="158"/>
      <c r="T14" s="159">
        <v>222</v>
      </c>
      <c r="U14" s="159" t="s">
        <v>175</v>
      </c>
      <c r="V14" s="159" t="s">
        <v>176</v>
      </c>
      <c r="W14" s="159"/>
      <c r="X14" s="159"/>
      <c r="Y14" s="160">
        <v>2490</v>
      </c>
      <c r="Z14" s="158"/>
      <c r="AA14" s="158"/>
      <c r="AB14" s="158"/>
      <c r="AC14" s="158"/>
      <c r="AD14" s="158"/>
      <c r="AE14" s="158"/>
      <c r="AF14" s="158"/>
      <c r="AG14" s="158"/>
      <c r="AH14" s="158"/>
      <c r="AI14" s="158"/>
      <c r="AJ14" s="158"/>
      <c r="AK14" s="158"/>
      <c r="AL14" s="158"/>
      <c r="AM14" s="158"/>
      <c r="AN14" s="158"/>
      <c r="AO14" s="158"/>
      <c r="AP14" s="158"/>
      <c r="AQ14" s="158"/>
      <c r="AR14" s="158"/>
      <c r="AS14" s="158"/>
      <c r="AT14" s="158"/>
      <c r="AU14" s="158"/>
      <c r="AV14" s="158"/>
      <c r="AW14" s="158"/>
      <c r="AX14" s="158"/>
      <c r="AY14" s="158"/>
      <c r="AZ14" s="158"/>
      <c r="BA14" s="406"/>
      <c r="BB14" s="406"/>
      <c r="BC14" s="406"/>
      <c r="BD14" s="406"/>
    </row>
    <row r="15" spans="1:56" x14ac:dyDescent="0.3">
      <c r="A15" s="156" t="str">
        <f t="shared" si="2"/>
        <v>231-00</v>
      </c>
      <c r="B15" s="593">
        <v>231</v>
      </c>
      <c r="C15" s="594" t="s">
        <v>177</v>
      </c>
      <c r="D15" s="511" t="s">
        <v>164</v>
      </c>
      <c r="E15" s="595" t="str">
        <f t="shared" si="4"/>
        <v>X</v>
      </c>
      <c r="F15" s="595" t="str">
        <f t="shared" si="5"/>
        <v>✓</v>
      </c>
      <c r="G15" s="596"/>
      <c r="H15" s="598">
        <v>3.44</v>
      </c>
      <c r="I15" s="598"/>
      <c r="J15" s="598"/>
      <c r="K15" s="598"/>
      <c r="L15" s="598"/>
      <c r="M15" s="694"/>
      <c r="N15" s="299"/>
      <c r="O15" s="599"/>
      <c r="P15" s="600"/>
      <c r="Q15" s="601"/>
      <c r="R15" s="602"/>
      <c r="S15" s="158"/>
      <c r="T15" s="159">
        <v>222</v>
      </c>
      <c r="U15" s="159" t="s">
        <v>175</v>
      </c>
      <c r="V15" s="159" t="s">
        <v>176</v>
      </c>
      <c r="W15" s="159"/>
      <c r="X15" s="159"/>
      <c r="Y15" s="160">
        <v>2490</v>
      </c>
      <c r="Z15" s="158"/>
      <c r="AA15" s="158"/>
      <c r="AB15" s="158"/>
      <c r="AC15" s="158"/>
      <c r="AD15" s="158"/>
      <c r="AE15" s="158"/>
      <c r="AF15" s="158"/>
      <c r="AG15" s="158"/>
      <c r="AH15" s="158"/>
      <c r="AI15" s="158"/>
      <c r="AJ15" s="158"/>
      <c r="AK15" s="158"/>
      <c r="AL15" s="158"/>
      <c r="AM15" s="158"/>
      <c r="AN15" s="158"/>
      <c r="AO15" s="158"/>
      <c r="AP15" s="158"/>
      <c r="AQ15" s="158"/>
      <c r="AR15" s="158"/>
      <c r="AS15" s="158"/>
      <c r="AT15" s="158"/>
      <c r="AU15" s="158"/>
      <c r="AV15" s="158"/>
      <c r="AW15" s="158"/>
      <c r="AX15" s="158"/>
      <c r="AY15" s="158"/>
      <c r="AZ15" s="158"/>
      <c r="BA15" s="406"/>
      <c r="BB15" s="406"/>
      <c r="BC15" s="406"/>
      <c r="BD15" s="406"/>
    </row>
    <row r="16" spans="1:56" x14ac:dyDescent="0.3">
      <c r="A16" s="156" t="str">
        <f t="shared" si="2"/>
        <v>240-00</v>
      </c>
      <c r="B16" s="593">
        <v>240</v>
      </c>
      <c r="C16" s="594" t="s">
        <v>178</v>
      </c>
      <c r="D16" s="511" t="s">
        <v>164</v>
      </c>
      <c r="E16" s="595" t="str">
        <f t="shared" si="4"/>
        <v>✓</v>
      </c>
      <c r="F16" s="595" t="str">
        <f t="shared" si="5"/>
        <v>✓</v>
      </c>
      <c r="G16" s="596">
        <v>4.99</v>
      </c>
      <c r="H16" s="598">
        <v>5</v>
      </c>
      <c r="I16" s="598"/>
      <c r="J16" s="598"/>
      <c r="K16" s="598"/>
      <c r="L16" s="598"/>
      <c r="M16" s="694">
        <f t="shared" si="0"/>
        <v>4976.0515550614673</v>
      </c>
      <c r="N16" s="299"/>
      <c r="O16" s="599">
        <v>6.09</v>
      </c>
      <c r="P16" s="600">
        <v>1</v>
      </c>
      <c r="Q16" s="601">
        <v>4975.3599999999997</v>
      </c>
      <c r="R16" s="602">
        <f t="shared" si="1"/>
        <v>0.99986102333269355</v>
      </c>
      <c r="S16" s="158"/>
      <c r="T16" s="159">
        <v>230</v>
      </c>
      <c r="U16" s="159" t="s">
        <v>179</v>
      </c>
      <c r="V16" s="159" t="s">
        <v>180</v>
      </c>
      <c r="W16" s="159"/>
      <c r="X16" s="159"/>
      <c r="Y16" s="160">
        <v>3474</v>
      </c>
      <c r="Z16" s="158"/>
      <c r="AA16" s="158"/>
      <c r="AB16" s="158"/>
      <c r="AC16" s="158"/>
      <c r="AD16" s="158"/>
      <c r="AE16" s="158"/>
      <c r="AF16" s="158"/>
      <c r="AG16" s="158"/>
      <c r="AH16" s="158"/>
      <c r="AI16" s="158"/>
      <c r="AJ16" s="158"/>
      <c r="AK16" s="158"/>
      <c r="AL16" s="158"/>
      <c r="AM16" s="158"/>
      <c r="AN16" s="158"/>
      <c r="AO16" s="158"/>
      <c r="AP16" s="158"/>
      <c r="AQ16" s="158"/>
      <c r="AR16" s="158"/>
      <c r="AS16" s="158"/>
      <c r="AT16" s="158"/>
      <c r="AU16" s="158"/>
      <c r="AV16" s="158"/>
      <c r="AW16" s="158"/>
      <c r="AX16" s="158"/>
      <c r="AY16" s="158"/>
      <c r="AZ16" s="158"/>
      <c r="BA16" s="406"/>
      <c r="BB16" s="406"/>
      <c r="BC16" s="406"/>
      <c r="BD16" s="406"/>
    </row>
    <row r="17" spans="1:56" x14ac:dyDescent="0.3">
      <c r="A17" s="156" t="str">
        <f t="shared" si="2"/>
        <v>251-00</v>
      </c>
      <c r="B17" s="593">
        <v>251</v>
      </c>
      <c r="C17" s="594" t="s">
        <v>181</v>
      </c>
      <c r="D17" s="511" t="s">
        <v>164</v>
      </c>
      <c r="E17" s="595" t="str">
        <f t="shared" si="4"/>
        <v>✓</v>
      </c>
      <c r="F17" s="595" t="str">
        <f t="shared" si="5"/>
        <v>✓</v>
      </c>
      <c r="G17" s="596">
        <v>3.68</v>
      </c>
      <c r="H17" s="598">
        <v>4.2699999999999996</v>
      </c>
      <c r="I17" s="598"/>
      <c r="J17" s="598"/>
      <c r="K17" s="598"/>
      <c r="L17" s="598"/>
      <c r="M17" s="694">
        <f t="shared" si="0"/>
        <v>3669.7133712677764</v>
      </c>
      <c r="N17" s="299"/>
      <c r="O17" s="599">
        <v>6.09</v>
      </c>
      <c r="P17" s="600">
        <v>1</v>
      </c>
      <c r="Q17" s="601">
        <v>3670.12</v>
      </c>
      <c r="R17" s="602">
        <f t="shared" si="1"/>
        <v>1.000110806673733</v>
      </c>
      <c r="S17" s="158"/>
      <c r="T17" s="159">
        <v>240</v>
      </c>
      <c r="U17" s="159" t="s">
        <v>182</v>
      </c>
      <c r="V17" s="159" t="s">
        <v>183</v>
      </c>
      <c r="W17" s="159"/>
      <c r="X17" s="159"/>
      <c r="Y17" s="160">
        <v>2958</v>
      </c>
      <c r="Z17" s="158"/>
      <c r="AA17" s="158"/>
      <c r="AB17" s="158"/>
      <c r="AC17" s="158"/>
      <c r="AD17" s="158"/>
      <c r="AE17" s="158"/>
      <c r="AF17" s="158"/>
      <c r="AG17" s="158"/>
      <c r="AH17" s="158"/>
      <c r="AI17" s="158"/>
      <c r="AJ17" s="158"/>
      <c r="AK17" s="158"/>
      <c r="AL17" s="158"/>
      <c r="AM17" s="158"/>
      <c r="AN17" s="158"/>
      <c r="AO17" s="158"/>
      <c r="AP17" s="158"/>
      <c r="AQ17" s="158"/>
      <c r="AR17" s="158"/>
      <c r="AS17" s="158"/>
      <c r="AT17" s="158"/>
      <c r="AU17" s="158"/>
      <c r="AV17" s="158"/>
      <c r="AW17" s="158"/>
      <c r="AX17" s="158"/>
      <c r="AY17" s="158"/>
      <c r="AZ17" s="158"/>
      <c r="BA17" s="406"/>
      <c r="BB17" s="406"/>
      <c r="BC17" s="406"/>
      <c r="BD17" s="406"/>
    </row>
    <row r="18" spans="1:56" x14ac:dyDescent="0.3">
      <c r="A18" s="156" t="str">
        <f t="shared" si="2"/>
        <v>252-00</v>
      </c>
      <c r="B18" s="593">
        <v>252</v>
      </c>
      <c r="C18" s="594" t="s">
        <v>184</v>
      </c>
      <c r="D18" s="511" t="s">
        <v>164</v>
      </c>
      <c r="E18" s="595" t="str">
        <f t="shared" si="4"/>
        <v>✓</v>
      </c>
      <c r="F18" s="595" t="str">
        <f t="shared" si="5"/>
        <v>✓</v>
      </c>
      <c r="G18" s="596">
        <v>3.44</v>
      </c>
      <c r="H18" s="598">
        <v>3.7</v>
      </c>
      <c r="I18" s="598"/>
      <c r="J18" s="598"/>
      <c r="K18" s="598"/>
      <c r="L18" s="598"/>
      <c r="M18" s="694">
        <f t="shared" si="0"/>
        <v>3430.3842383590077</v>
      </c>
      <c r="N18" s="299"/>
      <c r="O18" s="599">
        <v>6.09</v>
      </c>
      <c r="P18" s="600">
        <v>1</v>
      </c>
      <c r="Q18" s="601">
        <v>3429.6</v>
      </c>
      <c r="R18" s="602">
        <f t="shared" si="1"/>
        <v>0.99977138468914406</v>
      </c>
      <c r="S18" s="158"/>
      <c r="T18" s="159">
        <v>251</v>
      </c>
      <c r="U18" s="159" t="s">
        <v>185</v>
      </c>
      <c r="V18" s="159" t="s">
        <v>186</v>
      </c>
      <c r="W18" s="159"/>
      <c r="X18" s="159"/>
      <c r="Y18" s="160">
        <v>2182</v>
      </c>
      <c r="Z18" s="158"/>
      <c r="AA18" s="158"/>
      <c r="AB18" s="158"/>
      <c r="AC18" s="158"/>
      <c r="AD18" s="158"/>
      <c r="AE18" s="158"/>
      <c r="AF18" s="158"/>
      <c r="AG18" s="158"/>
      <c r="AH18" s="158"/>
      <c r="AI18" s="158"/>
      <c r="AJ18" s="158"/>
      <c r="AK18" s="158"/>
      <c r="AL18" s="158"/>
      <c r="AM18" s="158"/>
      <c r="AN18" s="158"/>
      <c r="AO18" s="158"/>
      <c r="AP18" s="158"/>
      <c r="AQ18" s="158"/>
      <c r="AR18" s="158"/>
      <c r="AS18" s="158"/>
      <c r="AT18" s="158"/>
      <c r="AU18" s="158"/>
      <c r="AV18" s="158"/>
      <c r="AW18" s="158"/>
      <c r="AX18" s="158"/>
      <c r="AY18" s="158"/>
      <c r="AZ18" s="158"/>
      <c r="BA18" s="406"/>
      <c r="BB18" s="406"/>
      <c r="BC18" s="406"/>
      <c r="BD18" s="406"/>
    </row>
    <row r="19" spans="1:56" x14ac:dyDescent="0.3">
      <c r="A19" s="156" t="str">
        <f t="shared" si="2"/>
        <v>253-00</v>
      </c>
      <c r="B19" s="593">
        <v>253</v>
      </c>
      <c r="C19" s="594" t="s">
        <v>187</v>
      </c>
      <c r="D19" s="511" t="s">
        <v>164</v>
      </c>
      <c r="E19" s="595" t="str">
        <f t="shared" si="4"/>
        <v>✓</v>
      </c>
      <c r="F19" s="595" t="str">
        <f t="shared" si="5"/>
        <v>✓</v>
      </c>
      <c r="G19" s="596">
        <v>2.02</v>
      </c>
      <c r="H19" s="598">
        <v>2.02</v>
      </c>
      <c r="I19" s="598"/>
      <c r="J19" s="598"/>
      <c r="K19" s="598"/>
      <c r="L19" s="598"/>
      <c r="M19" s="694">
        <f t="shared" si="0"/>
        <v>2050.7375893195203</v>
      </c>
      <c r="N19" s="299"/>
      <c r="O19" s="599">
        <v>6.2</v>
      </c>
      <c r="P19" s="600">
        <v>1</v>
      </c>
      <c r="Q19" s="601">
        <v>2050.3000000000002</v>
      </c>
      <c r="R19" s="602">
        <f t="shared" si="1"/>
        <v>0.99978661856992368</v>
      </c>
      <c r="S19" s="158"/>
      <c r="T19" s="159">
        <v>252</v>
      </c>
      <c r="U19" s="159" t="s">
        <v>188</v>
      </c>
      <c r="V19" s="159" t="s">
        <v>189</v>
      </c>
      <c r="W19" s="159"/>
      <c r="X19" s="159"/>
      <c r="Y19" s="160">
        <v>2039</v>
      </c>
      <c r="Z19" s="158"/>
      <c r="AA19" s="158"/>
      <c r="AB19" s="158"/>
      <c r="AC19" s="158"/>
      <c r="AD19" s="158"/>
      <c r="AE19" s="158"/>
      <c r="AF19" s="158"/>
      <c r="AG19" s="158"/>
      <c r="AH19" s="158"/>
      <c r="AI19" s="158"/>
      <c r="AJ19" s="158"/>
      <c r="AK19" s="158"/>
      <c r="AL19" s="158"/>
      <c r="AM19" s="158"/>
      <c r="AN19" s="158"/>
      <c r="AO19" s="158"/>
      <c r="AP19" s="158"/>
      <c r="AQ19" s="158"/>
      <c r="AR19" s="158"/>
      <c r="AS19" s="158"/>
      <c r="AT19" s="158"/>
      <c r="AU19" s="158"/>
      <c r="AV19" s="158"/>
      <c r="AW19" s="158"/>
      <c r="AX19" s="158"/>
      <c r="AY19" s="158"/>
      <c r="AZ19" s="158"/>
      <c r="BA19" s="406"/>
      <c r="BB19" s="406"/>
      <c r="BC19" s="406"/>
      <c r="BD19" s="406"/>
    </row>
    <row r="20" spans="1:56" x14ac:dyDescent="0.3">
      <c r="A20" s="156" t="str">
        <f t="shared" si="2"/>
        <v>254-00</v>
      </c>
      <c r="B20" s="593">
        <v>254</v>
      </c>
      <c r="C20" s="594" t="s">
        <v>190</v>
      </c>
      <c r="D20" s="511" t="s">
        <v>191</v>
      </c>
      <c r="E20" s="595" t="str">
        <f t="shared" si="4"/>
        <v>✓</v>
      </c>
      <c r="F20" s="595" t="str">
        <f t="shared" si="5"/>
        <v>✓</v>
      </c>
      <c r="G20" s="596">
        <v>2.66</v>
      </c>
      <c r="H20" s="598">
        <v>2.6</v>
      </c>
      <c r="I20" s="598"/>
      <c r="J20" s="598"/>
      <c r="K20" s="598"/>
      <c r="L20" s="598"/>
      <c r="M20" s="694">
        <f t="shared" si="0"/>
        <v>2700.4762314801601</v>
      </c>
      <c r="N20" s="299"/>
      <c r="O20" s="599">
        <v>6.2</v>
      </c>
      <c r="P20" s="600">
        <v>1</v>
      </c>
      <c r="Q20" s="601">
        <v>2701.29</v>
      </c>
      <c r="R20" s="602">
        <f t="shared" si="1"/>
        <v>1.00030134259667</v>
      </c>
      <c r="S20" s="158"/>
      <c r="T20" s="159">
        <v>253</v>
      </c>
      <c r="U20" s="159" t="s">
        <v>187</v>
      </c>
      <c r="V20" s="159" t="s">
        <v>192</v>
      </c>
      <c r="W20" s="159"/>
      <c r="X20" s="159"/>
      <c r="Y20" s="160">
        <v>1219</v>
      </c>
      <c r="Z20" s="158"/>
      <c r="AA20" s="158"/>
      <c r="AB20" s="158"/>
      <c r="AC20" s="158"/>
      <c r="AD20" s="158"/>
      <c r="AE20" s="158"/>
      <c r="AF20" s="158"/>
      <c r="AG20" s="158"/>
      <c r="AH20" s="158"/>
      <c r="AI20" s="158"/>
      <c r="AJ20" s="158"/>
      <c r="AK20" s="158"/>
      <c r="AL20" s="158"/>
      <c r="AM20" s="158"/>
      <c r="AN20" s="158"/>
      <c r="AO20" s="158"/>
      <c r="AP20" s="158"/>
      <c r="AQ20" s="158"/>
      <c r="AR20" s="158"/>
      <c r="AS20" s="158"/>
      <c r="AT20" s="158"/>
      <c r="AU20" s="158"/>
      <c r="AV20" s="158"/>
      <c r="AW20" s="158"/>
      <c r="AX20" s="158"/>
      <c r="AY20" s="158"/>
      <c r="AZ20" s="158"/>
      <c r="BA20" s="406"/>
      <c r="BB20" s="406"/>
      <c r="BC20" s="406"/>
      <c r="BD20" s="406"/>
    </row>
    <row r="21" spans="1:56" x14ac:dyDescent="0.3">
      <c r="A21" s="156" t="str">
        <f t="shared" si="2"/>
        <v>255-00</v>
      </c>
      <c r="B21" s="593">
        <v>255</v>
      </c>
      <c r="C21" s="594" t="s">
        <v>193</v>
      </c>
      <c r="D21" s="511" t="s">
        <v>164</v>
      </c>
      <c r="E21" s="595" t="str">
        <f t="shared" si="4"/>
        <v>✓</v>
      </c>
      <c r="F21" s="595" t="str">
        <f t="shared" si="5"/>
        <v>✓</v>
      </c>
      <c r="G21" s="596">
        <v>2.2799999999999998</v>
      </c>
      <c r="H21" s="598">
        <v>2.4</v>
      </c>
      <c r="I21" s="598"/>
      <c r="J21" s="598"/>
      <c r="K21" s="598"/>
      <c r="L21" s="598"/>
      <c r="M21" s="695">
        <f t="shared" si="0"/>
        <v>2273.6267626332951</v>
      </c>
      <c r="N21" s="299"/>
      <c r="O21" s="599">
        <v>6.09</v>
      </c>
      <c r="P21" s="600">
        <v>1</v>
      </c>
      <c r="Q21" s="601">
        <v>2437.2199999999998</v>
      </c>
      <c r="R21" s="602">
        <f>Q21/M21</f>
        <v>1.0719525473817137</v>
      </c>
      <c r="S21" s="158"/>
      <c r="T21" s="159">
        <v>254</v>
      </c>
      <c r="U21" s="159" t="s">
        <v>190</v>
      </c>
      <c r="V21" s="159" t="s">
        <v>194</v>
      </c>
      <c r="W21" s="159"/>
      <c r="X21" s="159"/>
      <c r="Y21" s="160">
        <v>1606</v>
      </c>
      <c r="Z21" s="158"/>
      <c r="AA21" s="158"/>
      <c r="AB21" s="158"/>
      <c r="AC21" s="158"/>
      <c r="AD21" s="158"/>
      <c r="AE21" s="158"/>
      <c r="AF21" s="158"/>
      <c r="AG21" s="158"/>
      <c r="AH21" s="158"/>
      <c r="AI21" s="158"/>
      <c r="AJ21" s="158"/>
      <c r="AK21" s="158"/>
      <c r="AL21" s="158"/>
      <c r="AM21" s="158"/>
      <c r="AN21" s="158"/>
      <c r="AO21" s="158"/>
      <c r="AP21" s="158"/>
      <c r="AQ21" s="158"/>
      <c r="AR21" s="158"/>
      <c r="AS21" s="158"/>
      <c r="AT21" s="158"/>
      <c r="AU21" s="158"/>
      <c r="AV21" s="158"/>
      <c r="AW21" s="158"/>
      <c r="AX21" s="158"/>
      <c r="AY21" s="158"/>
      <c r="AZ21" s="158"/>
      <c r="BA21" s="406"/>
      <c r="BB21" s="406"/>
      <c r="BC21" s="406"/>
      <c r="BD21" s="406"/>
    </row>
    <row r="22" spans="1:56" x14ac:dyDescent="0.3">
      <c r="A22" s="156" t="str">
        <f t="shared" si="2"/>
        <v>265-00</v>
      </c>
      <c r="B22" s="593">
        <v>265</v>
      </c>
      <c r="C22" s="594" t="s">
        <v>195</v>
      </c>
      <c r="D22" s="511" t="s">
        <v>164</v>
      </c>
      <c r="E22" s="595" t="str">
        <f t="shared" si="4"/>
        <v>X</v>
      </c>
      <c r="F22" s="595" t="str">
        <f t="shared" si="5"/>
        <v>✓</v>
      </c>
      <c r="G22" s="596"/>
      <c r="H22" s="598">
        <v>8.6300000000000008</v>
      </c>
      <c r="I22" s="598"/>
      <c r="J22" s="598"/>
      <c r="K22" s="598"/>
      <c r="L22" s="598"/>
      <c r="M22" s="694"/>
      <c r="N22" s="299"/>
      <c r="O22" s="599"/>
      <c r="P22" s="603"/>
      <c r="Q22" s="601"/>
      <c r="R22" s="602"/>
      <c r="S22" s="158"/>
      <c r="T22" s="159">
        <v>255</v>
      </c>
      <c r="U22" s="159" t="s">
        <v>193</v>
      </c>
      <c r="V22" s="159" t="s">
        <v>196</v>
      </c>
      <c r="W22" s="159"/>
      <c r="X22" s="159"/>
      <c r="Y22" s="160">
        <v>1449</v>
      </c>
      <c r="Z22" s="158"/>
      <c r="AA22" s="158"/>
      <c r="AB22" s="158"/>
      <c r="AC22" s="158"/>
      <c r="AD22" s="158"/>
      <c r="AE22" s="158"/>
      <c r="AF22" s="158"/>
      <c r="AG22" s="158"/>
      <c r="AH22" s="158"/>
      <c r="AI22" s="158"/>
      <c r="AJ22" s="158"/>
      <c r="AK22" s="158"/>
      <c r="AL22" s="158"/>
      <c r="AM22" s="158"/>
      <c r="AN22" s="158"/>
      <c r="AO22" s="158"/>
      <c r="AP22" s="158"/>
      <c r="AQ22" s="158"/>
      <c r="AR22" s="158"/>
      <c r="AS22" s="158"/>
      <c r="AT22" s="158"/>
      <c r="AU22" s="158"/>
      <c r="AV22" s="158"/>
      <c r="AW22" s="158"/>
      <c r="AX22" s="158"/>
      <c r="AY22" s="158"/>
      <c r="AZ22" s="158"/>
      <c r="BA22" s="406"/>
      <c r="BB22" s="406"/>
      <c r="BC22" s="406"/>
      <c r="BD22" s="406"/>
    </row>
    <row r="23" spans="1:56" x14ac:dyDescent="0.3">
      <c r="A23" s="156" t="str">
        <f t="shared" si="2"/>
        <v>270-00</v>
      </c>
      <c r="B23" s="593">
        <v>270</v>
      </c>
      <c r="C23" s="594" t="s">
        <v>197</v>
      </c>
      <c r="D23" s="511" t="s">
        <v>164</v>
      </c>
      <c r="E23" s="595" t="str">
        <f t="shared" si="4"/>
        <v>X</v>
      </c>
      <c r="F23" s="595" t="str">
        <f t="shared" si="5"/>
        <v>✓</v>
      </c>
      <c r="G23" s="596"/>
      <c r="H23" s="598">
        <v>7.83</v>
      </c>
      <c r="I23" s="598"/>
      <c r="J23" s="598"/>
      <c r="K23" s="598"/>
      <c r="L23" s="598"/>
      <c r="M23" s="694"/>
      <c r="N23" s="299"/>
      <c r="O23" s="599"/>
      <c r="P23" s="603"/>
      <c r="Q23" s="601"/>
      <c r="R23" s="602"/>
      <c r="S23" s="158"/>
      <c r="T23" s="159"/>
      <c r="U23" s="159" t="s">
        <v>198</v>
      </c>
      <c r="V23" s="159"/>
      <c r="W23" s="159"/>
      <c r="X23" s="159"/>
      <c r="Y23" s="159"/>
      <c r="Z23" s="158"/>
      <c r="AA23" s="158"/>
      <c r="AB23" s="158"/>
      <c r="AC23" s="158"/>
      <c r="AD23" s="158"/>
      <c r="AE23" s="158"/>
      <c r="AF23" s="158"/>
      <c r="AG23" s="158"/>
      <c r="AH23" s="158"/>
      <c r="AI23" s="158"/>
      <c r="AJ23" s="158"/>
      <c r="AK23" s="158"/>
      <c r="AL23" s="158"/>
      <c r="AM23" s="158"/>
      <c r="AN23" s="158"/>
      <c r="AO23" s="158"/>
      <c r="AP23" s="158"/>
      <c r="AQ23" s="158"/>
      <c r="AR23" s="158"/>
      <c r="AS23" s="158"/>
      <c r="AT23" s="158"/>
      <c r="AU23" s="158"/>
      <c r="AV23" s="158"/>
      <c r="AW23" s="158"/>
      <c r="AX23" s="158"/>
      <c r="AY23" s="158"/>
      <c r="AZ23" s="158"/>
      <c r="BA23" s="406"/>
      <c r="BB23" s="406"/>
      <c r="BC23" s="406"/>
      <c r="BD23" s="406"/>
    </row>
    <row r="24" spans="1:56" x14ac:dyDescent="0.3">
      <c r="A24" s="156" t="str">
        <f t="shared" si="2"/>
        <v>310-00</v>
      </c>
      <c r="B24" s="593">
        <v>310</v>
      </c>
      <c r="C24" s="594" t="s">
        <v>199</v>
      </c>
      <c r="D24" s="511" t="s">
        <v>200</v>
      </c>
      <c r="E24" s="595" t="str">
        <f t="shared" ref="E24:F27" si="6">IF(G24,"✓","X")</f>
        <v>✓</v>
      </c>
      <c r="F24" s="595" t="str">
        <f t="shared" si="6"/>
        <v>✓</v>
      </c>
      <c r="G24" s="596">
        <v>8.92</v>
      </c>
      <c r="H24" s="598">
        <v>8.36</v>
      </c>
      <c r="I24" s="598"/>
      <c r="J24" s="598">
        <v>5.49</v>
      </c>
      <c r="K24" s="598"/>
      <c r="L24" s="598"/>
      <c r="M24" s="694">
        <f t="shared" si="0"/>
        <v>8895.066106442544</v>
      </c>
      <c r="N24" s="299"/>
      <c r="O24" s="599">
        <v>6.09</v>
      </c>
      <c r="P24" s="600">
        <v>1</v>
      </c>
      <c r="Q24" s="601">
        <v>8894.4159999999993</v>
      </c>
      <c r="R24" s="602">
        <f t="shared" si="1"/>
        <v>0.99992691381550569</v>
      </c>
      <c r="S24" s="158"/>
      <c r="T24" s="159">
        <v>311</v>
      </c>
      <c r="U24" s="159" t="s">
        <v>201</v>
      </c>
      <c r="V24" s="159" t="s">
        <v>202</v>
      </c>
      <c r="W24" s="159">
        <v>6.09</v>
      </c>
      <c r="X24" s="161">
        <v>1</v>
      </c>
      <c r="Y24" s="160">
        <v>3699</v>
      </c>
      <c r="Z24" s="158"/>
      <c r="AA24" s="158"/>
      <c r="AB24" s="158"/>
      <c r="AC24" s="158"/>
      <c r="AD24" s="158"/>
      <c r="AE24" s="158"/>
      <c r="AF24" s="158"/>
      <c r="AG24" s="158"/>
      <c r="AH24" s="158"/>
      <c r="AI24" s="158"/>
      <c r="AJ24" s="158"/>
      <c r="AK24" s="158"/>
      <c r="AL24" s="158"/>
      <c r="AM24" s="158"/>
      <c r="AN24" s="158"/>
      <c r="AO24" s="158"/>
      <c r="AP24" s="158"/>
      <c r="AQ24" s="158"/>
      <c r="AR24" s="158"/>
      <c r="AS24" s="158"/>
      <c r="AT24" s="158"/>
      <c r="AU24" s="158"/>
      <c r="AV24" s="158"/>
      <c r="AW24" s="158"/>
      <c r="AX24" s="158"/>
      <c r="AY24" s="158"/>
      <c r="AZ24" s="158"/>
      <c r="BA24" s="406"/>
      <c r="BB24" s="406"/>
      <c r="BC24" s="406"/>
      <c r="BD24" s="406"/>
    </row>
    <row r="25" spans="1:56" x14ac:dyDescent="0.3">
      <c r="A25" s="156" t="str">
        <f t="shared" si="2"/>
        <v>311-00</v>
      </c>
      <c r="B25" s="593">
        <v>311</v>
      </c>
      <c r="C25" s="594" t="s">
        <v>201</v>
      </c>
      <c r="D25" s="511" t="s">
        <v>200</v>
      </c>
      <c r="E25" s="595" t="str">
        <f t="shared" si="6"/>
        <v>✓</v>
      </c>
      <c r="F25" s="595" t="str">
        <f t="shared" si="6"/>
        <v>✓</v>
      </c>
      <c r="G25" s="596">
        <v>6.24</v>
      </c>
      <c r="H25" s="598">
        <v>4.46</v>
      </c>
      <c r="I25" s="598">
        <v>2.2400000000000002</v>
      </c>
      <c r="J25" s="598"/>
      <c r="K25" s="598"/>
      <c r="L25" s="598"/>
      <c r="M25" s="694">
        <f t="shared" si="0"/>
        <v>6222.557455627968</v>
      </c>
      <c r="N25" s="299"/>
      <c r="O25" s="599">
        <v>6.09</v>
      </c>
      <c r="P25" s="600">
        <v>1</v>
      </c>
      <c r="Q25" s="601">
        <v>6221.7179999999998</v>
      </c>
      <c r="R25" s="602">
        <f t="shared" si="1"/>
        <v>0.99986509475662477</v>
      </c>
      <c r="S25" s="158"/>
      <c r="T25" s="159">
        <v>320</v>
      </c>
      <c r="U25" s="159" t="s">
        <v>203</v>
      </c>
      <c r="V25" s="159" t="s">
        <v>204</v>
      </c>
      <c r="W25" s="159">
        <v>6.09</v>
      </c>
      <c r="X25" s="161">
        <v>1</v>
      </c>
      <c r="Y25" s="160">
        <v>5401</v>
      </c>
      <c r="Z25" s="158"/>
      <c r="AA25" s="158"/>
      <c r="AB25" s="158"/>
      <c r="AC25" s="158"/>
      <c r="AD25" s="158"/>
      <c r="AE25" s="158"/>
      <c r="AF25" s="158"/>
      <c r="AG25" s="158"/>
      <c r="AH25" s="158"/>
      <c r="AI25" s="158"/>
      <c r="AJ25" s="158"/>
      <c r="AK25" s="158"/>
      <c r="AL25" s="158"/>
      <c r="AM25" s="158"/>
      <c r="AN25" s="158"/>
      <c r="AO25" s="158"/>
      <c r="AP25" s="158"/>
      <c r="AQ25" s="158"/>
      <c r="AR25" s="158"/>
      <c r="AS25" s="158"/>
      <c r="AT25" s="158"/>
      <c r="AU25" s="158"/>
      <c r="AV25" s="158"/>
      <c r="AW25" s="158"/>
      <c r="AX25" s="158"/>
      <c r="AY25" s="158"/>
      <c r="AZ25" s="158"/>
      <c r="BA25" s="406"/>
      <c r="BB25" s="406"/>
      <c r="BC25" s="406"/>
      <c r="BD25" s="406"/>
    </row>
    <row r="26" spans="1:56" x14ac:dyDescent="0.3">
      <c r="A26" s="156" t="str">
        <f t="shared" si="2"/>
        <v>320-00</v>
      </c>
      <c r="B26" s="593">
        <v>320</v>
      </c>
      <c r="C26" s="594" t="s">
        <v>203</v>
      </c>
      <c r="D26" s="511" t="s">
        <v>200</v>
      </c>
      <c r="E26" s="595" t="str">
        <f t="shared" si="6"/>
        <v>✓</v>
      </c>
      <c r="F26" s="595" t="str">
        <f t="shared" si="6"/>
        <v>✓</v>
      </c>
      <c r="G26" s="596">
        <v>9.11</v>
      </c>
      <c r="H26" s="598">
        <v>3.35</v>
      </c>
      <c r="I26" s="598"/>
      <c r="J26" s="598"/>
      <c r="K26" s="598"/>
      <c r="L26" s="598"/>
      <c r="M26" s="694">
        <f t="shared" si="0"/>
        <v>9084.5350033286504</v>
      </c>
      <c r="N26" s="299"/>
      <c r="O26" s="599">
        <v>6.09</v>
      </c>
      <c r="P26" s="600">
        <v>1</v>
      </c>
      <c r="Q26" s="601">
        <v>9084.482</v>
      </c>
      <c r="R26" s="602">
        <f t="shared" si="1"/>
        <v>0.99999416554302112</v>
      </c>
      <c r="S26" s="158"/>
      <c r="T26" s="159"/>
      <c r="U26" s="159" t="s">
        <v>205</v>
      </c>
      <c r="V26" s="159"/>
      <c r="W26" s="159"/>
      <c r="X26" s="159"/>
      <c r="Y26" s="159"/>
      <c r="Z26" s="158"/>
      <c r="AA26" s="158"/>
      <c r="AB26" s="158"/>
      <c r="AC26" s="158"/>
      <c r="AD26" s="158"/>
      <c r="AE26" s="158"/>
      <c r="AF26" s="158"/>
      <c r="AG26" s="158"/>
      <c r="AH26" s="158"/>
      <c r="AI26" s="158"/>
      <c r="AJ26" s="158"/>
      <c r="AK26" s="158"/>
      <c r="AL26" s="158"/>
      <c r="AM26" s="158"/>
      <c r="AN26" s="158"/>
      <c r="AO26" s="158"/>
      <c r="AP26" s="158"/>
      <c r="AQ26" s="158"/>
      <c r="AR26" s="158"/>
      <c r="AS26" s="158"/>
      <c r="AT26" s="158"/>
      <c r="AU26" s="158"/>
      <c r="AV26" s="158"/>
      <c r="AW26" s="158"/>
      <c r="AX26" s="158"/>
      <c r="AY26" s="158"/>
      <c r="AZ26" s="158"/>
      <c r="BA26" s="406"/>
      <c r="BB26" s="406"/>
      <c r="BC26" s="406"/>
      <c r="BD26" s="406"/>
    </row>
    <row r="27" spans="1:56" x14ac:dyDescent="0.3">
      <c r="A27" s="156" t="str">
        <f t="shared" si="2"/>
        <v>312-00</v>
      </c>
      <c r="B27" s="593">
        <v>312</v>
      </c>
      <c r="C27" s="594" t="s">
        <v>206</v>
      </c>
      <c r="D27" s="511" t="s">
        <v>200</v>
      </c>
      <c r="E27" s="595" t="str">
        <f t="shared" si="6"/>
        <v>X</v>
      </c>
      <c r="F27" s="595" t="str">
        <f t="shared" si="6"/>
        <v>✓</v>
      </c>
      <c r="G27" s="596"/>
      <c r="H27" s="598">
        <v>4.0199999999999996</v>
      </c>
      <c r="I27" s="598"/>
      <c r="J27" s="598">
        <v>2.72</v>
      </c>
      <c r="K27" s="598"/>
      <c r="L27" s="598"/>
      <c r="M27" s="694"/>
      <c r="N27" s="299"/>
      <c r="O27" s="599"/>
      <c r="P27" s="603"/>
      <c r="Q27" s="601"/>
      <c r="R27" s="602"/>
      <c r="S27" s="158"/>
      <c r="T27" s="159">
        <v>420</v>
      </c>
      <c r="U27" s="159" t="s">
        <v>207</v>
      </c>
      <c r="V27" s="159" t="s">
        <v>208</v>
      </c>
      <c r="W27" s="159"/>
      <c r="X27" s="159"/>
      <c r="Y27" s="160">
        <v>1815</v>
      </c>
      <c r="Z27" s="158"/>
      <c r="AA27" s="158"/>
      <c r="AB27" s="158"/>
      <c r="AC27" s="158"/>
      <c r="AD27" s="158"/>
      <c r="AE27" s="158"/>
      <c r="AF27" s="158"/>
      <c r="AG27" s="158"/>
      <c r="AH27" s="158"/>
      <c r="AI27" s="158"/>
      <c r="AJ27" s="158"/>
      <c r="AK27" s="158"/>
      <c r="AL27" s="158"/>
      <c r="AM27" s="158"/>
      <c r="AN27" s="158"/>
      <c r="AO27" s="158"/>
      <c r="AP27" s="158"/>
      <c r="AQ27" s="158"/>
      <c r="AR27" s="158"/>
      <c r="AS27" s="158"/>
      <c r="AT27" s="158"/>
      <c r="AU27" s="158"/>
      <c r="AV27" s="158"/>
      <c r="AW27" s="158"/>
      <c r="AX27" s="158"/>
      <c r="AY27" s="158"/>
      <c r="AZ27" s="158"/>
      <c r="BA27" s="406"/>
      <c r="BB27" s="406"/>
      <c r="BC27" s="406"/>
      <c r="BD27" s="406"/>
    </row>
    <row r="28" spans="1:56" x14ac:dyDescent="0.3">
      <c r="A28" s="156" t="str">
        <f t="shared" si="2"/>
        <v>420-00</v>
      </c>
      <c r="B28" s="593">
        <v>420</v>
      </c>
      <c r="C28" s="594" t="s">
        <v>207</v>
      </c>
      <c r="D28" s="511" t="s">
        <v>210</v>
      </c>
      <c r="E28" s="595" t="str">
        <f t="shared" ref="E28:F36" si="7">IF(G28,"✓","X")</f>
        <v>✓</v>
      </c>
      <c r="F28" s="595" t="str">
        <f t="shared" si="7"/>
        <v>✓</v>
      </c>
      <c r="G28" s="596">
        <v>2.96</v>
      </c>
      <c r="H28" s="598">
        <v>2.41</v>
      </c>
      <c r="I28" s="598"/>
      <c r="J28" s="598"/>
      <c r="K28" s="598"/>
      <c r="L28" s="598"/>
      <c r="M28" s="694">
        <f t="shared" si="0"/>
        <v>3053.5096267670401</v>
      </c>
      <c r="N28" s="299"/>
      <c r="O28" s="599">
        <v>6.3</v>
      </c>
      <c r="P28" s="600">
        <v>1</v>
      </c>
      <c r="Q28" s="601">
        <v>3052.83</v>
      </c>
      <c r="R28" s="602">
        <f t="shared" si="1"/>
        <v>0.99977742766517497</v>
      </c>
      <c r="S28" s="158"/>
      <c r="T28" s="159">
        <v>480</v>
      </c>
      <c r="U28" s="159" t="s">
        <v>211</v>
      </c>
      <c r="V28" s="159" t="s">
        <v>212</v>
      </c>
      <c r="W28" s="159"/>
      <c r="X28" s="159"/>
      <c r="Y28" s="160">
        <v>46465</v>
      </c>
      <c r="Z28" s="158"/>
      <c r="AA28" s="158"/>
      <c r="AB28" s="158"/>
      <c r="AC28" s="158"/>
      <c r="AD28" s="158"/>
      <c r="AE28" s="158"/>
      <c r="AF28" s="158"/>
      <c r="AG28" s="158"/>
      <c r="AH28" s="158"/>
      <c r="AI28" s="158"/>
      <c r="AJ28" s="158"/>
      <c r="AK28" s="158"/>
      <c r="AL28" s="158"/>
      <c r="AM28" s="158"/>
      <c r="AN28" s="158"/>
      <c r="AO28" s="158"/>
      <c r="AP28" s="158"/>
      <c r="AQ28" s="158"/>
      <c r="AR28" s="158"/>
      <c r="AS28" s="158"/>
      <c r="AT28" s="158"/>
      <c r="AU28" s="158"/>
      <c r="AV28" s="158"/>
      <c r="AW28" s="158"/>
      <c r="AX28" s="158"/>
      <c r="AY28" s="158"/>
      <c r="AZ28" s="158"/>
      <c r="BA28" s="406"/>
      <c r="BB28" s="406"/>
      <c r="BC28" s="406"/>
      <c r="BD28" s="406"/>
    </row>
    <row r="29" spans="1:56" x14ac:dyDescent="0.3">
      <c r="A29" s="156" t="str">
        <f t="shared" si="2"/>
        <v>430-00</v>
      </c>
      <c r="B29" s="593">
        <v>430</v>
      </c>
      <c r="C29" s="594" t="s">
        <v>209</v>
      </c>
      <c r="D29" s="511" t="s">
        <v>213</v>
      </c>
      <c r="E29" s="595" t="str">
        <f t="shared" si="7"/>
        <v>✓</v>
      </c>
      <c r="F29" s="595" t="str">
        <f t="shared" si="7"/>
        <v>✓</v>
      </c>
      <c r="G29" s="596">
        <v>35.74</v>
      </c>
      <c r="H29" s="598">
        <v>30.38</v>
      </c>
      <c r="I29" s="598"/>
      <c r="J29" s="598"/>
      <c r="K29" s="598"/>
      <c r="L29" s="598"/>
      <c r="M29" s="694">
        <f t="shared" si="0"/>
        <v>36869.065561031763</v>
      </c>
      <c r="N29" s="299"/>
      <c r="O29" s="599">
        <v>6.3</v>
      </c>
      <c r="P29" s="600">
        <v>1</v>
      </c>
      <c r="Q29" s="601">
        <v>36869.440000000002</v>
      </c>
      <c r="R29" s="602">
        <f t="shared" si="1"/>
        <v>1.0000101559115357</v>
      </c>
      <c r="S29" s="158"/>
      <c r="T29" s="159">
        <v>490</v>
      </c>
      <c r="U29" s="159" t="s">
        <v>214</v>
      </c>
      <c r="V29" s="159" t="s">
        <v>215</v>
      </c>
      <c r="W29" s="159"/>
      <c r="X29" s="159"/>
      <c r="Y29" s="160">
        <v>19037</v>
      </c>
      <c r="Z29" s="158"/>
      <c r="AA29" s="158"/>
      <c r="AB29" s="158"/>
      <c r="AC29" s="158"/>
      <c r="AD29" s="158"/>
      <c r="AE29" s="158"/>
      <c r="AF29" s="158"/>
      <c r="AG29" s="158"/>
      <c r="AH29" s="158"/>
      <c r="AI29" s="158"/>
      <c r="AJ29" s="158"/>
      <c r="AK29" s="158"/>
      <c r="AL29" s="158"/>
      <c r="AM29" s="158"/>
      <c r="AN29" s="158"/>
      <c r="AO29" s="158"/>
      <c r="AP29" s="158"/>
      <c r="AQ29" s="158"/>
      <c r="AR29" s="158"/>
      <c r="AS29" s="158"/>
      <c r="AT29" s="158"/>
      <c r="AU29" s="158"/>
      <c r="AV29" s="158"/>
      <c r="AW29" s="158"/>
      <c r="AX29" s="158"/>
      <c r="AY29" s="158"/>
      <c r="AZ29" s="158"/>
      <c r="BA29" s="406"/>
      <c r="BB29" s="406"/>
      <c r="BC29" s="406"/>
      <c r="BD29" s="406"/>
    </row>
    <row r="30" spans="1:56" x14ac:dyDescent="0.3">
      <c r="A30" s="156" t="str">
        <f t="shared" si="2"/>
        <v>444-00</v>
      </c>
      <c r="B30" s="593">
        <v>444</v>
      </c>
      <c r="C30" s="594" t="s">
        <v>216</v>
      </c>
      <c r="D30" s="511" t="s">
        <v>110</v>
      </c>
      <c r="E30" s="595" t="str">
        <f t="shared" si="7"/>
        <v>X</v>
      </c>
      <c r="F30" s="595" t="str">
        <f t="shared" si="7"/>
        <v>✓</v>
      </c>
      <c r="G30" s="596"/>
      <c r="H30" s="598">
        <v>78.09</v>
      </c>
      <c r="I30" s="598"/>
      <c r="J30" s="598"/>
      <c r="K30" s="598"/>
      <c r="L30" s="598"/>
      <c r="M30" s="694"/>
      <c r="N30" s="299"/>
      <c r="O30" s="599"/>
      <c r="P30" s="603"/>
      <c r="Q30" s="601"/>
      <c r="R30" s="602"/>
      <c r="S30" s="158"/>
      <c r="T30" s="159">
        <v>491</v>
      </c>
      <c r="U30" s="159" t="s">
        <v>217</v>
      </c>
      <c r="V30" s="159" t="s">
        <v>218</v>
      </c>
      <c r="W30" s="159"/>
      <c r="X30" s="159"/>
      <c r="Y30" s="160">
        <v>23735</v>
      </c>
      <c r="Z30" s="158"/>
      <c r="AA30" s="158"/>
      <c r="AB30" s="158"/>
      <c r="AC30" s="158"/>
      <c r="AD30" s="158"/>
      <c r="AE30" s="158"/>
      <c r="AF30" s="158"/>
      <c r="AG30" s="158"/>
      <c r="AH30" s="158"/>
      <c r="AI30" s="158"/>
      <c r="AJ30" s="158"/>
      <c r="AK30" s="158"/>
      <c r="AL30" s="158"/>
      <c r="AM30" s="158"/>
      <c r="AN30" s="158"/>
      <c r="AO30" s="158"/>
      <c r="AP30" s="158"/>
      <c r="AQ30" s="158"/>
      <c r="AR30" s="158"/>
      <c r="AS30" s="158"/>
      <c r="AT30" s="158"/>
      <c r="AU30" s="158"/>
      <c r="AV30" s="158"/>
      <c r="AW30" s="158"/>
      <c r="AX30" s="158"/>
      <c r="AY30" s="158"/>
      <c r="AZ30" s="158"/>
      <c r="BA30" s="406"/>
      <c r="BB30" s="406"/>
      <c r="BC30" s="406"/>
      <c r="BD30" s="406"/>
    </row>
    <row r="31" spans="1:56" x14ac:dyDescent="0.3">
      <c r="A31" s="156" t="str">
        <f t="shared" si="2"/>
        <v>444-00</v>
      </c>
      <c r="B31" s="593">
        <v>444</v>
      </c>
      <c r="C31" s="594" t="s">
        <v>216</v>
      </c>
      <c r="D31" s="511" t="s">
        <v>219</v>
      </c>
      <c r="E31" s="595" t="str">
        <f t="shared" si="7"/>
        <v>X</v>
      </c>
      <c r="F31" s="595" t="str">
        <f t="shared" si="7"/>
        <v>✓</v>
      </c>
      <c r="G31" s="596"/>
      <c r="H31" s="598">
        <v>220</v>
      </c>
      <c r="I31" s="598"/>
      <c r="J31" s="598"/>
      <c r="K31" s="598"/>
      <c r="L31" s="598"/>
      <c r="M31" s="694"/>
      <c r="N31" s="299"/>
      <c r="O31" s="599"/>
      <c r="P31" s="603"/>
      <c r="Q31" s="601"/>
      <c r="R31" s="602"/>
      <c r="S31" s="158"/>
      <c r="T31" s="159">
        <v>492</v>
      </c>
      <c r="U31" s="159" t="s">
        <v>220</v>
      </c>
      <c r="V31" s="159" t="s">
        <v>221</v>
      </c>
      <c r="W31" s="159">
        <v>6.3</v>
      </c>
      <c r="X31" s="161">
        <v>1</v>
      </c>
      <c r="Y31" s="160">
        <v>2466</v>
      </c>
      <c r="Z31" s="158"/>
      <c r="AA31" s="158"/>
      <c r="AB31" s="158"/>
      <c r="AC31" s="158"/>
      <c r="AD31" s="158"/>
      <c r="AE31" s="158"/>
      <c r="AF31" s="158"/>
      <c r="AG31" s="158"/>
      <c r="AH31" s="158"/>
      <c r="AI31" s="158"/>
      <c r="AJ31" s="158"/>
      <c r="AK31" s="158"/>
      <c r="AL31" s="158"/>
      <c r="AM31" s="158"/>
      <c r="AN31" s="158"/>
      <c r="AO31" s="158"/>
      <c r="AP31" s="158"/>
      <c r="AQ31" s="158"/>
      <c r="AR31" s="158"/>
      <c r="AS31" s="158"/>
      <c r="AT31" s="158"/>
      <c r="AU31" s="158"/>
      <c r="AV31" s="158"/>
      <c r="AW31" s="158"/>
      <c r="AX31" s="158"/>
      <c r="AY31" s="158"/>
      <c r="AZ31" s="158"/>
      <c r="BA31" s="406"/>
      <c r="BB31" s="406"/>
      <c r="BC31" s="406"/>
      <c r="BD31" s="406"/>
    </row>
    <row r="32" spans="1:56" x14ac:dyDescent="0.3">
      <c r="A32" s="156" t="str">
        <f t="shared" si="2"/>
        <v>480-00</v>
      </c>
      <c r="B32" s="593">
        <v>480</v>
      </c>
      <c r="C32" s="594" t="s">
        <v>211</v>
      </c>
      <c r="D32" s="511" t="s">
        <v>222</v>
      </c>
      <c r="E32" s="595" t="str">
        <f t="shared" si="7"/>
        <v>✓</v>
      </c>
      <c r="F32" s="595" t="str">
        <f t="shared" si="7"/>
        <v>✓</v>
      </c>
      <c r="G32" s="596">
        <v>75.760000000000005</v>
      </c>
      <c r="H32" s="598">
        <v>53.41</v>
      </c>
      <c r="I32" s="598"/>
      <c r="J32" s="598"/>
      <c r="K32" s="598"/>
      <c r="L32" s="598"/>
      <c r="M32" s="694">
        <f t="shared" si="0"/>
        <v>78153.340987794232</v>
      </c>
      <c r="N32" s="299"/>
      <c r="O32" s="599">
        <v>6.3</v>
      </c>
      <c r="P32" s="600">
        <v>1</v>
      </c>
      <c r="Q32" s="601">
        <v>78154.13</v>
      </c>
      <c r="R32" s="602">
        <f t="shared" si="1"/>
        <v>1.0000100956938731</v>
      </c>
      <c r="S32" s="158"/>
      <c r="T32" s="159"/>
      <c r="U32" s="159" t="s">
        <v>223</v>
      </c>
      <c r="V32" s="159"/>
      <c r="W32" s="159"/>
      <c r="X32" s="159"/>
      <c r="Y32" s="159"/>
      <c r="Z32" s="158"/>
      <c r="AA32" s="158"/>
      <c r="AB32" s="158"/>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406"/>
      <c r="BB32" s="406"/>
      <c r="BC32" s="406"/>
      <c r="BD32" s="406"/>
    </row>
    <row r="33" spans="1:56" x14ac:dyDescent="0.3">
      <c r="A33" s="156" t="str">
        <f t="shared" si="2"/>
        <v>490-00</v>
      </c>
      <c r="B33" s="593">
        <v>490</v>
      </c>
      <c r="C33" s="594" t="s">
        <v>224</v>
      </c>
      <c r="D33" s="511" t="s">
        <v>225</v>
      </c>
      <c r="E33" s="595" t="str">
        <f t="shared" si="7"/>
        <v>✓</v>
      </c>
      <c r="F33" s="595" t="str">
        <f t="shared" si="7"/>
        <v>✓</v>
      </c>
      <c r="G33" s="596">
        <v>31.04</v>
      </c>
      <c r="H33" s="598">
        <v>30.32</v>
      </c>
      <c r="I33" s="598"/>
      <c r="J33" s="598"/>
      <c r="K33" s="598"/>
      <c r="L33" s="598"/>
      <c r="M33" s="694">
        <f t="shared" si="0"/>
        <v>32020.587437448958</v>
      </c>
      <c r="N33" s="299"/>
      <c r="O33" s="299">
        <v>6.3</v>
      </c>
      <c r="P33" s="600">
        <v>1</v>
      </c>
      <c r="Q33" s="601">
        <v>32020.234</v>
      </c>
      <c r="R33" s="602">
        <f t="shared" si="1"/>
        <v>0.99998896218098288</v>
      </c>
      <c r="S33" s="158"/>
      <c r="T33" s="159">
        <v>520</v>
      </c>
      <c r="U33" s="159" t="s">
        <v>226</v>
      </c>
      <c r="V33" s="159" t="s">
        <v>227</v>
      </c>
      <c r="W33" s="159"/>
      <c r="X33" s="161"/>
      <c r="Y33" s="159">
        <v>118</v>
      </c>
      <c r="Z33" s="158"/>
      <c r="AA33" s="158"/>
      <c r="AB33" s="158"/>
      <c r="AC33" s="158"/>
      <c r="AD33" s="158"/>
      <c r="AE33" s="158"/>
      <c r="AF33" s="158"/>
      <c r="AG33" s="158"/>
      <c r="AH33" s="158"/>
      <c r="AI33" s="158"/>
      <c r="AJ33" s="158"/>
      <c r="AK33" s="158"/>
      <c r="AL33" s="158"/>
      <c r="AM33" s="158"/>
      <c r="AN33" s="158"/>
      <c r="AO33" s="158"/>
      <c r="AP33" s="158"/>
      <c r="AQ33" s="158"/>
      <c r="AR33" s="158"/>
      <c r="AS33" s="158"/>
      <c r="AT33" s="158"/>
      <c r="AU33" s="158"/>
      <c r="AV33" s="158"/>
      <c r="AW33" s="158"/>
      <c r="AX33" s="158"/>
      <c r="AY33" s="158"/>
      <c r="AZ33" s="158"/>
      <c r="BA33" s="406"/>
      <c r="BB33" s="406"/>
      <c r="BC33" s="406"/>
      <c r="BD33" s="406"/>
    </row>
    <row r="34" spans="1:56" x14ac:dyDescent="0.3">
      <c r="A34" s="156" t="str">
        <f t="shared" si="2"/>
        <v>491-00</v>
      </c>
      <c r="B34" s="593">
        <v>491</v>
      </c>
      <c r="C34" s="594" t="s">
        <v>217</v>
      </c>
      <c r="D34" s="511" t="s">
        <v>225</v>
      </c>
      <c r="E34" s="595" t="str">
        <f t="shared" si="7"/>
        <v>✓</v>
      </c>
      <c r="F34" s="595" t="str">
        <f t="shared" si="7"/>
        <v>✓</v>
      </c>
      <c r="G34" s="596">
        <v>38.700000000000003</v>
      </c>
      <c r="H34" s="597">
        <v>38.700000000000003</v>
      </c>
      <c r="I34" s="598"/>
      <c r="J34" s="598"/>
      <c r="K34" s="598"/>
      <c r="L34" s="598"/>
      <c r="M34" s="694">
        <f t="shared" si="0"/>
        <v>39922.5751877988</v>
      </c>
      <c r="N34" s="299"/>
      <c r="O34" s="599">
        <v>6.3</v>
      </c>
      <c r="P34" s="600">
        <v>1</v>
      </c>
      <c r="Q34" s="601">
        <v>39922.269999999997</v>
      </c>
      <c r="R34" s="602">
        <f t="shared" si="1"/>
        <v>0.99999235550819632</v>
      </c>
      <c r="S34" s="158"/>
      <c r="T34" s="159"/>
      <c r="U34" s="159"/>
      <c r="V34" s="159"/>
      <c r="W34" s="159"/>
      <c r="X34" s="161"/>
      <c r="Y34" s="159"/>
      <c r="Z34" s="158"/>
      <c r="AA34" s="158"/>
      <c r="AB34" s="158"/>
      <c r="AC34" s="158"/>
      <c r="AD34" s="158"/>
      <c r="AE34" s="158"/>
      <c r="AF34" s="158"/>
      <c r="AG34" s="158"/>
      <c r="AH34" s="158"/>
      <c r="AI34" s="158"/>
      <c r="AJ34" s="158"/>
      <c r="AK34" s="158"/>
      <c r="AL34" s="158"/>
      <c r="AM34" s="158"/>
      <c r="AN34" s="158"/>
      <c r="AO34" s="158"/>
      <c r="AP34" s="158"/>
      <c r="AQ34" s="158"/>
      <c r="AR34" s="158"/>
      <c r="AS34" s="158"/>
      <c r="AT34" s="158"/>
      <c r="AU34" s="158"/>
      <c r="AV34" s="158"/>
      <c r="AW34" s="158"/>
      <c r="AX34" s="158"/>
      <c r="AY34" s="158"/>
      <c r="AZ34" s="158"/>
      <c r="BA34" s="406"/>
      <c r="BB34" s="406"/>
      <c r="BC34" s="406"/>
      <c r="BD34" s="406"/>
    </row>
    <row r="35" spans="1:56" x14ac:dyDescent="0.3">
      <c r="A35" s="156" t="str">
        <f t="shared" si="2"/>
        <v>492-00</v>
      </c>
      <c r="B35" s="593">
        <v>492</v>
      </c>
      <c r="C35" s="594" t="s">
        <v>220</v>
      </c>
      <c r="D35" s="511" t="s">
        <v>110</v>
      </c>
      <c r="E35" s="595" t="str">
        <f t="shared" si="7"/>
        <v>✓</v>
      </c>
      <c r="F35" s="595" t="str">
        <f t="shared" si="7"/>
        <v>✓</v>
      </c>
      <c r="G35" s="596">
        <v>4.0199999999999996</v>
      </c>
      <c r="H35" s="597">
        <v>4.0199999999999996</v>
      </c>
      <c r="I35" s="598"/>
      <c r="J35" s="598"/>
      <c r="K35" s="598"/>
      <c r="L35" s="598"/>
      <c r="M35" s="694">
        <f t="shared" si="0"/>
        <v>4146.9961822984797</v>
      </c>
      <c r="N35" s="299"/>
      <c r="O35" s="599">
        <v>6.3</v>
      </c>
      <c r="P35" s="600">
        <v>1</v>
      </c>
      <c r="Q35" s="601">
        <v>4147.8</v>
      </c>
      <c r="R35" s="602">
        <f t="shared" si="1"/>
        <v>1.0001938313097445</v>
      </c>
      <c r="S35" s="158"/>
      <c r="T35" s="159"/>
      <c r="U35" s="159"/>
      <c r="V35" s="159"/>
      <c r="W35" s="159"/>
      <c r="X35" s="161"/>
      <c r="Y35" s="159"/>
      <c r="Z35" s="158"/>
      <c r="AA35" s="158"/>
      <c r="AB35" s="158"/>
      <c r="AC35" s="158"/>
      <c r="AD35" s="158"/>
      <c r="AE35" s="158"/>
      <c r="AF35" s="158"/>
      <c r="AG35" s="158"/>
      <c r="AH35" s="158"/>
      <c r="AI35" s="158"/>
      <c r="AJ35" s="158"/>
      <c r="AK35" s="158"/>
      <c r="AL35" s="158"/>
      <c r="AM35" s="158"/>
      <c r="AN35" s="158"/>
      <c r="AO35" s="158"/>
      <c r="AP35" s="158"/>
      <c r="AQ35" s="158"/>
      <c r="AR35" s="158"/>
      <c r="AS35" s="158"/>
      <c r="AT35" s="158"/>
      <c r="AU35" s="158"/>
      <c r="AV35" s="158"/>
      <c r="AW35" s="158"/>
      <c r="AX35" s="158"/>
      <c r="AY35" s="158"/>
      <c r="AZ35" s="158"/>
      <c r="BA35" s="406"/>
      <c r="BB35" s="406"/>
      <c r="BC35" s="406"/>
      <c r="BD35" s="406"/>
    </row>
    <row r="36" spans="1:56" x14ac:dyDescent="0.3">
      <c r="A36" s="156" t="str">
        <f t="shared" si="2"/>
        <v>495-00</v>
      </c>
      <c r="B36" s="593">
        <v>495</v>
      </c>
      <c r="C36" s="594" t="s">
        <v>228</v>
      </c>
      <c r="D36" s="511" t="s">
        <v>110</v>
      </c>
      <c r="E36" s="595" t="str">
        <f t="shared" si="7"/>
        <v>X</v>
      </c>
      <c r="F36" s="595" t="str">
        <f t="shared" si="7"/>
        <v>✓</v>
      </c>
      <c r="G36" s="596"/>
      <c r="H36" s="598">
        <v>28.82</v>
      </c>
      <c r="I36" s="598"/>
      <c r="J36" s="598"/>
      <c r="K36" s="598"/>
      <c r="L36" s="598"/>
      <c r="M36" s="694"/>
      <c r="N36" s="299"/>
      <c r="O36" s="599"/>
      <c r="P36" s="600"/>
      <c r="Q36" s="601"/>
      <c r="R36" s="602"/>
      <c r="S36" s="158"/>
      <c r="T36" s="159">
        <v>530</v>
      </c>
      <c r="U36" s="159" t="s">
        <v>229</v>
      </c>
      <c r="V36" s="159" t="s">
        <v>230</v>
      </c>
      <c r="W36" s="159"/>
      <c r="X36" s="161"/>
      <c r="Y36" s="159">
        <v>666</v>
      </c>
      <c r="Z36" s="158"/>
      <c r="AA36" s="158"/>
      <c r="AB36" s="158"/>
      <c r="AC36" s="158"/>
      <c r="AD36" s="158"/>
      <c r="AE36" s="158"/>
      <c r="AF36" s="158"/>
      <c r="AG36" s="158"/>
      <c r="AH36" s="158"/>
      <c r="AI36" s="158"/>
      <c r="AJ36" s="158"/>
      <c r="AK36" s="158"/>
      <c r="AL36" s="158"/>
      <c r="AM36" s="158"/>
      <c r="AN36" s="158"/>
      <c r="AO36" s="158"/>
      <c r="AP36" s="158"/>
      <c r="AQ36" s="158"/>
      <c r="AR36" s="158"/>
      <c r="AS36" s="158"/>
      <c r="AT36" s="158"/>
      <c r="AU36" s="158"/>
      <c r="AV36" s="158"/>
      <c r="AW36" s="158"/>
      <c r="AX36" s="158"/>
      <c r="AY36" s="158"/>
      <c r="AZ36" s="158"/>
      <c r="BA36" s="406"/>
      <c r="BB36" s="406"/>
      <c r="BC36" s="406"/>
      <c r="BD36" s="406"/>
    </row>
    <row r="37" spans="1:56" x14ac:dyDescent="0.3">
      <c r="A37" s="156" t="str">
        <f t="shared" si="2"/>
        <v>520-00</v>
      </c>
      <c r="B37" s="593">
        <v>520</v>
      </c>
      <c r="C37" s="594" t="s">
        <v>231</v>
      </c>
      <c r="D37" s="511" t="s">
        <v>232</v>
      </c>
      <c r="E37" s="595" t="str">
        <f t="shared" ref="E37:E45" si="8">IF(G37,"✓","X")</f>
        <v>✓</v>
      </c>
      <c r="F37" s="595" t="str">
        <f t="shared" ref="F37:F45" si="9">IF(H37,"✓","X")</f>
        <v>✓</v>
      </c>
      <c r="G37" s="596">
        <v>1.29</v>
      </c>
      <c r="H37" s="598">
        <v>1.89</v>
      </c>
      <c r="I37" s="598"/>
      <c r="J37" s="598"/>
      <c r="K37" s="598"/>
      <c r="L37" s="598"/>
      <c r="M37" s="694">
        <f t="shared" si="0"/>
        <v>198.02864676487505</v>
      </c>
      <c r="N37" s="299"/>
      <c r="O37" s="599">
        <v>1.25</v>
      </c>
      <c r="P37" s="600">
        <v>0.75</v>
      </c>
      <c r="Q37" s="601">
        <v>198.476</v>
      </c>
      <c r="R37" s="602">
        <f t="shared" si="1"/>
        <v>1.0022590329350485</v>
      </c>
      <c r="S37" s="158"/>
      <c r="T37" s="159">
        <v>550</v>
      </c>
      <c r="U37" s="159" t="s">
        <v>233</v>
      </c>
      <c r="V37" s="159" t="s">
        <v>234</v>
      </c>
      <c r="W37" s="159"/>
      <c r="X37" s="161"/>
      <c r="Y37" s="160">
        <v>1406</v>
      </c>
      <c r="Z37" s="158"/>
      <c r="AA37" s="158"/>
      <c r="AB37" s="158"/>
      <c r="AC37" s="158"/>
      <c r="AD37" s="158"/>
      <c r="AE37" s="158"/>
      <c r="AF37" s="158"/>
      <c r="AG37" s="158"/>
      <c r="AH37" s="158"/>
      <c r="AI37" s="158"/>
      <c r="AJ37" s="158"/>
      <c r="AK37" s="158"/>
      <c r="AL37" s="158"/>
      <c r="AM37" s="158"/>
      <c r="AN37" s="158"/>
      <c r="AO37" s="158"/>
      <c r="AP37" s="158"/>
      <c r="AQ37" s="158"/>
      <c r="AR37" s="158"/>
      <c r="AS37" s="158"/>
      <c r="AT37" s="158"/>
      <c r="AU37" s="158"/>
      <c r="AV37" s="158"/>
      <c r="AW37" s="158"/>
      <c r="AX37" s="158"/>
      <c r="AY37" s="158"/>
      <c r="AZ37" s="158"/>
      <c r="BA37" s="406"/>
      <c r="BB37" s="406"/>
      <c r="BC37" s="406"/>
      <c r="BD37" s="406"/>
    </row>
    <row r="38" spans="1:56" x14ac:dyDescent="0.3">
      <c r="A38" s="156" t="str">
        <f t="shared" si="2"/>
        <v>530-00</v>
      </c>
      <c r="B38" s="593">
        <v>530</v>
      </c>
      <c r="C38" s="594" t="s">
        <v>235</v>
      </c>
      <c r="D38" s="511" t="s">
        <v>232</v>
      </c>
      <c r="E38" s="595" t="str">
        <f t="shared" si="8"/>
        <v>✓</v>
      </c>
      <c r="F38" s="595" t="str">
        <f t="shared" si="9"/>
        <v>✓</v>
      </c>
      <c r="G38" s="596">
        <v>1.71</v>
      </c>
      <c r="H38" s="598">
        <v>2.0299999999999998</v>
      </c>
      <c r="I38" s="598"/>
      <c r="J38" s="598"/>
      <c r="K38" s="598"/>
      <c r="L38" s="598"/>
      <c r="M38" s="694">
        <f t="shared" si="0"/>
        <v>1120.0131835632001</v>
      </c>
      <c r="N38" s="299"/>
      <c r="O38" s="599">
        <v>4</v>
      </c>
      <c r="P38" s="600">
        <v>1</v>
      </c>
      <c r="Q38" s="601">
        <v>1120.212</v>
      </c>
      <c r="R38" s="602">
        <f t="shared" si="1"/>
        <v>1.0001775125862067</v>
      </c>
      <c r="S38" s="158"/>
      <c r="T38" s="159">
        <v>560</v>
      </c>
      <c r="U38" s="159" t="s">
        <v>236</v>
      </c>
      <c r="V38" s="159" t="s">
        <v>237</v>
      </c>
      <c r="W38" s="159"/>
      <c r="X38" s="161"/>
      <c r="Y38" s="160">
        <v>3547</v>
      </c>
      <c r="Z38" s="158"/>
      <c r="AA38" s="158"/>
      <c r="AB38" s="158"/>
      <c r="AC38" s="158"/>
      <c r="AD38" s="158"/>
      <c r="AE38" s="158"/>
      <c r="AF38" s="158"/>
      <c r="AG38" s="158"/>
      <c r="AH38" s="158"/>
      <c r="AI38" s="158"/>
      <c r="AJ38" s="158"/>
      <c r="AK38" s="158"/>
      <c r="AL38" s="158"/>
      <c r="AM38" s="158"/>
      <c r="AN38" s="158"/>
      <c r="AO38" s="158"/>
      <c r="AP38" s="158"/>
      <c r="AQ38" s="158"/>
      <c r="AR38" s="158"/>
      <c r="AS38" s="158"/>
      <c r="AT38" s="158"/>
      <c r="AU38" s="158"/>
      <c r="AV38" s="158"/>
      <c r="AW38" s="158"/>
      <c r="AX38" s="158"/>
      <c r="AY38" s="158"/>
      <c r="AZ38" s="158"/>
      <c r="BA38" s="406"/>
      <c r="BB38" s="406"/>
      <c r="BC38" s="406"/>
      <c r="BD38" s="406"/>
    </row>
    <row r="39" spans="1:56" x14ac:dyDescent="0.3">
      <c r="A39" s="156" t="str">
        <f t="shared" si="2"/>
        <v>534-00</v>
      </c>
      <c r="B39" s="593">
        <v>534</v>
      </c>
      <c r="C39" s="594" t="s">
        <v>238</v>
      </c>
      <c r="D39" s="511" t="s">
        <v>232</v>
      </c>
      <c r="E39" s="595" t="str">
        <f t="shared" si="8"/>
        <v>X</v>
      </c>
      <c r="F39" s="595" t="str">
        <f t="shared" si="9"/>
        <v>✓</v>
      </c>
      <c r="G39" s="596"/>
      <c r="H39" s="598">
        <v>4.1100000000000003</v>
      </c>
      <c r="I39" s="598"/>
      <c r="J39" s="598"/>
      <c r="K39" s="598"/>
      <c r="L39" s="598"/>
      <c r="M39" s="694"/>
      <c r="N39" s="299"/>
      <c r="O39" s="599"/>
      <c r="P39" s="603"/>
      <c r="Q39" s="601"/>
      <c r="R39" s="602"/>
      <c r="S39" s="158"/>
      <c r="T39" s="159">
        <v>565</v>
      </c>
      <c r="U39" s="159" t="s">
        <v>239</v>
      </c>
      <c r="V39" s="159" t="s">
        <v>240</v>
      </c>
      <c r="W39" s="159"/>
      <c r="X39" s="161"/>
      <c r="Y39" s="160">
        <v>4823</v>
      </c>
      <c r="Z39" s="158"/>
      <c r="AA39" s="158"/>
      <c r="AB39" s="158"/>
      <c r="AC39" s="158"/>
      <c r="AD39" s="158"/>
      <c r="AE39" s="158"/>
      <c r="AF39" s="158"/>
      <c r="AG39" s="158"/>
      <c r="AH39" s="158"/>
      <c r="AI39" s="158"/>
      <c r="AJ39" s="158"/>
      <c r="AK39" s="158"/>
      <c r="AL39" s="158"/>
      <c r="AM39" s="158"/>
      <c r="AN39" s="158"/>
      <c r="AO39" s="158"/>
      <c r="AP39" s="158"/>
      <c r="AQ39" s="158"/>
      <c r="AR39" s="158"/>
      <c r="AS39" s="158"/>
      <c r="AT39" s="158"/>
      <c r="AU39" s="158"/>
      <c r="AV39" s="158"/>
      <c r="AW39" s="158"/>
      <c r="AX39" s="158"/>
      <c r="AY39" s="158"/>
      <c r="AZ39" s="158"/>
      <c r="BA39" s="406"/>
      <c r="BB39" s="406"/>
      <c r="BC39" s="406"/>
      <c r="BD39" s="406"/>
    </row>
    <row r="40" spans="1:56" x14ac:dyDescent="0.3">
      <c r="A40" s="156" t="str">
        <f t="shared" si="2"/>
        <v>536-00</v>
      </c>
      <c r="B40" s="593">
        <v>536</v>
      </c>
      <c r="C40" s="594" t="s">
        <v>241</v>
      </c>
      <c r="D40" s="511" t="s">
        <v>232</v>
      </c>
      <c r="E40" s="595" t="str">
        <f t="shared" si="8"/>
        <v>X</v>
      </c>
      <c r="F40" s="595" t="str">
        <f t="shared" si="9"/>
        <v>✓</v>
      </c>
      <c r="G40" s="596"/>
      <c r="H40" s="598">
        <v>2.48</v>
      </c>
      <c r="I40" s="598"/>
      <c r="J40" s="598"/>
      <c r="K40" s="598"/>
      <c r="L40" s="598"/>
      <c r="M40" s="694"/>
      <c r="N40" s="299"/>
      <c r="O40" s="599"/>
      <c r="P40" s="603"/>
      <c r="Q40" s="601"/>
      <c r="R40" s="602"/>
      <c r="S40" s="158"/>
      <c r="T40" s="159"/>
      <c r="U40" s="159" t="s">
        <v>242</v>
      </c>
      <c r="V40" s="159"/>
      <c r="W40" s="159"/>
      <c r="X40" s="159"/>
      <c r="Y40" s="159"/>
      <c r="Z40" s="158"/>
      <c r="AA40" s="158"/>
      <c r="AB40" s="158"/>
      <c r="AC40" s="158"/>
      <c r="AD40" s="158"/>
      <c r="AE40" s="158"/>
      <c r="AF40" s="158"/>
      <c r="AG40" s="158"/>
      <c r="AH40" s="158"/>
      <c r="AI40" s="158"/>
      <c r="AJ40" s="158"/>
      <c r="AK40" s="158"/>
      <c r="AL40" s="158"/>
      <c r="AM40" s="158"/>
      <c r="AN40" s="158"/>
      <c r="AO40" s="158"/>
      <c r="AP40" s="158"/>
      <c r="AQ40" s="158"/>
      <c r="AR40" s="158"/>
      <c r="AS40" s="158"/>
      <c r="AT40" s="158"/>
      <c r="AU40" s="158"/>
      <c r="AV40" s="158"/>
      <c r="AW40" s="158"/>
      <c r="AX40" s="158"/>
      <c r="AY40" s="158"/>
      <c r="AZ40" s="158"/>
      <c r="BA40" s="406"/>
      <c r="BB40" s="406"/>
      <c r="BC40" s="406"/>
      <c r="BD40" s="406"/>
    </row>
    <row r="41" spans="1:56" x14ac:dyDescent="0.3">
      <c r="A41" s="156" t="str">
        <f t="shared" si="2"/>
        <v>537-00</v>
      </c>
      <c r="B41" s="593">
        <v>537</v>
      </c>
      <c r="C41" s="594" t="s">
        <v>243</v>
      </c>
      <c r="D41" s="511" t="s">
        <v>232</v>
      </c>
      <c r="E41" s="595" t="str">
        <f t="shared" si="8"/>
        <v>X</v>
      </c>
      <c r="F41" s="595" t="str">
        <f t="shared" si="9"/>
        <v>✓</v>
      </c>
      <c r="G41" s="596"/>
      <c r="H41" s="598">
        <v>1.85</v>
      </c>
      <c r="I41" s="598"/>
      <c r="J41" s="598"/>
      <c r="K41" s="598"/>
      <c r="L41" s="598"/>
      <c r="M41" s="694"/>
      <c r="N41" s="299"/>
      <c r="O41" s="599"/>
      <c r="P41" s="603"/>
      <c r="Q41" s="601"/>
      <c r="R41" s="602"/>
      <c r="S41" s="158"/>
      <c r="T41" s="159">
        <v>610</v>
      </c>
      <c r="U41" s="159" t="s">
        <v>244</v>
      </c>
      <c r="V41" s="159" t="s">
        <v>245</v>
      </c>
      <c r="W41" s="159"/>
      <c r="X41" s="159"/>
      <c r="Y41" s="160">
        <v>10605</v>
      </c>
      <c r="Z41" s="158"/>
      <c r="AA41" s="158"/>
      <c r="AB41" s="158"/>
      <c r="AC41" s="158"/>
      <c r="AD41" s="158"/>
      <c r="AE41" s="158"/>
      <c r="AF41" s="158"/>
      <c r="AG41" s="158"/>
      <c r="AH41" s="158"/>
      <c r="AI41" s="158"/>
      <c r="AJ41" s="158"/>
      <c r="AK41" s="158"/>
      <c r="AL41" s="158"/>
      <c r="AM41" s="158"/>
      <c r="AN41" s="158"/>
      <c r="AO41" s="158"/>
      <c r="AP41" s="158"/>
      <c r="AQ41" s="158"/>
      <c r="AR41" s="158"/>
      <c r="AS41" s="158"/>
      <c r="AT41" s="158"/>
      <c r="AU41" s="158"/>
      <c r="AV41" s="158"/>
      <c r="AW41" s="158"/>
      <c r="AX41" s="158"/>
      <c r="AY41" s="158"/>
      <c r="AZ41" s="158"/>
      <c r="BA41" s="406"/>
      <c r="BB41" s="406"/>
      <c r="BC41" s="406"/>
      <c r="BD41" s="406"/>
    </row>
    <row r="42" spans="1:56" x14ac:dyDescent="0.3">
      <c r="A42" s="156" t="str">
        <f t="shared" si="2"/>
        <v>540-00</v>
      </c>
      <c r="B42" s="593">
        <v>540</v>
      </c>
      <c r="C42" s="594" t="s">
        <v>246</v>
      </c>
      <c r="D42" s="511" t="s">
        <v>232</v>
      </c>
      <c r="E42" s="595" t="str">
        <f t="shared" si="8"/>
        <v>✓</v>
      </c>
      <c r="F42" s="595" t="str">
        <f t="shared" si="9"/>
        <v>✓</v>
      </c>
      <c r="G42" s="596">
        <v>1.2</v>
      </c>
      <c r="H42" s="598">
        <v>1.1499999999999999</v>
      </c>
      <c r="I42" s="598"/>
      <c r="J42" s="598"/>
      <c r="K42" s="598"/>
      <c r="L42" s="598"/>
      <c r="M42" s="694">
        <f t="shared" si="0"/>
        <v>1192.7157937243198</v>
      </c>
      <c r="N42" s="299"/>
      <c r="O42" s="599">
        <v>6.07</v>
      </c>
      <c r="P42" s="600">
        <v>1</v>
      </c>
      <c r="Q42" s="601">
        <v>1192.538</v>
      </c>
      <c r="R42" s="602">
        <f t="shared" si="1"/>
        <v>0.99985093370503242</v>
      </c>
      <c r="S42" s="158"/>
      <c r="T42" s="159">
        <v>620</v>
      </c>
      <c r="U42" s="159" t="s">
        <v>247</v>
      </c>
      <c r="V42" s="159" t="s">
        <v>248</v>
      </c>
      <c r="W42" s="159"/>
      <c r="X42" s="159"/>
      <c r="Y42" s="160">
        <v>1430</v>
      </c>
      <c r="Z42" s="158"/>
      <c r="AA42" s="158"/>
      <c r="AB42" s="158"/>
      <c r="AC42" s="158"/>
      <c r="AD42" s="158"/>
      <c r="AE42" s="158"/>
      <c r="AF42" s="158"/>
      <c r="AG42" s="158"/>
      <c r="AH42" s="158"/>
      <c r="AI42" s="158"/>
      <c r="AJ42" s="158"/>
      <c r="AK42" s="158"/>
      <c r="AL42" s="158"/>
      <c r="AM42" s="158"/>
      <c r="AN42" s="158"/>
      <c r="AO42" s="158"/>
      <c r="AP42" s="158"/>
      <c r="AQ42" s="158"/>
      <c r="AR42" s="158"/>
      <c r="AS42" s="158"/>
      <c r="AT42" s="158"/>
      <c r="AU42" s="158"/>
      <c r="AV42" s="158"/>
      <c r="AW42" s="158"/>
      <c r="AX42" s="158"/>
      <c r="AY42" s="158"/>
      <c r="AZ42" s="158"/>
      <c r="BA42" s="406"/>
      <c r="BB42" s="406"/>
      <c r="BC42" s="406"/>
      <c r="BD42" s="406"/>
    </row>
    <row r="43" spans="1:56" x14ac:dyDescent="0.3">
      <c r="A43" s="156" t="str">
        <f t="shared" si="2"/>
        <v>550-00</v>
      </c>
      <c r="B43" s="593">
        <v>550</v>
      </c>
      <c r="C43" s="594" t="s">
        <v>249</v>
      </c>
      <c r="D43" s="511" t="s">
        <v>232</v>
      </c>
      <c r="E43" s="595" t="str">
        <f t="shared" si="8"/>
        <v>✓</v>
      </c>
      <c r="F43" s="595" t="str">
        <f t="shared" si="9"/>
        <v>✓</v>
      </c>
      <c r="G43" s="596">
        <v>2.38</v>
      </c>
      <c r="H43" s="598">
        <v>1.56</v>
      </c>
      <c r="I43" s="598"/>
      <c r="J43" s="598"/>
      <c r="K43" s="598"/>
      <c r="L43" s="598"/>
      <c r="M43" s="694">
        <f t="shared" si="0"/>
        <v>2365.5529908865678</v>
      </c>
      <c r="N43" s="299"/>
      <c r="O43" s="599">
        <v>6.07</v>
      </c>
      <c r="P43" s="600">
        <v>1</v>
      </c>
      <c r="Q43" s="601">
        <v>2364.8919999999998</v>
      </c>
      <c r="R43" s="602">
        <f t="shared" si="1"/>
        <v>0.99972057658859703</v>
      </c>
      <c r="S43" s="158"/>
      <c r="T43" s="159">
        <v>630</v>
      </c>
      <c r="U43" s="159" t="s">
        <v>250</v>
      </c>
      <c r="V43" s="159" t="s">
        <v>251</v>
      </c>
      <c r="W43" s="159"/>
      <c r="X43" s="159"/>
      <c r="Y43" s="160">
        <v>18982</v>
      </c>
      <c r="Z43" s="158"/>
      <c r="AA43" s="158"/>
      <c r="AB43" s="158"/>
      <c r="AC43" s="158"/>
      <c r="AD43" s="158"/>
      <c r="AE43" s="158"/>
      <c r="AF43" s="158"/>
      <c r="AG43" s="158"/>
      <c r="AH43" s="158"/>
      <c r="AI43" s="158"/>
      <c r="AJ43" s="158"/>
      <c r="AK43" s="158"/>
      <c r="AL43" s="158"/>
      <c r="AM43" s="158"/>
      <c r="AN43" s="158"/>
      <c r="AO43" s="158"/>
      <c r="AP43" s="158"/>
      <c r="AQ43" s="158"/>
      <c r="AR43" s="158"/>
      <c r="AS43" s="158"/>
      <c r="AT43" s="158"/>
      <c r="AU43" s="158"/>
      <c r="AV43" s="158"/>
      <c r="AW43" s="158"/>
      <c r="AX43" s="158"/>
      <c r="AY43" s="158"/>
      <c r="AZ43" s="158"/>
      <c r="BA43" s="406"/>
      <c r="BB43" s="406"/>
      <c r="BC43" s="406"/>
      <c r="BD43" s="406"/>
    </row>
    <row r="44" spans="1:56" x14ac:dyDescent="0.3">
      <c r="A44" s="156" t="str">
        <f t="shared" si="2"/>
        <v>560-00</v>
      </c>
      <c r="B44" s="593">
        <v>560</v>
      </c>
      <c r="C44" s="594" t="s">
        <v>252</v>
      </c>
      <c r="D44" s="511" t="s">
        <v>110</v>
      </c>
      <c r="E44" s="595" t="str">
        <f t="shared" si="8"/>
        <v>✓</v>
      </c>
      <c r="F44" s="595" t="str">
        <f t="shared" si="9"/>
        <v>✓</v>
      </c>
      <c r="G44" s="596">
        <v>9.11</v>
      </c>
      <c r="H44" s="598">
        <v>6.95</v>
      </c>
      <c r="I44" s="598"/>
      <c r="J44" s="598"/>
      <c r="K44" s="598"/>
      <c r="L44" s="598"/>
      <c r="M44" s="694">
        <f t="shared" si="0"/>
        <v>5966.8538609711986</v>
      </c>
      <c r="N44" s="299"/>
      <c r="O44" s="599">
        <v>4</v>
      </c>
      <c r="P44" s="600">
        <v>1</v>
      </c>
      <c r="Q44" s="601">
        <v>5966.1</v>
      </c>
      <c r="R44" s="602">
        <f t="shared" si="1"/>
        <v>0.99987365854958687</v>
      </c>
      <c r="S44" s="158"/>
      <c r="T44" s="159"/>
      <c r="U44" s="159" t="s">
        <v>253</v>
      </c>
      <c r="V44" s="159"/>
      <c r="W44" s="159"/>
      <c r="X44" s="159"/>
      <c r="Y44" s="159"/>
      <c r="Z44" s="158"/>
      <c r="AA44" s="158"/>
      <c r="AB44" s="158"/>
      <c r="AC44" s="158"/>
      <c r="AD44" s="158"/>
      <c r="AE44" s="158"/>
      <c r="AF44" s="158"/>
      <c r="AG44" s="158"/>
      <c r="AH44" s="158"/>
      <c r="AI44" s="158"/>
      <c r="AJ44" s="158"/>
      <c r="AK44" s="158"/>
      <c r="AL44" s="158"/>
      <c r="AM44" s="158"/>
      <c r="AN44" s="158"/>
      <c r="AO44" s="158"/>
      <c r="AP44" s="158"/>
      <c r="AQ44" s="158"/>
      <c r="AR44" s="158"/>
      <c r="AS44" s="158"/>
      <c r="AT44" s="158"/>
      <c r="AU44" s="158"/>
      <c r="AV44" s="158"/>
      <c r="AW44" s="158"/>
      <c r="AX44" s="158"/>
      <c r="AY44" s="158"/>
      <c r="AZ44" s="158"/>
      <c r="BA44" s="406"/>
      <c r="BB44" s="406"/>
      <c r="BC44" s="406"/>
      <c r="BD44" s="406"/>
    </row>
    <row r="45" spans="1:56" x14ac:dyDescent="0.3">
      <c r="A45" s="156" t="str">
        <f t="shared" si="2"/>
        <v>565-00</v>
      </c>
      <c r="B45" s="593">
        <v>565</v>
      </c>
      <c r="C45" s="594" t="s">
        <v>239</v>
      </c>
      <c r="D45" s="511" t="s">
        <v>110</v>
      </c>
      <c r="E45" s="595" t="str">
        <f t="shared" si="8"/>
        <v>✓</v>
      </c>
      <c r="F45" s="595" t="str">
        <f t="shared" si="9"/>
        <v>✓</v>
      </c>
      <c r="G45" s="596">
        <v>79.260000000000005</v>
      </c>
      <c r="H45" s="598">
        <v>47.62</v>
      </c>
      <c r="I45" s="598"/>
      <c r="J45" s="598"/>
      <c r="K45" s="598"/>
      <c r="L45" s="598"/>
      <c r="M45" s="694">
        <f t="shared" si="0"/>
        <v>8111.4989884154993</v>
      </c>
      <c r="N45" s="299"/>
      <c r="O45" s="599">
        <v>1.25</v>
      </c>
      <c r="P45" s="600">
        <v>0.5</v>
      </c>
      <c r="Q45" s="601">
        <v>8112.3</v>
      </c>
      <c r="R45" s="602">
        <f t="shared" si="1"/>
        <v>1.000098750130604</v>
      </c>
      <c r="S45" s="158"/>
      <c r="T45" s="159">
        <v>710</v>
      </c>
      <c r="U45" s="159" t="s">
        <v>254</v>
      </c>
      <c r="V45" s="159"/>
      <c r="W45" s="159"/>
      <c r="X45" s="159"/>
      <c r="Y45" s="159"/>
      <c r="Z45" s="158"/>
      <c r="AA45" s="158"/>
      <c r="AB45" s="158"/>
      <c r="AC45" s="158"/>
      <c r="AD45" s="158"/>
      <c r="AE45" s="158"/>
      <c r="AF45" s="158"/>
      <c r="AG45" s="158"/>
      <c r="AH45" s="158"/>
      <c r="AI45" s="158"/>
      <c r="AJ45" s="158"/>
      <c r="AK45" s="158"/>
      <c r="AL45" s="158"/>
      <c r="AM45" s="158"/>
      <c r="AN45" s="158"/>
      <c r="AO45" s="158"/>
      <c r="AP45" s="158"/>
      <c r="AQ45" s="158"/>
      <c r="AR45" s="158"/>
      <c r="AS45" s="158"/>
      <c r="AT45" s="158"/>
      <c r="AU45" s="158"/>
      <c r="AV45" s="158"/>
      <c r="AW45" s="158"/>
      <c r="AX45" s="158"/>
      <c r="AY45" s="158"/>
      <c r="AZ45" s="158"/>
      <c r="BA45" s="406"/>
      <c r="BB45" s="406"/>
      <c r="BC45" s="406"/>
      <c r="BD45" s="406"/>
    </row>
    <row r="46" spans="1:56" x14ac:dyDescent="0.3">
      <c r="A46" s="156" t="str">
        <f t="shared" si="2"/>
        <v>610-00</v>
      </c>
      <c r="B46" s="593">
        <v>610</v>
      </c>
      <c r="C46" s="594" t="s">
        <v>244</v>
      </c>
      <c r="D46" s="511" t="s">
        <v>110</v>
      </c>
      <c r="E46" s="595" t="str">
        <f t="shared" ref="E46:F50" si="10">IF(G46,"✓","X")</f>
        <v>✓</v>
      </c>
      <c r="F46" s="595" t="str">
        <f t="shared" si="10"/>
        <v>✓</v>
      </c>
      <c r="G46" s="596">
        <v>17.57</v>
      </c>
      <c r="H46" s="598">
        <v>10.72</v>
      </c>
      <c r="I46" s="598"/>
      <c r="J46" s="598"/>
      <c r="K46" s="598"/>
      <c r="L46" s="598"/>
      <c r="M46" s="694">
        <f>((G46*0.97*(P46/2)*O46)/8500)*(1951500-278800)*1.02*1.682</f>
        <v>17837.35616056632</v>
      </c>
      <c r="N46" s="299"/>
      <c r="O46" s="599">
        <v>6.2</v>
      </c>
      <c r="P46" s="600">
        <v>1</v>
      </c>
      <c r="Q46" s="601">
        <v>17837.599999999999</v>
      </c>
      <c r="R46" s="602">
        <f t="shared" si="1"/>
        <v>1.0000136701555704</v>
      </c>
      <c r="S46" s="158"/>
      <c r="T46" s="159"/>
      <c r="U46" s="159" t="s">
        <v>255</v>
      </c>
      <c r="V46" s="159" t="s">
        <v>256</v>
      </c>
      <c r="W46" s="159">
        <v>6.07</v>
      </c>
      <c r="X46" s="161">
        <v>1</v>
      </c>
      <c r="Y46" s="160">
        <v>7883</v>
      </c>
      <c r="Z46" s="158"/>
      <c r="AA46" s="158"/>
      <c r="AB46" s="158"/>
      <c r="AC46" s="158"/>
      <c r="AD46" s="158"/>
      <c r="AE46" s="158"/>
      <c r="AF46" s="158"/>
      <c r="AG46" s="158"/>
      <c r="AH46" s="158"/>
      <c r="AI46" s="158"/>
      <c r="AJ46" s="158"/>
      <c r="AK46" s="158"/>
      <c r="AL46" s="158"/>
      <c r="AM46" s="158"/>
      <c r="AN46" s="158"/>
      <c r="AO46" s="158"/>
      <c r="AP46" s="158"/>
      <c r="AQ46" s="158"/>
      <c r="AR46" s="158"/>
      <c r="AS46" s="158"/>
      <c r="AT46" s="158"/>
      <c r="AU46" s="158"/>
      <c r="AV46" s="158"/>
      <c r="AW46" s="158"/>
      <c r="AX46" s="158"/>
      <c r="AY46" s="158"/>
      <c r="AZ46" s="158"/>
      <c r="BA46" s="406"/>
      <c r="BB46" s="406"/>
      <c r="BC46" s="406"/>
      <c r="BD46" s="406"/>
    </row>
    <row r="47" spans="1:56" x14ac:dyDescent="0.3">
      <c r="A47" s="156" t="str">
        <f t="shared" si="2"/>
        <v>620-00</v>
      </c>
      <c r="B47" s="593">
        <v>620</v>
      </c>
      <c r="C47" s="594" t="s">
        <v>247</v>
      </c>
      <c r="D47" s="511" t="s">
        <v>191</v>
      </c>
      <c r="E47" s="595" t="str">
        <f t="shared" si="10"/>
        <v>✓</v>
      </c>
      <c r="F47" s="595" t="str">
        <f t="shared" si="10"/>
        <v>✓</v>
      </c>
      <c r="G47" s="596">
        <v>2.37</v>
      </c>
      <c r="H47" s="598">
        <v>3.06</v>
      </c>
      <c r="I47" s="598"/>
      <c r="J47" s="598"/>
      <c r="K47" s="598"/>
      <c r="L47" s="598"/>
      <c r="M47" s="694">
        <f t="shared" si="0"/>
        <v>2406.0634092511204</v>
      </c>
      <c r="N47" s="299"/>
      <c r="O47" s="599">
        <v>6.2</v>
      </c>
      <c r="P47" s="600">
        <v>1</v>
      </c>
      <c r="Q47" s="601">
        <v>2405.2600000000002</v>
      </c>
      <c r="R47" s="602">
        <f t="shared" si="1"/>
        <v>0.9996660897430919</v>
      </c>
      <c r="S47" s="158"/>
      <c r="T47" s="159"/>
      <c r="U47" s="159" t="s">
        <v>257</v>
      </c>
      <c r="V47" s="159" t="s">
        <v>258</v>
      </c>
      <c r="W47" s="159">
        <v>6.07</v>
      </c>
      <c r="X47" s="161">
        <v>1</v>
      </c>
      <c r="Y47" s="160">
        <v>6722</v>
      </c>
      <c r="Z47" s="158"/>
      <c r="AA47" s="158"/>
      <c r="AB47" s="158"/>
      <c r="AC47" s="158"/>
      <c r="AD47" s="158"/>
      <c r="AE47" s="158"/>
      <c r="AF47" s="158"/>
      <c r="AG47" s="158"/>
      <c r="AH47" s="158"/>
      <c r="AI47" s="158"/>
      <c r="AJ47" s="158"/>
      <c r="AK47" s="158"/>
      <c r="AL47" s="158"/>
      <c r="AM47" s="158"/>
      <c r="AN47" s="158"/>
      <c r="AO47" s="158"/>
      <c r="AP47" s="158"/>
      <c r="AQ47" s="158"/>
      <c r="AR47" s="158"/>
      <c r="AS47" s="158"/>
      <c r="AT47" s="158"/>
      <c r="AU47" s="158"/>
      <c r="AV47" s="158"/>
      <c r="AW47" s="158"/>
      <c r="AX47" s="158"/>
      <c r="AY47" s="158"/>
      <c r="AZ47" s="158"/>
      <c r="BA47" s="406"/>
      <c r="BB47" s="406"/>
      <c r="BC47" s="406"/>
      <c r="BD47" s="406"/>
    </row>
    <row r="48" spans="1:56" x14ac:dyDescent="0.3">
      <c r="A48" s="156" t="str">
        <f t="shared" si="2"/>
        <v>630-00</v>
      </c>
      <c r="B48" s="593">
        <v>630</v>
      </c>
      <c r="C48" s="594" t="s">
        <v>250</v>
      </c>
      <c r="D48" s="511" t="s">
        <v>110</v>
      </c>
      <c r="E48" s="595" t="str">
        <f t="shared" si="10"/>
        <v>✓</v>
      </c>
      <c r="F48" s="595" t="str">
        <f t="shared" si="10"/>
        <v>✓</v>
      </c>
      <c r="G48" s="596">
        <v>31.45</v>
      </c>
      <c r="H48" s="598">
        <v>38.159999999999997</v>
      </c>
      <c r="I48" s="598"/>
      <c r="J48" s="598"/>
      <c r="K48" s="598"/>
      <c r="L48" s="598"/>
      <c r="M48" s="694">
        <f t="shared" si="0"/>
        <v>31928.562962425203</v>
      </c>
      <c r="N48" s="299"/>
      <c r="O48" s="599">
        <v>6.2</v>
      </c>
      <c r="P48" s="600">
        <v>1</v>
      </c>
      <c r="Q48" s="601">
        <v>31927.7</v>
      </c>
      <c r="R48" s="602">
        <f t="shared" si="1"/>
        <v>0.9999729720868985</v>
      </c>
      <c r="S48" s="158"/>
      <c r="T48" s="159"/>
      <c r="U48" s="159" t="s">
        <v>259</v>
      </c>
      <c r="V48" s="159" t="s">
        <v>260</v>
      </c>
      <c r="W48" s="159">
        <v>6.07</v>
      </c>
      <c r="X48" s="161">
        <v>1</v>
      </c>
      <c r="Y48" s="160">
        <v>6123</v>
      </c>
      <c r="Z48" s="158"/>
      <c r="AA48" s="158"/>
      <c r="AB48" s="158"/>
      <c r="AC48" s="158"/>
      <c r="AD48" s="158"/>
      <c r="AE48" s="158"/>
      <c r="AF48" s="158"/>
      <c r="AG48" s="158"/>
      <c r="AH48" s="158"/>
      <c r="AI48" s="158"/>
      <c r="AJ48" s="158"/>
      <c r="AK48" s="158"/>
      <c r="AL48" s="158"/>
      <c r="AM48" s="158"/>
      <c r="AN48" s="158"/>
      <c r="AO48" s="158"/>
      <c r="AP48" s="158"/>
      <c r="AQ48" s="158"/>
      <c r="AR48" s="158"/>
      <c r="AS48" s="158"/>
      <c r="AT48" s="158"/>
      <c r="AU48" s="158"/>
      <c r="AV48" s="158"/>
      <c r="AW48" s="158"/>
      <c r="AX48" s="158"/>
      <c r="AY48" s="158"/>
      <c r="AZ48" s="158"/>
      <c r="BA48" s="406"/>
      <c r="BB48" s="406"/>
      <c r="BC48" s="406"/>
      <c r="BD48" s="406"/>
    </row>
    <row r="49" spans="1:56" x14ac:dyDescent="0.3">
      <c r="A49" s="156" t="str">
        <f t="shared" si="2"/>
        <v>640-00</v>
      </c>
      <c r="B49" s="593">
        <v>640</v>
      </c>
      <c r="C49" s="594" t="s">
        <v>261</v>
      </c>
      <c r="D49" s="511" t="s">
        <v>110</v>
      </c>
      <c r="E49" s="595" t="str">
        <f t="shared" si="10"/>
        <v>X</v>
      </c>
      <c r="F49" s="595" t="str">
        <f t="shared" si="10"/>
        <v>✓</v>
      </c>
      <c r="G49" s="596"/>
      <c r="H49" s="598">
        <v>21.5</v>
      </c>
      <c r="I49" s="598"/>
      <c r="J49" s="598"/>
      <c r="K49" s="598"/>
      <c r="L49" s="598"/>
      <c r="M49" s="694"/>
      <c r="N49" s="299"/>
      <c r="O49" s="599"/>
      <c r="P49" s="603"/>
      <c r="Q49" s="601"/>
      <c r="R49" s="602"/>
      <c r="S49" s="158"/>
      <c r="T49" s="159"/>
      <c r="U49" s="159" t="s">
        <v>262</v>
      </c>
      <c r="V49" s="159" t="s">
        <v>263</v>
      </c>
      <c r="W49" s="159">
        <v>6.07</v>
      </c>
      <c r="X49" s="161">
        <v>1</v>
      </c>
      <c r="Y49" s="160">
        <v>5731</v>
      </c>
      <c r="Z49" s="158"/>
      <c r="AA49" s="158"/>
      <c r="AB49" s="158"/>
      <c r="AC49" s="158"/>
      <c r="AD49" s="158"/>
      <c r="AE49" s="158"/>
      <c r="AF49" s="158"/>
      <c r="AG49" s="158"/>
      <c r="AH49" s="158"/>
      <c r="AI49" s="158"/>
      <c r="AJ49" s="158"/>
      <c r="AK49" s="158"/>
      <c r="AL49" s="158"/>
      <c r="AM49" s="158"/>
      <c r="AN49" s="158"/>
      <c r="AO49" s="158"/>
      <c r="AP49" s="158"/>
      <c r="AQ49" s="158"/>
      <c r="AR49" s="158"/>
      <c r="AS49" s="158"/>
      <c r="AT49" s="158"/>
      <c r="AU49" s="158"/>
      <c r="AV49" s="158"/>
      <c r="AW49" s="158"/>
      <c r="AX49" s="158"/>
      <c r="AY49" s="158"/>
      <c r="AZ49" s="158"/>
      <c r="BA49" s="406"/>
      <c r="BB49" s="406"/>
      <c r="BC49" s="406"/>
      <c r="BD49" s="406"/>
    </row>
    <row r="50" spans="1:56" x14ac:dyDescent="0.3">
      <c r="A50" s="156" t="str">
        <f t="shared" si="2"/>
        <v>650-00</v>
      </c>
      <c r="B50" s="593">
        <v>650</v>
      </c>
      <c r="C50" s="594" t="s">
        <v>264</v>
      </c>
      <c r="D50" s="511" t="s">
        <v>110</v>
      </c>
      <c r="E50" s="595" t="str">
        <f t="shared" si="10"/>
        <v>X</v>
      </c>
      <c r="F50" s="595" t="str">
        <f t="shared" si="10"/>
        <v>✓</v>
      </c>
      <c r="G50" s="596"/>
      <c r="H50" s="598">
        <v>24.94</v>
      </c>
      <c r="I50" s="598"/>
      <c r="J50" s="598"/>
      <c r="K50" s="598"/>
      <c r="L50" s="598"/>
      <c r="M50" s="694"/>
      <c r="N50" s="299"/>
      <c r="O50" s="599"/>
      <c r="P50" s="603"/>
      <c r="Q50" s="601"/>
      <c r="R50" s="602"/>
      <c r="S50" s="158"/>
      <c r="T50" s="159"/>
      <c r="U50" s="159" t="s">
        <v>265</v>
      </c>
      <c r="V50" s="159" t="s">
        <v>266</v>
      </c>
      <c r="W50" s="159">
        <v>6.07</v>
      </c>
      <c r="X50" s="161">
        <v>1</v>
      </c>
      <c r="Y50" s="160">
        <v>5444</v>
      </c>
      <c r="Z50" s="158"/>
      <c r="AA50" s="158"/>
      <c r="AB50" s="158"/>
      <c r="AC50" s="158"/>
      <c r="AD50" s="158"/>
      <c r="AE50" s="158"/>
      <c r="AF50" s="158"/>
      <c r="AG50" s="158"/>
      <c r="AH50" s="158"/>
      <c r="AI50" s="158"/>
      <c r="AJ50" s="158"/>
      <c r="AK50" s="158"/>
      <c r="AL50" s="158"/>
      <c r="AM50" s="158"/>
      <c r="AN50" s="158"/>
      <c r="AO50" s="158"/>
      <c r="AP50" s="158"/>
      <c r="AQ50" s="158"/>
      <c r="AR50" s="158"/>
      <c r="AS50" s="158"/>
      <c r="AT50" s="158"/>
      <c r="AU50" s="158"/>
      <c r="AV50" s="158"/>
      <c r="AW50" s="158"/>
      <c r="AX50" s="158"/>
      <c r="AY50" s="158"/>
      <c r="AZ50" s="158"/>
      <c r="BA50" s="406"/>
      <c r="BB50" s="406"/>
      <c r="BC50" s="406"/>
      <c r="BD50" s="406"/>
    </row>
    <row r="51" spans="1:56" x14ac:dyDescent="0.3">
      <c r="A51" s="156" t="str">
        <f t="shared" si="2"/>
        <v>710-00</v>
      </c>
      <c r="B51" s="593">
        <v>710</v>
      </c>
      <c r="C51" s="604" t="s">
        <v>268</v>
      </c>
      <c r="D51" s="511" t="s">
        <v>110</v>
      </c>
      <c r="E51" s="595" t="str">
        <f t="shared" ref="E51:E70" si="11">IF(G51,"✓","X")</f>
        <v>✓</v>
      </c>
      <c r="F51" s="595" t="str">
        <f t="shared" ref="F51:F70" si="12">IF(H51,"✓","X")</f>
        <v>✓</v>
      </c>
      <c r="G51" s="596">
        <v>15.65</v>
      </c>
      <c r="H51" s="605">
        <f>EXP((0.97*(LN(N51/1000)))+2.5)/(N51/1000)</f>
        <v>11.061091998412158</v>
      </c>
      <c r="I51" s="598"/>
      <c r="J51" s="299"/>
      <c r="K51" s="299"/>
      <c r="L51" s="598"/>
      <c r="M51" s="694">
        <f t="shared" si="0"/>
        <v>15555.001809821344</v>
      </c>
      <c r="N51" s="696">
        <v>25000</v>
      </c>
      <c r="O51" s="599">
        <v>6.07</v>
      </c>
      <c r="P51" s="600">
        <v>1</v>
      </c>
      <c r="Q51" s="601">
        <v>15551.8</v>
      </c>
      <c r="R51" s="602">
        <f t="shared" si="1"/>
        <v>0.99979416204122051</v>
      </c>
      <c r="S51" s="158"/>
      <c r="T51" s="159"/>
      <c r="U51" s="159" t="s">
        <v>269</v>
      </c>
      <c r="V51" s="159" t="s">
        <v>270</v>
      </c>
      <c r="W51" s="159">
        <v>6.07</v>
      </c>
      <c r="X51" s="161">
        <v>1</v>
      </c>
      <c r="Y51" s="160">
        <v>5039</v>
      </c>
      <c r="Z51" s="158"/>
      <c r="AA51" s="158"/>
      <c r="AB51" s="158"/>
      <c r="AC51" s="158"/>
      <c r="AD51" s="158"/>
      <c r="AE51" s="158"/>
      <c r="AF51" s="158"/>
      <c r="AG51" s="158"/>
      <c r="AH51" s="158"/>
      <c r="AI51" s="158"/>
      <c r="AJ51" s="158"/>
      <c r="AK51" s="158"/>
      <c r="AL51" s="158"/>
      <c r="AM51" s="158"/>
      <c r="AN51" s="158"/>
      <c r="AO51" s="158"/>
      <c r="AP51" s="158"/>
      <c r="AQ51" s="158"/>
      <c r="AR51" s="158"/>
      <c r="AS51" s="158"/>
      <c r="AT51" s="158"/>
      <c r="AU51" s="158"/>
      <c r="AV51" s="158"/>
      <c r="AW51" s="158"/>
      <c r="AX51" s="158"/>
      <c r="AY51" s="158"/>
      <c r="AZ51" s="158"/>
      <c r="BA51" s="406"/>
      <c r="BB51" s="406"/>
      <c r="BC51" s="406"/>
      <c r="BD51" s="406"/>
    </row>
    <row r="52" spans="1:56" x14ac:dyDescent="0.3">
      <c r="A52" s="156" t="str">
        <f>B52&amp;"-01"</f>
        <v>710-01</v>
      </c>
      <c r="B52" s="593">
        <v>710</v>
      </c>
      <c r="C52" s="604" t="s">
        <v>271</v>
      </c>
      <c r="D52" s="511" t="s">
        <v>110</v>
      </c>
      <c r="E52" s="595" t="str">
        <f t="shared" si="11"/>
        <v>✓</v>
      </c>
      <c r="F52" s="595" t="str">
        <f t="shared" si="12"/>
        <v>✓</v>
      </c>
      <c r="G52" s="596">
        <v>13.34</v>
      </c>
      <c r="H52" s="605">
        <f t="shared" ref="H52:H60" si="13">EXP((0.97*(LN(N52/1000)))+2.5)/(N52/1000)</f>
        <v>10.702478568874675</v>
      </c>
      <c r="I52" s="598"/>
      <c r="J52" s="299"/>
      <c r="K52" s="598"/>
      <c r="L52" s="598"/>
      <c r="M52" s="694">
        <f t="shared" si="0"/>
        <v>13259.023906902024</v>
      </c>
      <c r="N52" s="696">
        <v>75000</v>
      </c>
      <c r="O52" s="599">
        <v>6.07</v>
      </c>
      <c r="P52" s="600">
        <v>1</v>
      </c>
      <c r="Q52" s="601">
        <v>13259.2</v>
      </c>
      <c r="R52" s="602">
        <f t="shared" si="1"/>
        <v>1.0000132810001108</v>
      </c>
      <c r="S52" s="158"/>
      <c r="T52" s="159"/>
      <c r="U52" s="159" t="s">
        <v>272</v>
      </c>
      <c r="V52" s="159" t="s">
        <v>273</v>
      </c>
      <c r="W52" s="159">
        <v>6.07</v>
      </c>
      <c r="X52" s="161">
        <v>1</v>
      </c>
      <c r="Y52" s="160">
        <v>4886</v>
      </c>
      <c r="Z52" s="158"/>
      <c r="AA52" s="158"/>
      <c r="AB52" s="158"/>
      <c r="AC52" s="158"/>
      <c r="AD52" s="158"/>
      <c r="AE52" s="158"/>
      <c r="AF52" s="158"/>
      <c r="AG52" s="158"/>
      <c r="AH52" s="158"/>
      <c r="AI52" s="158"/>
      <c r="AJ52" s="158"/>
      <c r="AK52" s="158"/>
      <c r="AL52" s="158"/>
      <c r="AM52" s="158"/>
      <c r="AN52" s="158"/>
      <c r="AO52" s="158"/>
      <c r="AP52" s="158"/>
      <c r="AQ52" s="158"/>
      <c r="AR52" s="158"/>
      <c r="AS52" s="158"/>
      <c r="AT52" s="158"/>
      <c r="AU52" s="158"/>
      <c r="AV52" s="158"/>
      <c r="AW52" s="158"/>
      <c r="AX52" s="158"/>
      <c r="AY52" s="158"/>
      <c r="AZ52" s="158"/>
      <c r="BA52" s="406"/>
      <c r="BB52" s="406"/>
      <c r="BC52" s="406"/>
      <c r="BD52" s="406"/>
    </row>
    <row r="53" spans="1:56" x14ac:dyDescent="0.3">
      <c r="A53" s="156" t="str">
        <f>B53&amp;"-02"</f>
        <v>710-02</v>
      </c>
      <c r="B53" s="593">
        <v>710</v>
      </c>
      <c r="C53" s="604" t="s">
        <v>274</v>
      </c>
      <c r="D53" s="511" t="s">
        <v>110</v>
      </c>
      <c r="E53" s="595" t="str">
        <f t="shared" si="11"/>
        <v>✓</v>
      </c>
      <c r="F53" s="595" t="str">
        <f t="shared" si="12"/>
        <v>✓</v>
      </c>
      <c r="G53" s="596">
        <v>11.37</v>
      </c>
      <c r="H53" s="605">
        <f t="shared" si="13"/>
        <v>10.53971589568078</v>
      </c>
      <c r="I53" s="598"/>
      <c r="J53" s="299"/>
      <c r="K53" s="598"/>
      <c r="L53" s="598"/>
      <c r="M53" s="694">
        <f t="shared" si="0"/>
        <v>11300.982145537932</v>
      </c>
      <c r="N53" s="696">
        <v>125000</v>
      </c>
      <c r="O53" s="599">
        <v>6.07</v>
      </c>
      <c r="P53" s="600">
        <v>1</v>
      </c>
      <c r="Q53" s="601">
        <v>11306.4</v>
      </c>
      <c r="R53" s="602">
        <f t="shared" si="1"/>
        <v>1.0004794144785201</v>
      </c>
      <c r="S53" s="158"/>
      <c r="T53" s="159">
        <v>720</v>
      </c>
      <c r="U53" s="159" t="s">
        <v>275</v>
      </c>
      <c r="V53" s="159" t="s">
        <v>276</v>
      </c>
      <c r="W53" s="159">
        <v>6.07</v>
      </c>
      <c r="X53" s="161">
        <v>1</v>
      </c>
      <c r="Y53" s="160">
        <v>21350</v>
      </c>
      <c r="Z53" s="158"/>
      <c r="AA53" s="158"/>
      <c r="AB53" s="158"/>
      <c r="AC53" s="158"/>
      <c r="AD53" s="158"/>
      <c r="AE53" s="158"/>
      <c r="AF53" s="158"/>
      <c r="AG53" s="158"/>
      <c r="AH53" s="158"/>
      <c r="AI53" s="158"/>
      <c r="AJ53" s="158"/>
      <c r="AK53" s="158"/>
      <c r="AL53" s="158"/>
      <c r="AM53" s="158"/>
      <c r="AN53" s="158"/>
      <c r="AO53" s="158"/>
      <c r="AP53" s="158"/>
      <c r="AQ53" s="158"/>
      <c r="AR53" s="158"/>
      <c r="AS53" s="158"/>
      <c r="AT53" s="158"/>
      <c r="AU53" s="158"/>
      <c r="AV53" s="158"/>
      <c r="AW53" s="158"/>
      <c r="AX53" s="158"/>
      <c r="AY53" s="158"/>
      <c r="AZ53" s="158"/>
      <c r="BA53" s="406"/>
      <c r="BB53" s="406"/>
      <c r="BC53" s="406"/>
      <c r="BD53" s="406"/>
    </row>
    <row r="54" spans="1:56" x14ac:dyDescent="0.3">
      <c r="A54" s="156" t="str">
        <f>B54&amp;"-03"</f>
        <v>710-03</v>
      </c>
      <c r="B54" s="593">
        <v>710</v>
      </c>
      <c r="C54" s="604" t="s">
        <v>277</v>
      </c>
      <c r="D54" s="511" t="s">
        <v>110</v>
      </c>
      <c r="E54" s="595" t="str">
        <f t="shared" si="11"/>
        <v>✓</v>
      </c>
      <c r="F54" s="595" t="str">
        <f t="shared" si="12"/>
        <v>✓</v>
      </c>
      <c r="G54" s="596">
        <v>11.37</v>
      </c>
      <c r="H54" s="605">
        <f t="shared" si="13"/>
        <v>10.433861397564558</v>
      </c>
      <c r="I54" s="598"/>
      <c r="J54" s="299"/>
      <c r="K54" s="598"/>
      <c r="L54" s="598"/>
      <c r="M54" s="694">
        <f t="shared" si="0"/>
        <v>11300.982145537932</v>
      </c>
      <c r="N54" s="696">
        <v>175000</v>
      </c>
      <c r="O54" s="599">
        <v>6.07</v>
      </c>
      <c r="P54" s="600">
        <v>1</v>
      </c>
      <c r="Q54" s="601">
        <v>11306.4</v>
      </c>
      <c r="R54" s="602">
        <f t="shared" si="1"/>
        <v>1.0004794144785201</v>
      </c>
      <c r="S54" s="158"/>
      <c r="T54" s="159">
        <v>750</v>
      </c>
      <c r="U54" s="159" t="s">
        <v>278</v>
      </c>
      <c r="V54" s="159" t="s">
        <v>279</v>
      </c>
      <c r="W54" s="159">
        <v>6.07</v>
      </c>
      <c r="X54" s="161">
        <v>1</v>
      </c>
      <c r="Y54" s="160">
        <v>6748</v>
      </c>
      <c r="Z54" s="158"/>
      <c r="AA54" s="158"/>
      <c r="AB54" s="158"/>
      <c r="AC54" s="158"/>
      <c r="AD54" s="158"/>
      <c r="AE54" s="158"/>
      <c r="AF54" s="158"/>
      <c r="AG54" s="158"/>
      <c r="AH54" s="158"/>
      <c r="AI54" s="158"/>
      <c r="AJ54" s="158"/>
      <c r="AK54" s="158"/>
      <c r="AL54" s="158"/>
      <c r="AM54" s="158"/>
      <c r="AN54" s="158"/>
      <c r="AO54" s="158"/>
      <c r="AP54" s="158"/>
      <c r="AQ54" s="158"/>
      <c r="AR54" s="158"/>
      <c r="AS54" s="158"/>
      <c r="AT54" s="158"/>
      <c r="AU54" s="158"/>
      <c r="AV54" s="158"/>
      <c r="AW54" s="158"/>
      <c r="AX54" s="158"/>
      <c r="AY54" s="158"/>
      <c r="AZ54" s="158"/>
      <c r="BA54" s="406"/>
      <c r="BB54" s="406"/>
      <c r="BC54" s="406"/>
      <c r="BD54" s="406"/>
    </row>
    <row r="55" spans="1:56" x14ac:dyDescent="0.3">
      <c r="A55" s="156" t="str">
        <f>B55&amp;"-04"</f>
        <v>710-04</v>
      </c>
      <c r="B55" s="593">
        <v>710</v>
      </c>
      <c r="C55" s="604" t="s">
        <v>280</v>
      </c>
      <c r="D55" s="511" t="s">
        <v>110</v>
      </c>
      <c r="E55" s="595" t="str">
        <f t="shared" si="11"/>
        <v>✓</v>
      </c>
      <c r="F55" s="595" t="str">
        <f t="shared" si="12"/>
        <v>✓</v>
      </c>
      <c r="G55" s="596">
        <v>10.36</v>
      </c>
      <c r="H55" s="605">
        <f t="shared" si="13"/>
        <v>10.322811679029327</v>
      </c>
      <c r="I55" s="598"/>
      <c r="J55" s="299"/>
      <c r="K55" s="598"/>
      <c r="L55" s="598"/>
      <c r="M55" s="694">
        <f t="shared" si="0"/>
        <v>10297.113019153296</v>
      </c>
      <c r="N55" s="696">
        <v>250000</v>
      </c>
      <c r="O55" s="599">
        <v>6.07</v>
      </c>
      <c r="P55" s="600">
        <v>1</v>
      </c>
      <c r="Q55" s="601">
        <v>10298.9</v>
      </c>
      <c r="R55" s="602">
        <f t="shared" si="1"/>
        <v>1.0001735419280511</v>
      </c>
      <c r="S55" s="158"/>
      <c r="T55" s="159">
        <v>760</v>
      </c>
      <c r="U55" s="159" t="s">
        <v>281</v>
      </c>
      <c r="V55" s="159" t="s">
        <v>282</v>
      </c>
      <c r="W55" s="159">
        <v>6.07</v>
      </c>
      <c r="X55" s="161">
        <v>1</v>
      </c>
      <c r="Y55" s="160">
        <v>4792</v>
      </c>
      <c r="Z55" s="158"/>
      <c r="AA55" s="158"/>
      <c r="AB55" s="158"/>
      <c r="AC55" s="158"/>
      <c r="AD55" s="158"/>
      <c r="AE55" s="158"/>
      <c r="AF55" s="158"/>
      <c r="AG55" s="158"/>
      <c r="AH55" s="158"/>
      <c r="AI55" s="158"/>
      <c r="AJ55" s="158"/>
      <c r="AK55" s="158"/>
      <c r="AL55" s="158"/>
      <c r="AM55" s="158"/>
      <c r="AN55" s="158"/>
      <c r="AO55" s="158"/>
      <c r="AP55" s="158"/>
      <c r="AQ55" s="158"/>
      <c r="AR55" s="158"/>
      <c r="AS55" s="158"/>
      <c r="AT55" s="158"/>
      <c r="AU55" s="158"/>
      <c r="AV55" s="158"/>
      <c r="AW55" s="158"/>
      <c r="AX55" s="158"/>
      <c r="AY55" s="158"/>
      <c r="AZ55" s="158"/>
      <c r="BA55" s="406"/>
      <c r="BB55" s="406"/>
      <c r="BC55" s="406"/>
      <c r="BD55" s="406"/>
    </row>
    <row r="56" spans="1:56" x14ac:dyDescent="0.3">
      <c r="A56" s="156" t="str">
        <f>B56&amp;"-05"</f>
        <v>710-05</v>
      </c>
      <c r="B56" s="593">
        <v>710</v>
      </c>
      <c r="C56" s="604" t="s">
        <v>283</v>
      </c>
      <c r="D56" s="511" t="s">
        <v>110</v>
      </c>
      <c r="E56" s="595" t="str">
        <f t="shared" si="11"/>
        <v>✓</v>
      </c>
      <c r="F56" s="595" t="str">
        <f t="shared" si="12"/>
        <v>✓</v>
      </c>
      <c r="G56" s="596">
        <v>9.6999999999999993</v>
      </c>
      <c r="H56" s="605">
        <f t="shared" si="13"/>
        <v>10.21913563498342</v>
      </c>
      <c r="I56" s="598"/>
      <c r="J56" s="299"/>
      <c r="K56" s="598"/>
      <c r="L56" s="598"/>
      <c r="M56" s="694">
        <f t="shared" si="0"/>
        <v>9641.1193326049197</v>
      </c>
      <c r="N56" s="696">
        <v>350000</v>
      </c>
      <c r="O56" s="599">
        <v>6.07</v>
      </c>
      <c r="P56" s="600">
        <v>1</v>
      </c>
      <c r="Q56" s="601">
        <v>9639.5</v>
      </c>
      <c r="R56" s="602">
        <f t="shared" si="1"/>
        <v>0.99983203894184325</v>
      </c>
      <c r="S56" s="158"/>
      <c r="T56" s="159">
        <v>770</v>
      </c>
      <c r="U56" s="159" t="s">
        <v>284</v>
      </c>
      <c r="V56" s="159" t="s">
        <v>285</v>
      </c>
      <c r="W56" s="159">
        <v>6.07</v>
      </c>
      <c r="X56" s="161">
        <v>1</v>
      </c>
      <c r="Y56" s="160">
        <v>7540</v>
      </c>
      <c r="Z56" s="158"/>
      <c r="AA56" s="158"/>
      <c r="AB56" s="158"/>
      <c r="AC56" s="158"/>
      <c r="AD56" s="158"/>
      <c r="AE56" s="158"/>
      <c r="AF56" s="158"/>
      <c r="AG56" s="158"/>
      <c r="AH56" s="158"/>
      <c r="AI56" s="158"/>
      <c r="AJ56" s="158"/>
      <c r="AK56" s="158"/>
      <c r="AL56" s="158"/>
      <c r="AM56" s="158"/>
      <c r="AN56" s="158"/>
      <c r="AO56" s="158"/>
      <c r="AP56" s="158"/>
      <c r="AQ56" s="158"/>
      <c r="AR56" s="158"/>
      <c r="AS56" s="158"/>
      <c r="AT56" s="158"/>
      <c r="AU56" s="158"/>
      <c r="AV56" s="158"/>
      <c r="AW56" s="158"/>
      <c r="AX56" s="158"/>
      <c r="AY56" s="158"/>
      <c r="AZ56" s="158"/>
      <c r="BA56" s="406"/>
      <c r="BB56" s="406"/>
      <c r="BC56" s="406"/>
      <c r="BD56" s="406"/>
    </row>
    <row r="57" spans="1:56" x14ac:dyDescent="0.3">
      <c r="A57" s="156" t="str">
        <f>B57&amp;"-06"</f>
        <v>710-06</v>
      </c>
      <c r="B57" s="593">
        <v>710</v>
      </c>
      <c r="C57" s="604" t="s">
        <v>286</v>
      </c>
      <c r="D57" s="511" t="s">
        <v>110</v>
      </c>
      <c r="E57" s="595" t="str">
        <f t="shared" si="11"/>
        <v>✓</v>
      </c>
      <c r="F57" s="595" t="str">
        <f t="shared" si="12"/>
        <v>✓</v>
      </c>
      <c r="G57" s="596">
        <v>9.2100000000000009</v>
      </c>
      <c r="H57" s="605">
        <f t="shared" si="13"/>
        <v>10.142378862949085</v>
      </c>
      <c r="I57" s="598"/>
      <c r="J57" s="299"/>
      <c r="K57" s="598"/>
      <c r="L57" s="598"/>
      <c r="M57" s="694">
        <f t="shared" si="0"/>
        <v>9154.0937168341552</v>
      </c>
      <c r="N57" s="696">
        <v>450000</v>
      </c>
      <c r="O57" s="599">
        <v>6.07</v>
      </c>
      <c r="P57" s="600">
        <v>1</v>
      </c>
      <c r="Q57" s="601">
        <v>9156.7999999999993</v>
      </c>
      <c r="R57" s="602">
        <f t="shared" si="1"/>
        <v>1.0002956363840658</v>
      </c>
      <c r="S57" s="158"/>
      <c r="T57" s="159"/>
      <c r="U57" s="159" t="s">
        <v>287</v>
      </c>
      <c r="V57" s="159"/>
      <c r="W57" s="159"/>
      <c r="X57" s="159"/>
      <c r="Y57" s="159"/>
      <c r="Z57" s="158"/>
      <c r="AA57" s="158"/>
      <c r="AB57" s="158"/>
      <c r="AC57" s="158"/>
      <c r="AD57" s="158"/>
      <c r="AE57" s="158"/>
      <c r="AF57" s="158"/>
      <c r="AG57" s="158"/>
      <c r="AH57" s="158"/>
      <c r="AI57" s="158"/>
      <c r="AJ57" s="158"/>
      <c r="AK57" s="158"/>
      <c r="AL57" s="158"/>
      <c r="AM57" s="158"/>
      <c r="AN57" s="158"/>
      <c r="AO57" s="158"/>
      <c r="AP57" s="158"/>
      <c r="AQ57" s="158"/>
      <c r="AR57" s="158"/>
      <c r="AS57" s="158"/>
      <c r="AT57" s="158"/>
      <c r="AU57" s="158"/>
      <c r="AV57" s="158"/>
      <c r="AW57" s="158"/>
      <c r="AX57" s="158"/>
      <c r="AY57" s="158"/>
      <c r="AZ57" s="158"/>
      <c r="BA57" s="406"/>
      <c r="BB57" s="406"/>
      <c r="BC57" s="406"/>
      <c r="BD57" s="406"/>
    </row>
    <row r="58" spans="1:56" x14ac:dyDescent="0.3">
      <c r="A58" s="156" t="str">
        <f>B58&amp;"-07"</f>
        <v>710-07</v>
      </c>
      <c r="B58" s="593">
        <v>710</v>
      </c>
      <c r="C58" s="604" t="s">
        <v>288</v>
      </c>
      <c r="D58" s="511" t="s">
        <v>110</v>
      </c>
      <c r="E58" s="595" t="str">
        <f t="shared" si="11"/>
        <v>✓</v>
      </c>
      <c r="F58" s="595" t="str">
        <f t="shared" si="12"/>
        <v>✓</v>
      </c>
      <c r="G58" s="596">
        <v>8.83</v>
      </c>
      <c r="H58" s="605">
        <f t="shared" si="13"/>
        <v>10.081503937403301</v>
      </c>
      <c r="I58" s="598"/>
      <c r="J58" s="299"/>
      <c r="K58" s="598"/>
      <c r="L58" s="598"/>
      <c r="M58" s="694">
        <f t="shared" si="0"/>
        <v>8776.4003821547885</v>
      </c>
      <c r="N58" s="696">
        <v>550000</v>
      </c>
      <c r="O58" s="599">
        <v>6.07</v>
      </c>
      <c r="P58" s="600">
        <v>1</v>
      </c>
      <c r="Q58" s="601">
        <v>8781.7000000000007</v>
      </c>
      <c r="R58" s="602">
        <f t="shared" si="1"/>
        <v>1.0006038486867563</v>
      </c>
      <c r="S58" s="158"/>
      <c r="T58" s="159">
        <v>813</v>
      </c>
      <c r="U58" s="159" t="s">
        <v>289</v>
      </c>
      <c r="V58" s="159" t="s">
        <v>290</v>
      </c>
      <c r="W58" s="159">
        <v>5.9</v>
      </c>
      <c r="X58" s="161">
        <v>0.42</v>
      </c>
      <c r="Y58" s="160">
        <v>12243</v>
      </c>
      <c r="Z58" s="158"/>
      <c r="AA58" s="158"/>
      <c r="AB58" s="158"/>
      <c r="AC58" s="158"/>
      <c r="AD58" s="158"/>
      <c r="AE58" s="158"/>
      <c r="AF58" s="158"/>
      <c r="AG58" s="158"/>
      <c r="AH58" s="158"/>
      <c r="AI58" s="158"/>
      <c r="AJ58" s="158"/>
      <c r="AK58" s="158"/>
      <c r="AL58" s="158"/>
      <c r="AM58" s="158"/>
      <c r="AN58" s="158"/>
      <c r="AO58" s="158"/>
      <c r="AP58" s="158"/>
      <c r="AQ58" s="158"/>
      <c r="AR58" s="158"/>
      <c r="AS58" s="158"/>
      <c r="AT58" s="158"/>
      <c r="AU58" s="158"/>
      <c r="AV58" s="158"/>
      <c r="AW58" s="158"/>
      <c r="AX58" s="158"/>
      <c r="AY58" s="158"/>
      <c r="AZ58" s="158"/>
      <c r="BA58" s="406"/>
      <c r="BB58" s="406"/>
      <c r="BC58" s="406"/>
      <c r="BD58" s="406"/>
    </row>
    <row r="59" spans="1:56" x14ac:dyDescent="0.3">
      <c r="A59" s="156" t="str">
        <f>B59&amp;"-08"</f>
        <v>710-08</v>
      </c>
      <c r="B59" s="593">
        <v>710</v>
      </c>
      <c r="C59" s="604" t="s">
        <v>291</v>
      </c>
      <c r="D59" s="511" t="s">
        <v>110</v>
      </c>
      <c r="E59" s="595" t="str">
        <f t="shared" si="11"/>
        <v>✓</v>
      </c>
      <c r="F59" s="595" t="str">
        <f t="shared" si="12"/>
        <v>✓</v>
      </c>
      <c r="G59" s="596">
        <v>8.5299999999999994</v>
      </c>
      <c r="H59" s="605">
        <f t="shared" si="13"/>
        <v>10.031105639143441</v>
      </c>
      <c r="I59" s="598"/>
      <c r="J59" s="299"/>
      <c r="K59" s="598"/>
      <c r="L59" s="598"/>
      <c r="M59" s="694">
        <f t="shared" ref="M59:M117" si="14">((G59*0.97*(P59/2)*O59)/8500)*(1951500-278800)*1.02*1.682</f>
        <v>8478.2214337237056</v>
      </c>
      <c r="N59" s="696">
        <v>650000</v>
      </c>
      <c r="O59" s="599">
        <v>6.07</v>
      </c>
      <c r="P59" s="600">
        <v>1</v>
      </c>
      <c r="Q59" s="601">
        <v>8475.6</v>
      </c>
      <c r="R59" s="602">
        <f t="shared" si="1"/>
        <v>0.99969080381490416</v>
      </c>
      <c r="S59" s="158"/>
      <c r="T59" s="159">
        <v>816</v>
      </c>
      <c r="U59" s="159" t="s">
        <v>292</v>
      </c>
      <c r="V59" s="159" t="s">
        <v>293</v>
      </c>
      <c r="W59" s="159">
        <v>5.9</v>
      </c>
      <c r="X59" s="161">
        <v>0.75</v>
      </c>
      <c r="Y59" s="160">
        <v>8838</v>
      </c>
      <c r="Z59" s="158"/>
      <c r="AA59" s="158"/>
      <c r="AB59" s="158"/>
      <c r="AC59" s="158"/>
      <c r="AD59" s="158"/>
      <c r="AE59" s="158"/>
      <c r="AF59" s="158"/>
      <c r="AG59" s="158"/>
      <c r="AH59" s="158"/>
      <c r="AI59" s="158"/>
      <c r="AJ59" s="158"/>
      <c r="AK59" s="158"/>
      <c r="AL59" s="158"/>
      <c r="AM59" s="158"/>
      <c r="AN59" s="158"/>
      <c r="AO59" s="158"/>
      <c r="AP59" s="158"/>
      <c r="AQ59" s="158"/>
      <c r="AR59" s="158"/>
      <c r="AS59" s="158"/>
      <c r="AT59" s="158"/>
      <c r="AU59" s="158"/>
      <c r="AV59" s="158"/>
      <c r="AW59" s="158"/>
      <c r="AX59" s="158"/>
      <c r="AY59" s="158"/>
      <c r="AZ59" s="158"/>
      <c r="BA59" s="406"/>
      <c r="BB59" s="406"/>
      <c r="BC59" s="406"/>
      <c r="BD59" s="406"/>
    </row>
    <row r="60" spans="1:56" x14ac:dyDescent="0.3">
      <c r="A60" s="156" t="str">
        <f>B60&amp;"-09"</f>
        <v>710-09</v>
      </c>
      <c r="B60" s="593">
        <v>710</v>
      </c>
      <c r="C60" s="604" t="s">
        <v>294</v>
      </c>
      <c r="D60" s="511" t="s">
        <v>110</v>
      </c>
      <c r="E60" s="595" t="str">
        <f t="shared" si="11"/>
        <v>✓</v>
      </c>
      <c r="F60" s="595" t="str">
        <f t="shared" si="12"/>
        <v>✓</v>
      </c>
      <c r="G60" s="596">
        <v>8.27</v>
      </c>
      <c r="H60" s="605">
        <f t="shared" si="13"/>
        <v>9.9688142805499087</v>
      </c>
      <c r="I60" s="598"/>
      <c r="J60" s="299"/>
      <c r="K60" s="598"/>
      <c r="L60" s="598"/>
      <c r="M60" s="694">
        <f t="shared" si="14"/>
        <v>8219.7996784167699</v>
      </c>
      <c r="N60" s="696">
        <v>800000</v>
      </c>
      <c r="O60" s="599">
        <v>6.07</v>
      </c>
      <c r="P60" s="600">
        <v>1</v>
      </c>
      <c r="Q60" s="601">
        <v>8218.2999999999993</v>
      </c>
      <c r="R60" s="602">
        <f t="shared" ref="R60:R118" si="15">Q60/M60</f>
        <v>0.99981755292398322</v>
      </c>
      <c r="S60" s="158"/>
      <c r="T60" s="159">
        <v>817</v>
      </c>
      <c r="U60" s="159" t="s">
        <v>295</v>
      </c>
      <c r="V60" s="159" t="s">
        <v>296</v>
      </c>
      <c r="W60" s="159">
        <v>4</v>
      </c>
      <c r="X60" s="161">
        <v>0.75</v>
      </c>
      <c r="Y60" s="160">
        <v>10537</v>
      </c>
      <c r="Z60" s="158"/>
      <c r="AA60" s="158"/>
      <c r="AB60" s="158"/>
      <c r="AC60" s="158"/>
      <c r="AD60" s="158"/>
      <c r="AE60" s="158"/>
      <c r="AF60" s="158"/>
      <c r="AG60" s="158"/>
      <c r="AH60" s="158"/>
      <c r="AI60" s="158"/>
      <c r="AJ60" s="158"/>
      <c r="AK60" s="158"/>
      <c r="AL60" s="158"/>
      <c r="AM60" s="158"/>
      <c r="AN60" s="158"/>
      <c r="AO60" s="158"/>
      <c r="AP60" s="158"/>
      <c r="AQ60" s="158"/>
      <c r="AR60" s="158"/>
      <c r="AS60" s="158"/>
      <c r="AT60" s="158"/>
      <c r="AU60" s="158"/>
      <c r="AV60" s="158"/>
      <c r="AW60" s="158"/>
      <c r="AX60" s="158"/>
      <c r="AY60" s="158"/>
      <c r="AZ60" s="158"/>
      <c r="BA60" s="406"/>
      <c r="BB60" s="406"/>
      <c r="BC60" s="406"/>
      <c r="BD60" s="406"/>
    </row>
    <row r="61" spans="1:56" x14ac:dyDescent="0.3">
      <c r="A61" s="156" t="str">
        <f t="shared" ref="A61:A118" si="16">B61&amp;"-00"</f>
        <v>712-00</v>
      </c>
      <c r="B61" s="593">
        <v>712</v>
      </c>
      <c r="C61" s="594" t="s">
        <v>297</v>
      </c>
      <c r="D61" s="511" t="s">
        <v>110</v>
      </c>
      <c r="E61" s="595" t="str">
        <f t="shared" si="11"/>
        <v>X</v>
      </c>
      <c r="F61" s="595" t="str">
        <f t="shared" si="12"/>
        <v>✓</v>
      </c>
      <c r="G61" s="596"/>
      <c r="H61" s="598">
        <v>16.190000000000001</v>
      </c>
      <c r="I61" s="598"/>
      <c r="J61" s="598"/>
      <c r="K61" s="598"/>
      <c r="L61" s="598"/>
      <c r="M61" s="694"/>
      <c r="N61" s="299"/>
      <c r="O61" s="599"/>
      <c r="P61" s="603"/>
      <c r="Q61" s="601"/>
      <c r="R61" s="602"/>
      <c r="S61" s="158"/>
      <c r="T61" s="159">
        <v>820</v>
      </c>
      <c r="U61" s="159" t="s">
        <v>298</v>
      </c>
      <c r="V61" s="159"/>
      <c r="W61" s="159"/>
      <c r="X61" s="159"/>
      <c r="Y61" s="159"/>
      <c r="Z61" s="158"/>
      <c r="AA61" s="158"/>
      <c r="AB61" s="158"/>
      <c r="AC61" s="158"/>
      <c r="AD61" s="158"/>
      <c r="AE61" s="158"/>
      <c r="AF61" s="158"/>
      <c r="AG61" s="158"/>
      <c r="AH61" s="158"/>
      <c r="AI61" s="158"/>
      <c r="AJ61" s="158"/>
      <c r="AK61" s="158"/>
      <c r="AL61" s="158"/>
      <c r="AM61" s="158"/>
      <c r="AN61" s="158"/>
      <c r="AO61" s="158"/>
      <c r="AP61" s="158"/>
      <c r="AQ61" s="158"/>
      <c r="AR61" s="158"/>
      <c r="AS61" s="158"/>
      <c r="AT61" s="158"/>
      <c r="AU61" s="158"/>
      <c r="AV61" s="158"/>
      <c r="AW61" s="158"/>
      <c r="AX61" s="158"/>
      <c r="AY61" s="158"/>
      <c r="AZ61" s="158"/>
      <c r="BA61" s="406"/>
      <c r="BB61" s="406"/>
      <c r="BC61" s="406"/>
      <c r="BD61" s="406"/>
    </row>
    <row r="62" spans="1:56" x14ac:dyDescent="0.3">
      <c r="A62" s="156" t="str">
        <f t="shared" si="16"/>
        <v>714-00</v>
      </c>
      <c r="B62" s="593">
        <v>714</v>
      </c>
      <c r="C62" s="594" t="s">
        <v>299</v>
      </c>
      <c r="D62" s="511" t="s">
        <v>110</v>
      </c>
      <c r="E62" s="595" t="str">
        <f t="shared" si="11"/>
        <v>X</v>
      </c>
      <c r="F62" s="595" t="str">
        <f t="shared" si="12"/>
        <v>✓</v>
      </c>
      <c r="G62" s="596"/>
      <c r="H62" s="598">
        <v>7.95</v>
      </c>
      <c r="I62" s="598"/>
      <c r="J62" s="598"/>
      <c r="K62" s="598"/>
      <c r="L62" s="598">
        <v>13.14</v>
      </c>
      <c r="M62" s="694"/>
      <c r="N62" s="299"/>
      <c r="O62" s="599"/>
      <c r="P62" s="603"/>
      <c r="Q62" s="601"/>
      <c r="R62" s="602"/>
      <c r="S62" s="158"/>
      <c r="T62" s="159"/>
      <c r="U62" s="159" t="s">
        <v>300</v>
      </c>
      <c r="V62" s="159" t="s">
        <v>301</v>
      </c>
      <c r="W62" s="159">
        <v>2.36</v>
      </c>
      <c r="X62" s="161">
        <v>0.32</v>
      </c>
      <c r="Y62" s="160">
        <v>11177</v>
      </c>
      <c r="Z62" s="158"/>
      <c r="AA62" s="158"/>
      <c r="AB62" s="158"/>
      <c r="AC62" s="158"/>
      <c r="AD62" s="158"/>
      <c r="AE62" s="158"/>
      <c r="AF62" s="158"/>
      <c r="AG62" s="158"/>
      <c r="AH62" s="158"/>
      <c r="AI62" s="158"/>
      <c r="AJ62" s="158"/>
      <c r="AK62" s="158"/>
      <c r="AL62" s="158"/>
      <c r="AM62" s="158"/>
      <c r="AN62" s="158"/>
      <c r="AO62" s="158"/>
      <c r="AP62" s="158"/>
      <c r="AQ62" s="158"/>
      <c r="AR62" s="158"/>
      <c r="AS62" s="158"/>
      <c r="AT62" s="158"/>
      <c r="AU62" s="158"/>
      <c r="AV62" s="158"/>
      <c r="AW62" s="158"/>
      <c r="AX62" s="158"/>
      <c r="AY62" s="158"/>
      <c r="AZ62" s="158"/>
      <c r="BA62" s="406"/>
      <c r="BB62" s="406"/>
      <c r="BC62" s="406"/>
      <c r="BD62" s="406"/>
    </row>
    <row r="63" spans="1:56" x14ac:dyDescent="0.3">
      <c r="A63" s="156" t="str">
        <f t="shared" si="16"/>
        <v>715-00</v>
      </c>
      <c r="B63" s="593">
        <v>715</v>
      </c>
      <c r="C63" s="594" t="s">
        <v>302</v>
      </c>
      <c r="D63" s="511" t="s">
        <v>110</v>
      </c>
      <c r="E63" s="595" t="str">
        <f t="shared" si="11"/>
        <v>X</v>
      </c>
      <c r="F63" s="595" t="str">
        <f t="shared" si="12"/>
        <v>✓</v>
      </c>
      <c r="G63" s="596"/>
      <c r="H63" s="598">
        <v>11.25</v>
      </c>
      <c r="I63" s="598"/>
      <c r="J63" s="598"/>
      <c r="K63" s="598"/>
      <c r="L63" s="598"/>
      <c r="M63" s="694"/>
      <c r="N63" s="299"/>
      <c r="O63" s="599"/>
      <c r="P63" s="603"/>
      <c r="Q63" s="601"/>
      <c r="R63" s="602"/>
      <c r="S63" s="158"/>
      <c r="T63" s="159"/>
      <c r="U63" s="159" t="s">
        <v>303</v>
      </c>
      <c r="V63" s="159" t="s">
        <v>304</v>
      </c>
      <c r="W63" s="159">
        <v>2.36</v>
      </c>
      <c r="X63" s="161">
        <v>0.42</v>
      </c>
      <c r="Y63" s="160">
        <v>8352</v>
      </c>
      <c r="Z63" s="158"/>
      <c r="AA63" s="158"/>
      <c r="AB63" s="158"/>
      <c r="AC63" s="158"/>
      <c r="AD63" s="158"/>
      <c r="AE63" s="158"/>
      <c r="AF63" s="158"/>
      <c r="AG63" s="158"/>
      <c r="AH63" s="158"/>
      <c r="AI63" s="158"/>
      <c r="AJ63" s="158"/>
      <c r="AK63" s="158"/>
      <c r="AL63" s="158"/>
      <c r="AM63" s="158"/>
      <c r="AN63" s="158"/>
      <c r="AO63" s="158"/>
      <c r="AP63" s="158"/>
      <c r="AQ63" s="158"/>
      <c r="AR63" s="158"/>
      <c r="AS63" s="158"/>
      <c r="AT63" s="158"/>
      <c r="AU63" s="158"/>
      <c r="AV63" s="158"/>
      <c r="AW63" s="158"/>
      <c r="AX63" s="158"/>
      <c r="AY63" s="158"/>
      <c r="AZ63" s="158"/>
      <c r="BA63" s="406"/>
      <c r="BB63" s="406"/>
      <c r="BC63" s="406"/>
      <c r="BD63" s="406"/>
    </row>
    <row r="64" spans="1:56" x14ac:dyDescent="0.3">
      <c r="A64" s="156" t="str">
        <f t="shared" si="16"/>
        <v>720-00</v>
      </c>
      <c r="B64" s="593">
        <v>720</v>
      </c>
      <c r="C64" s="594" t="s">
        <v>275</v>
      </c>
      <c r="D64" s="511" t="s">
        <v>110</v>
      </c>
      <c r="E64" s="595" t="str">
        <f t="shared" si="11"/>
        <v>✓</v>
      </c>
      <c r="F64" s="595" t="str">
        <f t="shared" si="12"/>
        <v>✓</v>
      </c>
      <c r="G64" s="596">
        <v>36.130000000000003</v>
      </c>
      <c r="H64" s="598">
        <v>34.799999999999997</v>
      </c>
      <c r="I64" s="598"/>
      <c r="J64" s="598"/>
      <c r="K64" s="598"/>
      <c r="L64" s="598"/>
      <c r="M64" s="694">
        <f t="shared" si="14"/>
        <v>35910.684689383073</v>
      </c>
      <c r="N64" s="299"/>
      <c r="O64" s="599">
        <v>6.07</v>
      </c>
      <c r="P64" s="600">
        <v>1</v>
      </c>
      <c r="Q64" s="601">
        <v>35910.699999999997</v>
      </c>
      <c r="R64" s="602">
        <f t="shared" si="15"/>
        <v>1.0000004263526874</v>
      </c>
      <c r="S64" s="158"/>
      <c r="T64" s="159"/>
      <c r="U64" s="159" t="s">
        <v>255</v>
      </c>
      <c r="V64" s="159" t="s">
        <v>305</v>
      </c>
      <c r="W64" s="159">
        <v>2.36</v>
      </c>
      <c r="X64" s="161">
        <v>0.51</v>
      </c>
      <c r="Y64" s="160">
        <v>7957</v>
      </c>
      <c r="Z64" s="158"/>
      <c r="AA64" s="158"/>
      <c r="AB64" s="158"/>
      <c r="AC64" s="158"/>
      <c r="AD64" s="158"/>
      <c r="AE64" s="158"/>
      <c r="AF64" s="158"/>
      <c r="AG64" s="158"/>
      <c r="AH64" s="158"/>
      <c r="AI64" s="158"/>
      <c r="AJ64" s="158"/>
      <c r="AK64" s="158"/>
      <c r="AL64" s="158"/>
      <c r="AM64" s="158"/>
      <c r="AN64" s="158"/>
      <c r="AO64" s="158"/>
      <c r="AP64" s="158"/>
      <c r="AQ64" s="158"/>
      <c r="AR64" s="158"/>
      <c r="AS64" s="158"/>
      <c r="AT64" s="158"/>
      <c r="AU64" s="158"/>
      <c r="AV64" s="158"/>
      <c r="AW64" s="158"/>
      <c r="AX64" s="158"/>
      <c r="AY64" s="158"/>
      <c r="AZ64" s="158"/>
      <c r="BA64" s="406"/>
      <c r="BB64" s="406"/>
      <c r="BC64" s="406"/>
      <c r="BD64" s="406"/>
    </row>
    <row r="65" spans="1:56" x14ac:dyDescent="0.3">
      <c r="A65" s="156" t="str">
        <f t="shared" si="16"/>
        <v>730-00</v>
      </c>
      <c r="B65" s="593">
        <v>730</v>
      </c>
      <c r="C65" s="594" t="s">
        <v>306</v>
      </c>
      <c r="D65" s="511" t="s">
        <v>110</v>
      </c>
      <c r="E65" s="595" t="str">
        <f t="shared" si="11"/>
        <v>X</v>
      </c>
      <c r="F65" s="595" t="str">
        <f t="shared" si="12"/>
        <v>✓</v>
      </c>
      <c r="G65" s="596"/>
      <c r="H65" s="598">
        <v>22.59</v>
      </c>
      <c r="I65" s="598"/>
      <c r="J65" s="598"/>
      <c r="K65" s="598"/>
      <c r="L65" s="598"/>
      <c r="M65" s="694"/>
      <c r="N65" s="299"/>
      <c r="O65" s="599"/>
      <c r="P65" s="603"/>
      <c r="Q65" s="601"/>
      <c r="R65" s="602"/>
      <c r="S65" s="158"/>
      <c r="T65" s="159"/>
      <c r="U65" s="159" t="s">
        <v>257</v>
      </c>
      <c r="V65" s="159" t="s">
        <v>307</v>
      </c>
      <c r="W65" s="159">
        <v>4</v>
      </c>
      <c r="X65" s="161">
        <v>0.57999999999999996</v>
      </c>
      <c r="Y65" s="160">
        <v>12034</v>
      </c>
      <c r="Z65" s="158"/>
      <c r="AA65" s="158"/>
      <c r="AB65" s="158"/>
      <c r="AC65" s="158"/>
      <c r="AD65" s="158"/>
      <c r="AE65" s="158"/>
      <c r="AF65" s="158"/>
      <c r="AG65" s="158"/>
      <c r="AH65" s="158"/>
      <c r="AI65" s="158"/>
      <c r="AJ65" s="158"/>
      <c r="AK65" s="158"/>
      <c r="AL65" s="158"/>
      <c r="AM65" s="158"/>
      <c r="AN65" s="158"/>
      <c r="AO65" s="158"/>
      <c r="AP65" s="158"/>
      <c r="AQ65" s="158"/>
      <c r="AR65" s="158"/>
      <c r="AS65" s="158"/>
      <c r="AT65" s="158"/>
      <c r="AU65" s="158"/>
      <c r="AV65" s="158"/>
      <c r="AW65" s="158"/>
      <c r="AX65" s="158"/>
      <c r="AY65" s="158"/>
      <c r="AZ65" s="158"/>
      <c r="BA65" s="406"/>
      <c r="BB65" s="406"/>
      <c r="BC65" s="406"/>
      <c r="BD65" s="406"/>
    </row>
    <row r="66" spans="1:56" x14ac:dyDescent="0.3">
      <c r="A66" s="156" t="str">
        <f t="shared" si="16"/>
        <v>731-00</v>
      </c>
      <c r="B66" s="593">
        <v>731</v>
      </c>
      <c r="C66" s="594" t="s">
        <v>308</v>
      </c>
      <c r="D66" s="511" t="s">
        <v>110</v>
      </c>
      <c r="E66" s="595" t="str">
        <f t="shared" si="11"/>
        <v>X</v>
      </c>
      <c r="F66" s="595" t="str">
        <f t="shared" si="12"/>
        <v>✓</v>
      </c>
      <c r="G66" s="596"/>
      <c r="H66" s="598">
        <v>11.21</v>
      </c>
      <c r="I66" s="598"/>
      <c r="J66" s="598"/>
      <c r="K66" s="598"/>
      <c r="L66" s="598"/>
      <c r="M66" s="694"/>
      <c r="N66" s="299"/>
      <c r="O66" s="599"/>
      <c r="P66" s="603"/>
      <c r="Q66" s="601"/>
      <c r="R66" s="602"/>
      <c r="S66" s="158"/>
      <c r="T66" s="159"/>
      <c r="U66" s="159" t="s">
        <v>259</v>
      </c>
      <c r="V66" s="159" t="s">
        <v>309</v>
      </c>
      <c r="W66" s="159">
        <v>4</v>
      </c>
      <c r="X66" s="161">
        <v>0.62</v>
      </c>
      <c r="Y66" s="160">
        <v>11162</v>
      </c>
      <c r="Z66" s="158"/>
      <c r="AA66" s="158"/>
      <c r="AB66" s="158"/>
      <c r="AC66" s="158"/>
      <c r="AD66" s="158"/>
      <c r="AE66" s="158"/>
      <c r="AF66" s="158"/>
      <c r="AG66" s="158"/>
      <c r="AH66" s="158"/>
      <c r="AI66" s="158"/>
      <c r="AJ66" s="158"/>
      <c r="AK66" s="158"/>
      <c r="AL66" s="158"/>
      <c r="AM66" s="158"/>
      <c r="AN66" s="158"/>
      <c r="AO66" s="158"/>
      <c r="AP66" s="158"/>
      <c r="AQ66" s="158"/>
      <c r="AR66" s="158"/>
      <c r="AS66" s="158"/>
      <c r="AT66" s="158"/>
      <c r="AU66" s="158"/>
      <c r="AV66" s="158"/>
      <c r="AW66" s="158"/>
      <c r="AX66" s="158"/>
      <c r="AY66" s="158"/>
      <c r="AZ66" s="158"/>
      <c r="BA66" s="406"/>
      <c r="BB66" s="406"/>
      <c r="BC66" s="406"/>
      <c r="BD66" s="406"/>
    </row>
    <row r="67" spans="1:56" x14ac:dyDescent="0.3">
      <c r="A67" s="156" t="str">
        <f t="shared" si="16"/>
        <v>733-00</v>
      </c>
      <c r="B67" s="593">
        <v>733</v>
      </c>
      <c r="C67" s="594" t="s">
        <v>310</v>
      </c>
      <c r="D67" s="511" t="s">
        <v>110</v>
      </c>
      <c r="E67" s="595" t="str">
        <f t="shared" si="11"/>
        <v>X</v>
      </c>
      <c r="F67" s="595" t="str">
        <f t="shared" si="12"/>
        <v>✓</v>
      </c>
      <c r="G67" s="596"/>
      <c r="H67" s="598">
        <v>33.979999999999997</v>
      </c>
      <c r="I67" s="598"/>
      <c r="J67" s="598"/>
      <c r="K67" s="598"/>
      <c r="L67" s="598"/>
      <c r="M67" s="694"/>
      <c r="N67" s="299"/>
      <c r="O67" s="599"/>
      <c r="P67" s="603"/>
      <c r="Q67" s="601"/>
      <c r="R67" s="602"/>
      <c r="S67" s="158"/>
      <c r="T67" s="159"/>
      <c r="U67" s="159" t="s">
        <v>262</v>
      </c>
      <c r="V67" s="159" t="s">
        <v>311</v>
      </c>
      <c r="W67" s="159">
        <v>5.9</v>
      </c>
      <c r="X67" s="161">
        <v>0.64</v>
      </c>
      <c r="Y67" s="160">
        <v>15367</v>
      </c>
      <c r="Z67" s="158"/>
      <c r="AA67" s="158"/>
      <c r="AB67" s="158"/>
      <c r="AC67" s="158"/>
      <c r="AD67" s="158"/>
      <c r="AE67" s="158"/>
      <c r="AF67" s="158"/>
      <c r="AG67" s="158"/>
      <c r="AH67" s="158"/>
      <c r="AI67" s="158"/>
      <c r="AJ67" s="158"/>
      <c r="AK67" s="158"/>
      <c r="AL67" s="158"/>
      <c r="AM67" s="158"/>
      <c r="AN67" s="158"/>
      <c r="AO67" s="158"/>
      <c r="AP67" s="158"/>
      <c r="AQ67" s="158"/>
      <c r="AR67" s="158"/>
      <c r="AS67" s="158"/>
      <c r="AT67" s="158"/>
      <c r="AU67" s="158"/>
      <c r="AV67" s="158"/>
      <c r="AW67" s="158"/>
      <c r="AX67" s="158"/>
      <c r="AY67" s="158"/>
      <c r="AZ67" s="158"/>
      <c r="BA67" s="406"/>
      <c r="BB67" s="406"/>
      <c r="BC67" s="406"/>
      <c r="BD67" s="406"/>
    </row>
    <row r="68" spans="1:56" x14ac:dyDescent="0.3">
      <c r="A68" s="156" t="str">
        <f t="shared" si="16"/>
        <v>750-00</v>
      </c>
      <c r="B68" s="593">
        <v>750</v>
      </c>
      <c r="C68" s="594" t="s">
        <v>312</v>
      </c>
      <c r="D68" s="511" t="s">
        <v>110</v>
      </c>
      <c r="E68" s="595" t="str">
        <f t="shared" si="11"/>
        <v>✓</v>
      </c>
      <c r="F68" s="595" t="str">
        <f t="shared" si="12"/>
        <v>✓</v>
      </c>
      <c r="G68" s="596">
        <v>11.42</v>
      </c>
      <c r="H68" s="598">
        <v>11.07</v>
      </c>
      <c r="I68" s="598"/>
      <c r="J68" s="598"/>
      <c r="K68" s="598"/>
      <c r="L68" s="598"/>
      <c r="M68" s="694">
        <f t="shared" si="14"/>
        <v>11350.678636943112</v>
      </c>
      <c r="N68" s="299"/>
      <c r="O68" s="599">
        <v>6.07</v>
      </c>
      <c r="P68" s="600">
        <v>1</v>
      </c>
      <c r="Q68" s="601">
        <v>11350.1</v>
      </c>
      <c r="R68" s="602">
        <f t="shared" si="15"/>
        <v>0.99994902181960921</v>
      </c>
      <c r="S68" s="158"/>
      <c r="T68" s="159"/>
      <c r="U68" s="159" t="s">
        <v>265</v>
      </c>
      <c r="V68" s="159" t="s">
        <v>313</v>
      </c>
      <c r="W68" s="159">
        <v>5.9</v>
      </c>
      <c r="X68" s="161">
        <v>0.66</v>
      </c>
      <c r="Y68" s="160">
        <v>14657</v>
      </c>
      <c r="Z68" s="158"/>
      <c r="AA68" s="158"/>
      <c r="AB68" s="158"/>
      <c r="AC68" s="158"/>
      <c r="AD68" s="158"/>
      <c r="AE68" s="158"/>
      <c r="AF68" s="158"/>
      <c r="AG68" s="158"/>
      <c r="AH68" s="158"/>
      <c r="AI68" s="158"/>
      <c r="AJ68" s="158"/>
      <c r="AK68" s="158"/>
      <c r="AL68" s="158"/>
      <c r="AM68" s="158"/>
      <c r="AN68" s="158"/>
      <c r="AO68" s="158"/>
      <c r="AP68" s="158"/>
      <c r="AQ68" s="158"/>
      <c r="AR68" s="158"/>
      <c r="AS68" s="158"/>
      <c r="AT68" s="158"/>
      <c r="AU68" s="158"/>
      <c r="AV68" s="158"/>
      <c r="AW68" s="158"/>
      <c r="AX68" s="158"/>
      <c r="AY68" s="158"/>
      <c r="AZ68" s="158"/>
      <c r="BA68" s="406"/>
      <c r="BB68" s="406"/>
      <c r="BC68" s="406"/>
      <c r="BD68" s="406"/>
    </row>
    <row r="69" spans="1:56" x14ac:dyDescent="0.3">
      <c r="A69" s="156" t="str">
        <f t="shared" si="16"/>
        <v>760-00</v>
      </c>
      <c r="B69" s="593">
        <v>760</v>
      </c>
      <c r="C69" s="594" t="s">
        <v>281</v>
      </c>
      <c r="D69" s="511" t="s">
        <v>110</v>
      </c>
      <c r="E69" s="595" t="str">
        <f t="shared" si="11"/>
        <v>✓</v>
      </c>
      <c r="F69" s="595" t="str">
        <f t="shared" si="12"/>
        <v>✓</v>
      </c>
      <c r="G69" s="596">
        <v>8.11</v>
      </c>
      <c r="H69" s="598">
        <v>11.26</v>
      </c>
      <c r="I69" s="598"/>
      <c r="J69" s="598"/>
      <c r="K69" s="598"/>
      <c r="L69" s="598"/>
      <c r="M69" s="694">
        <f t="shared" si="14"/>
        <v>8060.7709059201943</v>
      </c>
      <c r="N69" s="299"/>
      <c r="O69" s="599">
        <v>6.07</v>
      </c>
      <c r="P69" s="600">
        <v>1</v>
      </c>
      <c r="Q69" s="601">
        <v>8060.1</v>
      </c>
      <c r="R69" s="602">
        <f t="shared" si="15"/>
        <v>0.99991676901278748</v>
      </c>
      <c r="S69" s="158"/>
      <c r="T69" s="159"/>
      <c r="U69" s="159" t="s">
        <v>267</v>
      </c>
      <c r="V69" s="159" t="s">
        <v>314</v>
      </c>
      <c r="W69" s="159">
        <v>5.9</v>
      </c>
      <c r="X69" s="161">
        <v>0.67</v>
      </c>
      <c r="Y69" s="160">
        <v>13959</v>
      </c>
      <c r="Z69" s="158"/>
      <c r="AA69" s="158"/>
      <c r="AB69" s="158"/>
      <c r="AC69" s="158"/>
      <c r="AD69" s="158"/>
      <c r="AE69" s="158"/>
      <c r="AF69" s="158"/>
      <c r="AG69" s="158"/>
      <c r="AH69" s="158"/>
      <c r="AI69" s="158"/>
      <c r="AJ69" s="158"/>
      <c r="AK69" s="158"/>
      <c r="AL69" s="158"/>
      <c r="AM69" s="158"/>
      <c r="AN69" s="158"/>
      <c r="AO69" s="158"/>
      <c r="AP69" s="158"/>
      <c r="AQ69" s="158"/>
      <c r="AR69" s="158"/>
      <c r="AS69" s="158"/>
      <c r="AT69" s="158"/>
      <c r="AU69" s="158"/>
      <c r="AV69" s="158"/>
      <c r="AW69" s="158"/>
      <c r="AX69" s="158"/>
      <c r="AY69" s="158"/>
      <c r="AZ69" s="158"/>
      <c r="BA69" s="406"/>
      <c r="BB69" s="406"/>
      <c r="BC69" s="406"/>
      <c r="BD69" s="406"/>
    </row>
    <row r="70" spans="1:56" x14ac:dyDescent="0.3">
      <c r="A70" s="156" t="str">
        <f t="shared" si="16"/>
        <v>770-00</v>
      </c>
      <c r="B70" s="593">
        <v>770</v>
      </c>
      <c r="C70" s="594" t="s">
        <v>284</v>
      </c>
      <c r="D70" s="511" t="s">
        <v>110</v>
      </c>
      <c r="E70" s="595" t="str">
        <f t="shared" si="11"/>
        <v>✓</v>
      </c>
      <c r="F70" s="595" t="str">
        <f t="shared" si="12"/>
        <v>✓</v>
      </c>
      <c r="G70" s="596">
        <v>12.76</v>
      </c>
      <c r="H70" s="598">
        <v>12.44</v>
      </c>
      <c r="I70" s="598"/>
      <c r="J70" s="598"/>
      <c r="K70" s="598"/>
      <c r="L70" s="598"/>
      <c r="M70" s="694">
        <f t="shared" si="14"/>
        <v>12682.544606601938</v>
      </c>
      <c r="N70" s="299"/>
      <c r="O70" s="599">
        <v>6.07</v>
      </c>
      <c r="P70" s="600">
        <v>1</v>
      </c>
      <c r="Q70" s="601">
        <v>12682.3</v>
      </c>
      <c r="R70" s="602">
        <f t="shared" si="15"/>
        <v>0.99998071312898751</v>
      </c>
      <c r="S70" s="158"/>
      <c r="T70" s="159"/>
      <c r="U70" s="159" t="s">
        <v>315</v>
      </c>
      <c r="V70" s="159" t="s">
        <v>316</v>
      </c>
      <c r="W70" s="159">
        <v>5.9</v>
      </c>
      <c r="X70" s="161">
        <v>0.69</v>
      </c>
      <c r="Y70" s="160">
        <v>12999</v>
      </c>
      <c r="Z70" s="158"/>
      <c r="AA70" s="158"/>
      <c r="AB70" s="158"/>
      <c r="AC70" s="158"/>
      <c r="AD70" s="158"/>
      <c r="AE70" s="158"/>
      <c r="AF70" s="158"/>
      <c r="AG70" s="158"/>
      <c r="AH70" s="158"/>
      <c r="AI70" s="158"/>
      <c r="AJ70" s="158"/>
      <c r="AK70" s="158"/>
      <c r="AL70" s="158"/>
      <c r="AM70" s="158"/>
      <c r="AN70" s="158"/>
      <c r="AO70" s="158"/>
      <c r="AP70" s="158"/>
      <c r="AQ70" s="158"/>
      <c r="AR70" s="158"/>
      <c r="AS70" s="158"/>
      <c r="AT70" s="158"/>
      <c r="AU70" s="158"/>
      <c r="AV70" s="158"/>
      <c r="AW70" s="158"/>
      <c r="AX70" s="158"/>
      <c r="AY70" s="158"/>
      <c r="AZ70" s="158"/>
      <c r="BA70" s="406"/>
      <c r="BB70" s="406"/>
      <c r="BC70" s="406"/>
      <c r="BD70" s="406"/>
    </row>
    <row r="71" spans="1:56" x14ac:dyDescent="0.3">
      <c r="A71" s="156" t="str">
        <f t="shared" si="16"/>
        <v>812-00</v>
      </c>
      <c r="B71" s="593">
        <v>812</v>
      </c>
      <c r="C71" s="594" t="s">
        <v>317</v>
      </c>
      <c r="D71" s="511" t="s">
        <v>110</v>
      </c>
      <c r="E71" s="595" t="str">
        <f t="shared" ref="E71:E108" si="17">IF(G71,"✓","X")</f>
        <v>X</v>
      </c>
      <c r="F71" s="595" t="str">
        <f t="shared" ref="F71:F108" si="18">IF(H71,"✓","X")</f>
        <v>✓</v>
      </c>
      <c r="G71" s="596"/>
      <c r="H71" s="598">
        <v>18.05</v>
      </c>
      <c r="I71" s="598"/>
      <c r="J71" s="598"/>
      <c r="K71" s="598"/>
      <c r="L71" s="598"/>
      <c r="M71" s="694"/>
      <c r="N71" s="299"/>
      <c r="O71" s="599"/>
      <c r="P71" s="603"/>
      <c r="Q71" s="601"/>
      <c r="R71" s="602"/>
      <c r="S71" s="158"/>
      <c r="T71" s="159"/>
      <c r="U71" s="159" t="s">
        <v>318</v>
      </c>
      <c r="V71" s="159" t="s">
        <v>319</v>
      </c>
      <c r="W71" s="159">
        <v>5.9</v>
      </c>
      <c r="X71" s="161">
        <v>0.71</v>
      </c>
      <c r="Y71" s="160">
        <v>11606</v>
      </c>
      <c r="Z71" s="158"/>
      <c r="AA71" s="158"/>
      <c r="AB71" s="158"/>
      <c r="AC71" s="158"/>
      <c r="AD71" s="158"/>
      <c r="AE71" s="158"/>
      <c r="AF71" s="158"/>
      <c r="AG71" s="158"/>
      <c r="AH71" s="158"/>
      <c r="AI71" s="158"/>
      <c r="AJ71" s="158"/>
      <c r="AK71" s="158"/>
      <c r="AL71" s="158"/>
      <c r="AM71" s="158"/>
      <c r="AN71" s="158"/>
      <c r="AO71" s="158"/>
      <c r="AP71" s="158"/>
      <c r="AQ71" s="158"/>
      <c r="AR71" s="158"/>
      <c r="AS71" s="158"/>
      <c r="AT71" s="158"/>
      <c r="AU71" s="158"/>
      <c r="AV71" s="158"/>
      <c r="AW71" s="158"/>
      <c r="AX71" s="158"/>
      <c r="AY71" s="158"/>
      <c r="AZ71" s="158"/>
      <c r="BA71" s="406"/>
      <c r="BB71" s="406"/>
      <c r="BC71" s="406"/>
      <c r="BD71" s="406"/>
    </row>
    <row r="72" spans="1:56" x14ac:dyDescent="0.3">
      <c r="A72" s="156" t="str">
        <f t="shared" si="16"/>
        <v>813-00</v>
      </c>
      <c r="B72" s="593">
        <v>813</v>
      </c>
      <c r="C72" s="594" t="s">
        <v>320</v>
      </c>
      <c r="D72" s="511" t="s">
        <v>110</v>
      </c>
      <c r="E72" s="595" t="str">
        <f t="shared" si="17"/>
        <v>✓</v>
      </c>
      <c r="F72" s="595" t="str">
        <f t="shared" si="18"/>
        <v>✓</v>
      </c>
      <c r="G72" s="596">
        <v>50.75</v>
      </c>
      <c r="H72" s="598">
        <v>50.7</v>
      </c>
      <c r="I72" s="598"/>
      <c r="J72" s="598"/>
      <c r="K72" s="598"/>
      <c r="L72" s="598"/>
      <c r="M72" s="694">
        <f t="shared" si="14"/>
        <v>20592.277477358577</v>
      </c>
      <c r="N72" s="299"/>
      <c r="O72" s="599">
        <v>5.9</v>
      </c>
      <c r="P72" s="600">
        <v>0.42</v>
      </c>
      <c r="Q72" s="601">
        <v>20592.7</v>
      </c>
      <c r="R72" s="602">
        <f t="shared" si="15"/>
        <v>1.0000205184998059</v>
      </c>
      <c r="S72" s="158"/>
      <c r="T72" s="159"/>
      <c r="U72" s="159" t="s">
        <v>321</v>
      </c>
      <c r="V72" s="159" t="s">
        <v>322</v>
      </c>
      <c r="W72" s="159">
        <v>5.9</v>
      </c>
      <c r="X72" s="161">
        <v>0.72</v>
      </c>
      <c r="Y72" s="160">
        <v>11444</v>
      </c>
      <c r="Z72" s="158"/>
      <c r="AA72" s="158"/>
      <c r="AB72" s="158"/>
      <c r="AC72" s="158"/>
      <c r="AD72" s="158"/>
      <c r="AE72" s="158"/>
      <c r="AF72" s="158"/>
      <c r="AG72" s="158"/>
      <c r="AH72" s="158"/>
      <c r="AI72" s="158"/>
      <c r="AJ72" s="158"/>
      <c r="AK72" s="158"/>
      <c r="AL72" s="158"/>
      <c r="AM72" s="158"/>
      <c r="AN72" s="158"/>
      <c r="AO72" s="158"/>
      <c r="AP72" s="158"/>
      <c r="AQ72" s="158"/>
      <c r="AR72" s="158"/>
      <c r="AS72" s="158"/>
      <c r="AT72" s="158"/>
      <c r="AU72" s="158"/>
      <c r="AV72" s="158"/>
      <c r="AW72" s="158"/>
      <c r="AX72" s="158"/>
      <c r="AY72" s="158"/>
      <c r="AZ72" s="158"/>
    </row>
    <row r="73" spans="1:56" x14ac:dyDescent="0.3">
      <c r="A73" s="156" t="str">
        <f t="shared" si="16"/>
        <v>816-00</v>
      </c>
      <c r="B73" s="606">
        <v>816</v>
      </c>
      <c r="C73" s="607" t="s">
        <v>323</v>
      </c>
      <c r="D73" s="608" t="s">
        <v>110</v>
      </c>
      <c r="E73" s="609" t="str">
        <f t="shared" si="17"/>
        <v>✓</v>
      </c>
      <c r="F73" s="609" t="str">
        <f t="shared" si="18"/>
        <v>✓</v>
      </c>
      <c r="G73" s="610">
        <v>51.29</v>
      </c>
      <c r="H73" s="611">
        <v>9.14</v>
      </c>
      <c r="I73" s="611"/>
      <c r="J73" s="611"/>
      <c r="K73" s="611"/>
      <c r="L73" s="611"/>
      <c r="M73" s="695">
        <f t="shared" si="14"/>
        <v>37163.191830180207</v>
      </c>
      <c r="N73" s="697"/>
      <c r="O73" s="612">
        <v>5.9</v>
      </c>
      <c r="P73" s="613">
        <v>0.75</v>
      </c>
      <c r="Q73" s="601">
        <v>14865.5</v>
      </c>
      <c r="R73" s="602">
        <f t="shared" si="15"/>
        <v>0.40000600777050954</v>
      </c>
      <c r="S73" s="158"/>
      <c r="T73" s="159">
        <v>841</v>
      </c>
      <c r="U73" s="159" t="s">
        <v>324</v>
      </c>
      <c r="V73" s="159"/>
      <c r="W73" s="159"/>
      <c r="X73" s="159"/>
      <c r="Y73" s="159"/>
      <c r="Z73" s="158"/>
      <c r="AA73" s="158"/>
      <c r="AB73" s="158"/>
      <c r="AC73" s="158"/>
      <c r="AD73" s="158"/>
      <c r="AE73" s="158"/>
      <c r="AF73" s="158"/>
      <c r="AG73" s="158"/>
      <c r="AH73" s="158"/>
      <c r="AI73" s="158"/>
      <c r="AJ73" s="158"/>
      <c r="AK73" s="158"/>
      <c r="AL73" s="158"/>
      <c r="AM73" s="158"/>
      <c r="AN73" s="158"/>
      <c r="AO73" s="158"/>
      <c r="AP73" s="158"/>
      <c r="AQ73" s="158"/>
      <c r="AR73" s="158"/>
      <c r="AS73" s="158"/>
      <c r="AT73" s="158"/>
      <c r="AU73" s="158"/>
      <c r="AV73" s="158"/>
      <c r="AW73" s="158"/>
      <c r="AX73" s="158"/>
      <c r="AY73" s="158"/>
      <c r="AZ73" s="158"/>
    </row>
    <row r="74" spans="1:56" x14ac:dyDescent="0.3">
      <c r="A74" s="156" t="str">
        <f t="shared" si="16"/>
        <v>817-00</v>
      </c>
      <c r="B74" s="593">
        <v>817</v>
      </c>
      <c r="C74" s="594" t="s">
        <v>325</v>
      </c>
      <c r="D74" s="511" t="s">
        <v>110</v>
      </c>
      <c r="E74" s="595" t="str">
        <f t="shared" si="17"/>
        <v>✓</v>
      </c>
      <c r="F74" s="595" t="str">
        <f t="shared" si="18"/>
        <v>✓</v>
      </c>
      <c r="G74" s="596">
        <v>36.08</v>
      </c>
      <c r="H74" s="598">
        <v>68.099999999999994</v>
      </c>
      <c r="I74" s="598"/>
      <c r="J74" s="598"/>
      <c r="K74" s="598"/>
      <c r="L74" s="598"/>
      <c r="M74" s="694">
        <f t="shared" si="14"/>
        <v>17723.717396035197</v>
      </c>
      <c r="N74" s="299"/>
      <c r="O74" s="599">
        <v>4</v>
      </c>
      <c r="P74" s="600">
        <v>0.75</v>
      </c>
      <c r="Q74" s="601">
        <v>17723.2</v>
      </c>
      <c r="R74" s="602">
        <f t="shared" si="15"/>
        <v>0.99997080770226499</v>
      </c>
      <c r="S74" s="158"/>
      <c r="T74" s="159"/>
      <c r="U74" s="159" t="s">
        <v>326</v>
      </c>
      <c r="V74" s="159" t="s">
        <v>327</v>
      </c>
      <c r="W74" s="159">
        <v>5.9</v>
      </c>
      <c r="X74" s="161">
        <v>0.75</v>
      </c>
      <c r="Y74" s="160">
        <v>14457</v>
      </c>
      <c r="Z74" s="158"/>
      <c r="AA74" s="158"/>
      <c r="AB74" s="158"/>
      <c r="AC74" s="158"/>
      <c r="AD74" s="158"/>
      <c r="AE74" s="158"/>
      <c r="AF74" s="158"/>
      <c r="AG74" s="158"/>
      <c r="AH74" s="158"/>
      <c r="AI74" s="158"/>
      <c r="AJ74" s="158"/>
      <c r="AK74" s="158"/>
      <c r="AL74" s="158"/>
      <c r="AM74" s="158"/>
      <c r="AN74" s="158"/>
      <c r="AO74" s="158"/>
      <c r="AP74" s="158"/>
      <c r="AQ74" s="158"/>
      <c r="AR74" s="158"/>
      <c r="AS74" s="158"/>
      <c r="AT74" s="158"/>
      <c r="AU74" s="158"/>
      <c r="AV74" s="158"/>
      <c r="AW74" s="158"/>
      <c r="AX74" s="158"/>
      <c r="AY74" s="158"/>
      <c r="AZ74" s="158"/>
    </row>
    <row r="75" spans="1:56" x14ac:dyDescent="0.3">
      <c r="A75" s="156" t="str">
        <f t="shared" si="16"/>
        <v>820-00</v>
      </c>
      <c r="B75" s="593">
        <v>820</v>
      </c>
      <c r="C75" s="594" t="s">
        <v>328</v>
      </c>
      <c r="D75" s="511" t="s">
        <v>110</v>
      </c>
      <c r="E75" s="595" t="str">
        <f t="shared" si="17"/>
        <v>X</v>
      </c>
      <c r="F75" s="595" t="str">
        <f t="shared" si="18"/>
        <v>✓</v>
      </c>
      <c r="G75" s="596"/>
      <c r="H75" s="598">
        <v>37.75</v>
      </c>
      <c r="I75" s="598"/>
      <c r="J75" s="598"/>
      <c r="K75" s="598"/>
      <c r="L75" s="598"/>
      <c r="M75" s="694"/>
      <c r="N75" s="299"/>
      <c r="O75" s="599"/>
      <c r="P75" s="603"/>
      <c r="Q75" s="601"/>
      <c r="R75" s="602"/>
      <c r="S75" s="158"/>
      <c r="T75" s="159"/>
      <c r="U75" s="159" t="s">
        <v>329</v>
      </c>
      <c r="V75" s="159" t="s">
        <v>330</v>
      </c>
      <c r="W75" s="159">
        <v>5.9</v>
      </c>
      <c r="X75" s="161">
        <v>0.75</v>
      </c>
      <c r="Y75" s="160">
        <v>9236</v>
      </c>
      <c r="Z75" s="158"/>
      <c r="AA75" s="158"/>
      <c r="AB75" s="158"/>
      <c r="AC75" s="158"/>
      <c r="AD75" s="158"/>
      <c r="AE75" s="158"/>
      <c r="AF75" s="158"/>
      <c r="AG75" s="158"/>
      <c r="AH75" s="158"/>
      <c r="AI75" s="158"/>
      <c r="AJ75" s="158"/>
      <c r="AK75" s="158"/>
      <c r="AL75" s="158"/>
      <c r="AM75" s="158"/>
      <c r="AN75" s="158"/>
      <c r="AO75" s="158"/>
      <c r="AP75" s="158"/>
      <c r="AQ75" s="158"/>
      <c r="AR75" s="158"/>
      <c r="AS75" s="158"/>
      <c r="AT75" s="158"/>
      <c r="AU75" s="158"/>
      <c r="AV75" s="158"/>
      <c r="AW75" s="158"/>
      <c r="AX75" s="158"/>
      <c r="AY75" s="158"/>
      <c r="AZ75" s="158"/>
    </row>
    <row r="76" spans="1:56" x14ac:dyDescent="0.3">
      <c r="A76" s="156" t="str">
        <f t="shared" si="16"/>
        <v>820-00</v>
      </c>
      <c r="B76" s="593">
        <v>820</v>
      </c>
      <c r="C76" s="604" t="s">
        <v>331</v>
      </c>
      <c r="D76" s="511" t="s">
        <v>110</v>
      </c>
      <c r="E76" s="595" t="str">
        <f t="shared" si="17"/>
        <v>✓</v>
      </c>
      <c r="F76" s="595" t="str">
        <f t="shared" si="18"/>
        <v>✓</v>
      </c>
      <c r="G76" s="596">
        <v>152.03</v>
      </c>
      <c r="H76" s="605">
        <f>EXP((0.68*(LN(N76/1000)))+5.57)/(N76/1000)</f>
        <v>156.80137359044605</v>
      </c>
      <c r="I76" s="598"/>
      <c r="J76" s="598"/>
      <c r="K76" s="598"/>
      <c r="L76" s="598"/>
      <c r="M76" s="694">
        <f t="shared" si="14"/>
        <v>18800.019936429817</v>
      </c>
      <c r="N76" s="698">
        <v>5000</v>
      </c>
      <c r="O76" s="599">
        <v>2.36</v>
      </c>
      <c r="P76" s="600">
        <v>0.32</v>
      </c>
      <c r="Q76" s="601">
        <v>18799.7</v>
      </c>
      <c r="R76" s="602">
        <f t="shared" si="15"/>
        <v>0.99998298212284364</v>
      </c>
      <c r="S76" s="158"/>
      <c r="T76" s="159">
        <v>848</v>
      </c>
      <c r="U76" s="159" t="s">
        <v>332</v>
      </c>
      <c r="V76" s="159" t="s">
        <v>333</v>
      </c>
      <c r="W76" s="159">
        <v>5.9</v>
      </c>
      <c r="X76" s="161">
        <v>1</v>
      </c>
      <c r="Y76" s="160">
        <v>14285</v>
      </c>
      <c r="Z76" s="158"/>
      <c r="AA76" s="158"/>
      <c r="AB76" s="158"/>
      <c r="AC76" s="158"/>
      <c r="AD76" s="158"/>
      <c r="AE76" s="158"/>
      <c r="AF76" s="158"/>
      <c r="AG76" s="158"/>
      <c r="AH76" s="158"/>
      <c r="AI76" s="158"/>
      <c r="AJ76" s="158"/>
      <c r="AK76" s="158"/>
      <c r="AL76" s="158"/>
      <c r="AM76" s="158"/>
      <c r="AN76" s="158"/>
      <c r="AO76" s="158"/>
      <c r="AP76" s="158"/>
      <c r="AQ76" s="158"/>
      <c r="AR76" s="158"/>
      <c r="AS76" s="158"/>
      <c r="AT76" s="158"/>
      <c r="AU76" s="158"/>
      <c r="AV76" s="158"/>
      <c r="AW76" s="158"/>
      <c r="AX76" s="158"/>
      <c r="AY76" s="158"/>
      <c r="AZ76" s="158"/>
    </row>
    <row r="77" spans="1:56" x14ac:dyDescent="0.3">
      <c r="A77" s="156" t="str">
        <f>B77&amp;"-01"</f>
        <v>820-01</v>
      </c>
      <c r="B77" s="593">
        <v>820</v>
      </c>
      <c r="C77" s="604" t="s">
        <v>334</v>
      </c>
      <c r="D77" s="511" t="s">
        <v>110</v>
      </c>
      <c r="E77" s="595" t="str">
        <f t="shared" si="17"/>
        <v>✓</v>
      </c>
      <c r="F77" s="595" t="str">
        <f t="shared" si="18"/>
        <v>✓</v>
      </c>
      <c r="G77" s="596">
        <v>86.56</v>
      </c>
      <c r="H77" s="605">
        <f t="shared" ref="H77:H87" si="19">EXP((0.68*(LN(N77/1000)))+5.57)/(N77/1000)</f>
        <v>88.3774492278785</v>
      </c>
      <c r="I77" s="598"/>
      <c r="J77" s="598"/>
      <c r="K77" s="598"/>
      <c r="L77" s="598"/>
      <c r="M77" s="694">
        <f t="shared" si="14"/>
        <v>14049.005229084994</v>
      </c>
      <c r="N77" s="698">
        <v>30000</v>
      </c>
      <c r="O77" s="599">
        <v>2.36</v>
      </c>
      <c r="P77" s="600">
        <v>0.42</v>
      </c>
      <c r="Q77" s="601">
        <v>14048.1</v>
      </c>
      <c r="R77" s="602">
        <f t="shared" si="15"/>
        <v>0.99993556632158409</v>
      </c>
      <c r="S77" s="158"/>
      <c r="T77" s="159">
        <v>850</v>
      </c>
      <c r="U77" s="159" t="s">
        <v>335</v>
      </c>
      <c r="V77" s="159">
        <v>102.24</v>
      </c>
      <c r="W77" s="159">
        <v>2.36</v>
      </c>
      <c r="X77" s="161">
        <v>0.5</v>
      </c>
      <c r="Y77" s="160">
        <v>11742</v>
      </c>
      <c r="Z77" s="158"/>
      <c r="AA77" s="158"/>
      <c r="AB77" s="158"/>
      <c r="AC77" s="158"/>
      <c r="AD77" s="158"/>
      <c r="AE77" s="158"/>
      <c r="AF77" s="158"/>
      <c r="AG77" s="158"/>
      <c r="AH77" s="158"/>
      <c r="AI77" s="158"/>
      <c r="AJ77" s="158"/>
      <c r="AK77" s="158"/>
      <c r="AL77" s="158"/>
      <c r="AM77" s="158"/>
      <c r="AN77" s="158"/>
      <c r="AO77" s="158"/>
      <c r="AP77" s="158"/>
      <c r="AQ77" s="158"/>
      <c r="AR77" s="158"/>
      <c r="AS77" s="158"/>
      <c r="AT77" s="158"/>
      <c r="AU77" s="158"/>
      <c r="AV77" s="158"/>
      <c r="AW77" s="158"/>
      <c r="AX77" s="158"/>
      <c r="AY77" s="158"/>
      <c r="AZ77" s="158"/>
    </row>
    <row r="78" spans="1:56" x14ac:dyDescent="0.3">
      <c r="A78" s="156" t="str">
        <f>B78&amp;"-02"</f>
        <v>820-02</v>
      </c>
      <c r="B78" s="593">
        <v>820</v>
      </c>
      <c r="C78" s="604" t="s">
        <v>271</v>
      </c>
      <c r="D78" s="511" t="s">
        <v>110</v>
      </c>
      <c r="E78" s="595" t="str">
        <f t="shared" si="17"/>
        <v>✓</v>
      </c>
      <c r="F78" s="595" t="str">
        <f t="shared" si="18"/>
        <v>✓</v>
      </c>
      <c r="G78" s="596">
        <v>67.91</v>
      </c>
      <c r="H78" s="605">
        <f t="shared" si="19"/>
        <v>65.917489686786567</v>
      </c>
      <c r="I78" s="598"/>
      <c r="J78" s="598"/>
      <c r="K78" s="598"/>
      <c r="L78" s="598"/>
      <c r="M78" s="694">
        <f t="shared" si="14"/>
        <v>13383.907996783199</v>
      </c>
      <c r="N78" s="698">
        <v>75000</v>
      </c>
      <c r="O78" s="599">
        <v>2.36</v>
      </c>
      <c r="P78" s="600">
        <v>0.51</v>
      </c>
      <c r="Q78" s="601">
        <v>13383.7</v>
      </c>
      <c r="R78" s="602">
        <f t="shared" si="15"/>
        <v>0.99998445918910617</v>
      </c>
      <c r="S78" s="158"/>
      <c r="T78" s="159">
        <v>851</v>
      </c>
      <c r="U78" s="159" t="s">
        <v>336</v>
      </c>
      <c r="V78" s="159" t="s">
        <v>337</v>
      </c>
      <c r="W78" s="159">
        <v>1.25</v>
      </c>
      <c r="X78" s="161">
        <v>0.35</v>
      </c>
      <c r="Y78" s="160">
        <v>31432</v>
      </c>
      <c r="Z78" s="158"/>
      <c r="AA78" s="158"/>
      <c r="AB78" s="158"/>
      <c r="AC78" s="158"/>
      <c r="AD78" s="158"/>
      <c r="AE78" s="158"/>
      <c r="AF78" s="158"/>
      <c r="AG78" s="158"/>
      <c r="AH78" s="158"/>
      <c r="AI78" s="158"/>
      <c r="AJ78" s="158"/>
      <c r="AK78" s="158"/>
      <c r="AL78" s="158"/>
      <c r="AM78" s="158"/>
      <c r="AN78" s="158"/>
      <c r="AO78" s="158"/>
      <c r="AP78" s="158"/>
      <c r="AQ78" s="158"/>
      <c r="AR78" s="158"/>
      <c r="AS78" s="158"/>
      <c r="AT78" s="158"/>
      <c r="AU78" s="158"/>
      <c r="AV78" s="158"/>
      <c r="AW78" s="158"/>
      <c r="AX78" s="158"/>
      <c r="AY78" s="158"/>
      <c r="AZ78" s="158"/>
    </row>
    <row r="79" spans="1:56" x14ac:dyDescent="0.3">
      <c r="A79" s="156" t="str">
        <f>B79&amp;"-03"</f>
        <v>820-03</v>
      </c>
      <c r="B79" s="593">
        <v>820</v>
      </c>
      <c r="C79" s="604" t="s">
        <v>338</v>
      </c>
      <c r="D79" s="511" t="s">
        <v>110</v>
      </c>
      <c r="E79" s="595" t="str">
        <f t="shared" si="17"/>
        <v>✓</v>
      </c>
      <c r="F79" s="595" t="str">
        <f t="shared" si="18"/>
        <v>✓</v>
      </c>
      <c r="G79" s="596">
        <v>53.28</v>
      </c>
      <c r="H79" s="605">
        <f t="shared" si="19"/>
        <v>52.804515394409307</v>
      </c>
      <c r="I79" s="598"/>
      <c r="J79" s="598"/>
      <c r="K79" s="598"/>
      <c r="L79" s="598"/>
      <c r="M79" s="694">
        <f t="shared" si="14"/>
        <v>20240.406668855809</v>
      </c>
      <c r="N79" s="698">
        <v>150000</v>
      </c>
      <c r="O79" s="599">
        <v>4</v>
      </c>
      <c r="P79" s="600">
        <v>0.57999999999999996</v>
      </c>
      <c r="Q79" s="601">
        <v>20241.2</v>
      </c>
      <c r="R79" s="602">
        <f t="shared" si="15"/>
        <v>1.0000391954152488</v>
      </c>
      <c r="S79" s="158"/>
      <c r="T79" s="159">
        <v>853</v>
      </c>
      <c r="U79" s="159" t="s">
        <v>339</v>
      </c>
      <c r="V79" s="159" t="s">
        <v>340</v>
      </c>
      <c r="W79" s="159">
        <v>1.25</v>
      </c>
      <c r="X79" s="161">
        <v>0.35</v>
      </c>
      <c r="Y79" s="160">
        <v>36015</v>
      </c>
      <c r="Z79" s="158"/>
      <c r="AA79" s="158"/>
      <c r="AB79" s="158"/>
      <c r="AC79" s="158"/>
      <c r="AD79" s="158"/>
      <c r="AE79" s="158"/>
      <c r="AF79" s="158"/>
      <c r="AG79" s="158"/>
      <c r="AH79" s="158"/>
      <c r="AI79" s="158"/>
      <c r="AJ79" s="158"/>
      <c r="AK79" s="158"/>
      <c r="AL79" s="158"/>
      <c r="AM79" s="158"/>
      <c r="AN79" s="158"/>
      <c r="AO79" s="158"/>
      <c r="AP79" s="158"/>
      <c r="AQ79" s="158"/>
      <c r="AR79" s="158"/>
      <c r="AS79" s="158"/>
      <c r="AT79" s="158"/>
      <c r="AU79" s="158"/>
      <c r="AV79" s="158"/>
      <c r="AW79" s="158"/>
      <c r="AX79" s="158"/>
      <c r="AY79" s="158"/>
      <c r="AZ79" s="158"/>
    </row>
    <row r="80" spans="1:56" x14ac:dyDescent="0.3">
      <c r="A80" s="156" t="str">
        <f>B80&amp;"-04"</f>
        <v>820-04</v>
      </c>
      <c r="B80" s="593">
        <v>820</v>
      </c>
      <c r="C80" s="604" t="s">
        <v>280</v>
      </c>
      <c r="D80" s="511" t="s">
        <v>110</v>
      </c>
      <c r="E80" s="595" t="str">
        <f t="shared" si="17"/>
        <v>✓</v>
      </c>
      <c r="F80" s="595" t="str">
        <f t="shared" si="18"/>
        <v>✓</v>
      </c>
      <c r="G80" s="596">
        <v>46.23</v>
      </c>
      <c r="H80" s="605">
        <f t="shared" si="19"/>
        <v>44.841430781139344</v>
      </c>
      <c r="I80" s="598"/>
      <c r="J80" s="598"/>
      <c r="K80" s="598"/>
      <c r="L80" s="598"/>
      <c r="M80" s="694">
        <f t="shared" si="14"/>
        <v>18773.385891928989</v>
      </c>
      <c r="N80" s="698">
        <v>250000</v>
      </c>
      <c r="O80" s="599">
        <v>4</v>
      </c>
      <c r="P80" s="600">
        <v>0.62</v>
      </c>
      <c r="Q80" s="601">
        <v>18774.5</v>
      </c>
      <c r="R80" s="602">
        <f t="shared" si="15"/>
        <v>1.0000593450791149</v>
      </c>
      <c r="S80" s="158"/>
      <c r="T80" s="159">
        <v>862</v>
      </c>
      <c r="U80" s="159" t="s">
        <v>341</v>
      </c>
      <c r="V80" s="159" t="s">
        <v>342</v>
      </c>
      <c r="W80" s="159">
        <v>5.9</v>
      </c>
      <c r="X80" s="161">
        <v>0.75</v>
      </c>
      <c r="Y80" s="160">
        <v>13242</v>
      </c>
      <c r="Z80" s="158"/>
      <c r="AA80" s="158"/>
      <c r="AB80" s="158"/>
      <c r="AC80" s="158"/>
      <c r="AD80" s="158"/>
      <c r="AE80" s="158"/>
      <c r="AF80" s="158"/>
      <c r="AG80" s="158"/>
      <c r="AH80" s="158"/>
      <c r="AI80" s="158"/>
      <c r="AJ80" s="158"/>
      <c r="AK80" s="158"/>
      <c r="AL80" s="158"/>
      <c r="AM80" s="158"/>
      <c r="AN80" s="158"/>
      <c r="AO80" s="158"/>
      <c r="AP80" s="158"/>
      <c r="AQ80" s="158"/>
      <c r="AR80" s="158"/>
      <c r="AS80" s="158"/>
      <c r="AT80" s="158"/>
      <c r="AU80" s="158"/>
      <c r="AV80" s="158"/>
      <c r="AW80" s="158"/>
      <c r="AX80" s="158"/>
      <c r="AY80" s="158"/>
      <c r="AZ80" s="158"/>
    </row>
    <row r="81" spans="1:52" x14ac:dyDescent="0.3">
      <c r="A81" s="156" t="str">
        <f>B81&amp;"-05"</f>
        <v>820-05</v>
      </c>
      <c r="B81" s="593">
        <v>820</v>
      </c>
      <c r="C81" s="604" t="s">
        <v>283</v>
      </c>
      <c r="D81" s="511" t="s">
        <v>110</v>
      </c>
      <c r="E81" s="595" t="str">
        <f t="shared" si="17"/>
        <v>✓</v>
      </c>
      <c r="F81" s="595" t="str">
        <f t="shared" si="18"/>
        <v>✓</v>
      </c>
      <c r="G81" s="596">
        <v>41.8</v>
      </c>
      <c r="H81" s="605">
        <f t="shared" si="19"/>
        <v>40.264145799881483</v>
      </c>
      <c r="I81" s="598"/>
      <c r="J81" s="598"/>
      <c r="K81" s="598"/>
      <c r="L81" s="598"/>
      <c r="M81" s="694">
        <f t="shared" si="14"/>
        <v>25844.926440267263</v>
      </c>
      <c r="N81" s="698">
        <v>350000</v>
      </c>
      <c r="O81" s="599">
        <v>5.9</v>
      </c>
      <c r="P81" s="600">
        <v>0.64</v>
      </c>
      <c r="Q81" s="601">
        <v>25847.3</v>
      </c>
      <c r="R81" s="602">
        <f t="shared" si="15"/>
        <v>1.0000918385176381</v>
      </c>
      <c r="S81" s="158"/>
      <c r="T81" s="159">
        <v>875</v>
      </c>
      <c r="U81" s="159" t="s">
        <v>343</v>
      </c>
      <c r="V81" s="159" t="s">
        <v>344</v>
      </c>
      <c r="W81" s="159">
        <v>5.9</v>
      </c>
      <c r="X81" s="161">
        <v>0.42</v>
      </c>
      <c r="Y81" s="160">
        <v>5519</v>
      </c>
      <c r="Z81" s="158"/>
      <c r="AA81" s="158"/>
      <c r="AB81" s="158"/>
      <c r="AC81" s="158"/>
      <c r="AD81" s="158"/>
      <c r="AE81" s="158"/>
      <c r="AF81" s="158"/>
      <c r="AG81" s="158"/>
      <c r="AH81" s="158"/>
      <c r="AI81" s="158"/>
      <c r="AJ81" s="158"/>
      <c r="AK81" s="158"/>
      <c r="AL81" s="158"/>
      <c r="AM81" s="158"/>
      <c r="AN81" s="158"/>
      <c r="AO81" s="158"/>
      <c r="AP81" s="158"/>
      <c r="AQ81" s="158"/>
      <c r="AR81" s="158"/>
      <c r="AS81" s="158"/>
      <c r="AT81" s="158"/>
      <c r="AU81" s="158"/>
      <c r="AV81" s="158"/>
      <c r="AW81" s="158"/>
      <c r="AX81" s="158"/>
      <c r="AY81" s="158"/>
      <c r="AZ81" s="158"/>
    </row>
    <row r="82" spans="1:52" x14ac:dyDescent="0.3">
      <c r="A82" s="156" t="str">
        <f>B82&amp;"-06"</f>
        <v>820-06</v>
      </c>
      <c r="B82" s="593">
        <v>820</v>
      </c>
      <c r="C82" s="604" t="s">
        <v>286</v>
      </c>
      <c r="D82" s="511" t="s">
        <v>110</v>
      </c>
      <c r="E82" s="595" t="str">
        <f t="shared" si="17"/>
        <v>✓</v>
      </c>
      <c r="F82" s="595" t="str">
        <f t="shared" si="18"/>
        <v>✓</v>
      </c>
      <c r="G82" s="596">
        <v>38.659999999999997</v>
      </c>
      <c r="H82" s="605">
        <f t="shared" si="19"/>
        <v>37.152860747503944</v>
      </c>
      <c r="I82" s="598"/>
      <c r="J82" s="598"/>
      <c r="K82" s="598"/>
      <c r="L82" s="598"/>
      <c r="M82" s="694">
        <f t="shared" si="14"/>
        <v>24650.448754458859</v>
      </c>
      <c r="N82" s="698">
        <v>450000</v>
      </c>
      <c r="O82" s="599">
        <v>5.9</v>
      </c>
      <c r="P82" s="600">
        <v>0.66</v>
      </c>
      <c r="Q82" s="601">
        <v>24653.1</v>
      </c>
      <c r="R82" s="602">
        <f t="shared" si="15"/>
        <v>1.000107553642027</v>
      </c>
      <c r="S82" s="158"/>
      <c r="T82" s="159">
        <v>880</v>
      </c>
      <c r="U82" s="159" t="s">
        <v>345</v>
      </c>
      <c r="V82" s="159" t="s">
        <v>346</v>
      </c>
      <c r="W82" s="159">
        <v>2.36</v>
      </c>
      <c r="X82" s="161">
        <v>0.32</v>
      </c>
      <c r="Y82" s="160">
        <v>6621</v>
      </c>
      <c r="Z82" s="158"/>
      <c r="AA82" s="158"/>
      <c r="AB82" s="158"/>
      <c r="AC82" s="158"/>
      <c r="AD82" s="158"/>
      <c r="AE82" s="158"/>
      <c r="AF82" s="158"/>
      <c r="AG82" s="158"/>
      <c r="AH82" s="158"/>
      <c r="AI82" s="158"/>
      <c r="AJ82" s="158"/>
      <c r="AK82" s="158"/>
      <c r="AL82" s="158"/>
      <c r="AM82" s="158"/>
      <c r="AN82" s="158"/>
      <c r="AO82" s="158"/>
      <c r="AP82" s="158"/>
      <c r="AQ82" s="158"/>
      <c r="AR82" s="158"/>
      <c r="AS82" s="158"/>
      <c r="AT82" s="158"/>
      <c r="AU82" s="158"/>
      <c r="AV82" s="158"/>
      <c r="AW82" s="158"/>
      <c r="AX82" s="158"/>
      <c r="AY82" s="158"/>
      <c r="AZ82" s="158"/>
    </row>
    <row r="83" spans="1:52" x14ac:dyDescent="0.3">
      <c r="A83" s="156" t="str">
        <f>B83&amp;"-07"</f>
        <v>820-07</v>
      </c>
      <c r="B83" s="593">
        <v>820</v>
      </c>
      <c r="C83" s="604" t="s">
        <v>288</v>
      </c>
      <c r="D83" s="511" t="s">
        <v>110</v>
      </c>
      <c r="E83" s="595" t="str">
        <f t="shared" si="17"/>
        <v>✓</v>
      </c>
      <c r="F83" s="595" t="str">
        <f t="shared" si="18"/>
        <v>✓</v>
      </c>
      <c r="G83" s="596">
        <v>36.270000000000003</v>
      </c>
      <c r="H83" s="605">
        <f t="shared" si="19"/>
        <v>34.84209042728628</v>
      </c>
      <c r="I83" s="598"/>
      <c r="J83" s="598"/>
      <c r="K83" s="598"/>
      <c r="L83" s="598"/>
      <c r="M83" s="694">
        <f t="shared" si="14"/>
        <v>23476.935292026425</v>
      </c>
      <c r="N83" s="698">
        <v>550000</v>
      </c>
      <c r="O83" s="599">
        <v>5.9</v>
      </c>
      <c r="P83" s="600">
        <v>0.67</v>
      </c>
      <c r="Q83" s="601">
        <v>23479</v>
      </c>
      <c r="R83" s="602">
        <f t="shared" si="15"/>
        <v>1.0000879462309664</v>
      </c>
      <c r="S83" s="158"/>
      <c r="T83" s="159">
        <v>881</v>
      </c>
      <c r="U83" s="159" t="s">
        <v>347</v>
      </c>
      <c r="V83" s="159" t="s">
        <v>348</v>
      </c>
      <c r="W83" s="159">
        <v>2.36</v>
      </c>
      <c r="X83" s="161">
        <v>0.32</v>
      </c>
      <c r="Y83" s="160">
        <v>7125</v>
      </c>
      <c r="Z83" s="158"/>
      <c r="AA83" s="158"/>
      <c r="AB83" s="158"/>
      <c r="AC83" s="158"/>
      <c r="AD83" s="158"/>
      <c r="AE83" s="158"/>
      <c r="AF83" s="158"/>
      <c r="AG83" s="158"/>
      <c r="AH83" s="158"/>
      <c r="AI83" s="158"/>
      <c r="AJ83" s="158"/>
      <c r="AK83" s="158"/>
      <c r="AL83" s="158"/>
      <c r="AM83" s="158"/>
      <c r="AN83" s="158"/>
      <c r="AO83" s="158"/>
      <c r="AP83" s="158"/>
      <c r="AQ83" s="158"/>
      <c r="AR83" s="158"/>
      <c r="AS83" s="158"/>
      <c r="AT83" s="158"/>
      <c r="AU83" s="158"/>
      <c r="AV83" s="158"/>
      <c r="AW83" s="158"/>
      <c r="AX83" s="158"/>
      <c r="AY83" s="158"/>
      <c r="AZ83" s="158"/>
    </row>
    <row r="84" spans="1:52" x14ac:dyDescent="0.3">
      <c r="A84" s="156" t="str">
        <f>B84&amp;"-08"</f>
        <v>820-08</v>
      </c>
      <c r="B84" s="593">
        <v>820</v>
      </c>
      <c r="C84" s="604" t="s">
        <v>349</v>
      </c>
      <c r="D84" s="511" t="s">
        <v>110</v>
      </c>
      <c r="E84" s="595" t="str">
        <f t="shared" si="17"/>
        <v>✓</v>
      </c>
      <c r="F84" s="595" t="str">
        <f t="shared" si="18"/>
        <v>✓</v>
      </c>
      <c r="G84" s="596">
        <v>32.799999999999997</v>
      </c>
      <c r="H84" s="605">
        <f t="shared" si="19"/>
        <v>32.254394347161764</v>
      </c>
      <c r="I84" s="598"/>
      <c r="J84" s="598"/>
      <c r="K84" s="598"/>
      <c r="L84" s="598"/>
      <c r="M84" s="694">
        <f t="shared" si="14"/>
        <v>21864.62227856342</v>
      </c>
      <c r="N84" s="698">
        <v>700000</v>
      </c>
      <c r="O84" s="599">
        <v>5.9</v>
      </c>
      <c r="P84" s="600">
        <v>0.69</v>
      </c>
      <c r="Q84" s="601">
        <v>21864.3</v>
      </c>
      <c r="R84" s="602">
        <f t="shared" si="15"/>
        <v>0.9999852602729965</v>
      </c>
      <c r="S84" s="158"/>
      <c r="T84" s="159">
        <v>890</v>
      </c>
      <c r="U84" s="159" t="s">
        <v>350</v>
      </c>
      <c r="V84" s="159" t="s">
        <v>351</v>
      </c>
      <c r="W84" s="159">
        <v>4</v>
      </c>
      <c r="X84" s="161">
        <v>0.5</v>
      </c>
      <c r="Y84" s="159">
        <v>985</v>
      </c>
      <c r="Z84" s="158"/>
      <c r="AA84" s="158"/>
      <c r="AB84" s="158"/>
      <c r="AC84" s="158"/>
      <c r="AD84" s="158"/>
      <c r="AE84" s="158"/>
      <c r="AF84" s="158"/>
      <c r="AG84" s="158"/>
      <c r="AH84" s="158"/>
      <c r="AI84" s="158"/>
      <c r="AJ84" s="158"/>
      <c r="AK84" s="158"/>
      <c r="AL84" s="158"/>
      <c r="AM84" s="158"/>
      <c r="AN84" s="158"/>
      <c r="AO84" s="158"/>
      <c r="AP84" s="158"/>
      <c r="AQ84" s="158"/>
      <c r="AR84" s="158"/>
      <c r="AS84" s="158"/>
      <c r="AT84" s="158"/>
      <c r="AU84" s="158"/>
      <c r="AV84" s="158"/>
      <c r="AW84" s="158"/>
      <c r="AX84" s="158"/>
      <c r="AY84" s="158"/>
      <c r="AZ84" s="158"/>
    </row>
    <row r="85" spans="1:52" x14ac:dyDescent="0.3">
      <c r="A85" s="156" t="str">
        <f>B85&amp;"-09"</f>
        <v>820-09</v>
      </c>
      <c r="B85" s="593">
        <v>820</v>
      </c>
      <c r="C85" s="604" t="s">
        <v>352</v>
      </c>
      <c r="D85" s="511" t="s">
        <v>110</v>
      </c>
      <c r="E85" s="595" t="str">
        <f t="shared" si="17"/>
        <v>✓</v>
      </c>
      <c r="F85" s="595" t="str">
        <f t="shared" si="18"/>
        <v>✓</v>
      </c>
      <c r="G85" s="596">
        <v>30.33</v>
      </c>
      <c r="H85" s="605">
        <f t="shared" si="19"/>
        <v>29.762037611107274</v>
      </c>
      <c r="I85" s="598"/>
      <c r="J85" s="598"/>
      <c r="K85" s="598"/>
      <c r="L85" s="598"/>
      <c r="M85" s="694">
        <f t="shared" si="14"/>
        <v>20511.125644935495</v>
      </c>
      <c r="N85" s="698">
        <v>900000</v>
      </c>
      <c r="O85" s="599">
        <v>5.9</v>
      </c>
      <c r="P85" s="600">
        <v>0.7</v>
      </c>
      <c r="Q85" s="601">
        <v>20513.7</v>
      </c>
      <c r="R85" s="602">
        <f t="shared" si="15"/>
        <v>1.0001255101796493</v>
      </c>
      <c r="S85" s="158"/>
      <c r="T85" s="159"/>
      <c r="U85" s="159" t="s">
        <v>353</v>
      </c>
      <c r="V85" s="159"/>
      <c r="W85" s="159"/>
      <c r="X85" s="159"/>
      <c r="Y85" s="159"/>
      <c r="Z85" s="158"/>
      <c r="AA85" s="158"/>
      <c r="AB85" s="158"/>
      <c r="AC85" s="158"/>
      <c r="AD85" s="158"/>
      <c r="AE85" s="158"/>
      <c r="AF85" s="158"/>
      <c r="AG85" s="158"/>
      <c r="AH85" s="158"/>
      <c r="AI85" s="158"/>
      <c r="AJ85" s="158"/>
      <c r="AK85" s="158"/>
      <c r="AL85" s="158"/>
      <c r="AM85" s="158"/>
      <c r="AN85" s="158"/>
      <c r="AO85" s="158"/>
      <c r="AP85" s="158"/>
      <c r="AQ85" s="158"/>
      <c r="AR85" s="158"/>
      <c r="AS85" s="158"/>
      <c r="AT85" s="158"/>
      <c r="AU85" s="158"/>
      <c r="AV85" s="158"/>
      <c r="AW85" s="158"/>
      <c r="AX85" s="158"/>
      <c r="AY85" s="158"/>
      <c r="AZ85" s="158"/>
    </row>
    <row r="86" spans="1:52" x14ac:dyDescent="0.3">
      <c r="A86" s="156" t="str">
        <f>B86&amp;"-10"</f>
        <v>820-10</v>
      </c>
      <c r="B86" s="593">
        <v>820</v>
      </c>
      <c r="C86" s="604" t="s">
        <v>354</v>
      </c>
      <c r="D86" s="511" t="s">
        <v>110</v>
      </c>
      <c r="E86" s="595" t="str">
        <f t="shared" si="17"/>
        <v>✓</v>
      </c>
      <c r="F86" s="595" t="str">
        <f t="shared" si="18"/>
        <v>✓</v>
      </c>
      <c r="G86" s="596">
        <v>28.46</v>
      </c>
      <c r="H86" s="605">
        <f t="shared" si="19"/>
        <v>27.910949113552771</v>
      </c>
      <c r="I86" s="598"/>
      <c r="J86" s="598"/>
      <c r="K86" s="598"/>
      <c r="L86" s="598"/>
      <c r="M86" s="694">
        <f t="shared" si="14"/>
        <v>19521.45972667107</v>
      </c>
      <c r="N86" s="698">
        <v>1100000</v>
      </c>
      <c r="O86" s="599">
        <v>5.9</v>
      </c>
      <c r="P86" s="600">
        <v>0.71</v>
      </c>
      <c r="Q86" s="601">
        <v>19521.3</v>
      </c>
      <c r="R86" s="602">
        <f t="shared" si="15"/>
        <v>0.99999181789306191</v>
      </c>
      <c r="S86" s="158"/>
      <c r="T86" s="159">
        <v>911</v>
      </c>
      <c r="U86" s="159" t="s">
        <v>355</v>
      </c>
      <c r="V86" s="159" t="s">
        <v>356</v>
      </c>
      <c r="W86" s="159">
        <v>1.25</v>
      </c>
      <c r="X86" s="161">
        <v>0.5</v>
      </c>
      <c r="Y86" s="160">
        <v>9521</v>
      </c>
      <c r="Z86" s="158"/>
      <c r="AA86" s="158"/>
      <c r="AB86" s="158"/>
      <c r="AC86" s="158"/>
      <c r="AD86" s="158"/>
      <c r="AE86" s="158"/>
      <c r="AF86" s="158"/>
      <c r="AG86" s="158"/>
      <c r="AH86" s="158"/>
      <c r="AI86" s="158"/>
      <c r="AJ86" s="158"/>
      <c r="AK86" s="158"/>
      <c r="AL86" s="158"/>
      <c r="AM86" s="158"/>
      <c r="AN86" s="158"/>
      <c r="AO86" s="158"/>
      <c r="AP86" s="158"/>
      <c r="AQ86" s="158"/>
      <c r="AR86" s="158"/>
      <c r="AS86" s="158"/>
      <c r="AT86" s="158"/>
      <c r="AU86" s="158"/>
      <c r="AV86" s="158"/>
      <c r="AW86" s="158"/>
      <c r="AX86" s="158"/>
      <c r="AY86" s="158"/>
      <c r="AZ86" s="158"/>
    </row>
    <row r="87" spans="1:52" x14ac:dyDescent="0.3">
      <c r="A87" s="156" t="str">
        <f>B87&amp;"-11"</f>
        <v>820-11</v>
      </c>
      <c r="B87" s="593">
        <v>820</v>
      </c>
      <c r="C87" s="604" t="s">
        <v>357</v>
      </c>
      <c r="D87" s="511" t="s">
        <v>110</v>
      </c>
      <c r="E87" s="595" t="str">
        <f t="shared" si="17"/>
        <v>✓</v>
      </c>
      <c r="F87" s="595" t="str">
        <f t="shared" si="18"/>
        <v>✓</v>
      </c>
      <c r="G87" s="596">
        <v>27.67</v>
      </c>
      <c r="H87" s="605">
        <f t="shared" si="19"/>
        <v>26.458084032221276</v>
      </c>
      <c r="I87" s="598"/>
      <c r="J87" s="598"/>
      <c r="K87" s="598"/>
      <c r="L87" s="598"/>
      <c r="M87" s="694">
        <f t="shared" si="14"/>
        <v>19246.896026972954</v>
      </c>
      <c r="N87" s="698">
        <v>1300000</v>
      </c>
      <c r="O87" s="599">
        <v>5.9</v>
      </c>
      <c r="P87" s="600">
        <v>0.72</v>
      </c>
      <c r="Q87" s="601">
        <v>19248.8</v>
      </c>
      <c r="R87" s="602">
        <f t="shared" si="15"/>
        <v>1.0000989236406939</v>
      </c>
      <c r="S87" s="158"/>
      <c r="T87" s="159">
        <v>912</v>
      </c>
      <c r="U87" s="159" t="s">
        <v>358</v>
      </c>
      <c r="V87" s="159" t="s">
        <v>359</v>
      </c>
      <c r="W87" s="159">
        <v>1.25</v>
      </c>
      <c r="X87" s="161">
        <v>0.5</v>
      </c>
      <c r="Y87" s="160">
        <v>14998</v>
      </c>
      <c r="Z87" s="158"/>
      <c r="AA87" s="158"/>
      <c r="AB87" s="158"/>
      <c r="AC87" s="158"/>
      <c r="AD87" s="158"/>
      <c r="AE87" s="158"/>
      <c r="AF87" s="158"/>
      <c r="AG87" s="158"/>
      <c r="AH87" s="158"/>
      <c r="AI87" s="158"/>
      <c r="AJ87" s="158"/>
      <c r="AK87" s="158"/>
      <c r="AL87" s="158"/>
      <c r="AM87" s="158"/>
      <c r="AN87" s="158"/>
      <c r="AO87" s="158"/>
      <c r="AP87" s="158"/>
      <c r="AQ87" s="158"/>
      <c r="AR87" s="158"/>
      <c r="AS87" s="158"/>
      <c r="AT87" s="158"/>
      <c r="AU87" s="158"/>
      <c r="AV87" s="158"/>
      <c r="AW87" s="158"/>
      <c r="AX87" s="158"/>
      <c r="AY87" s="158"/>
      <c r="AZ87" s="158"/>
    </row>
    <row r="88" spans="1:52" x14ac:dyDescent="0.3">
      <c r="A88" s="156" t="str">
        <f t="shared" si="16"/>
        <v>823-00</v>
      </c>
      <c r="B88" s="593">
        <v>823</v>
      </c>
      <c r="C88" s="594" t="s">
        <v>360</v>
      </c>
      <c r="D88" s="511" t="s">
        <v>110</v>
      </c>
      <c r="E88" s="595" t="str">
        <f t="shared" si="17"/>
        <v>X</v>
      </c>
      <c r="F88" s="595" t="str">
        <f t="shared" si="18"/>
        <v>✓</v>
      </c>
      <c r="G88" s="596"/>
      <c r="H88" s="598">
        <v>26.59</v>
      </c>
      <c r="I88" s="598"/>
      <c r="J88" s="598"/>
      <c r="K88" s="598"/>
      <c r="L88" s="598"/>
      <c r="M88" s="694"/>
      <c r="N88" s="299"/>
      <c r="O88" s="599"/>
      <c r="P88" s="603"/>
      <c r="Q88" s="601"/>
      <c r="R88" s="602"/>
      <c r="S88" s="158"/>
      <c r="T88" s="159">
        <v>931</v>
      </c>
      <c r="U88" s="159" t="s">
        <v>361</v>
      </c>
      <c r="V88" s="159" t="s">
        <v>362</v>
      </c>
      <c r="W88" s="159">
        <v>6.16</v>
      </c>
      <c r="X88" s="161">
        <v>0.75</v>
      </c>
      <c r="Y88" s="160">
        <v>40456</v>
      </c>
      <c r="Z88" s="158"/>
      <c r="AA88" s="158"/>
      <c r="AB88" s="158"/>
      <c r="AC88" s="158"/>
      <c r="AD88" s="158"/>
      <c r="AE88" s="158"/>
      <c r="AF88" s="158"/>
      <c r="AG88" s="158"/>
      <c r="AH88" s="158"/>
      <c r="AI88" s="158"/>
      <c r="AJ88" s="158"/>
      <c r="AK88" s="158"/>
      <c r="AL88" s="158"/>
      <c r="AM88" s="158"/>
      <c r="AN88" s="158"/>
      <c r="AO88" s="158"/>
      <c r="AP88" s="158"/>
      <c r="AQ88" s="158"/>
      <c r="AR88" s="158"/>
      <c r="AS88" s="158"/>
      <c r="AT88" s="158"/>
      <c r="AU88" s="158"/>
      <c r="AV88" s="158"/>
      <c r="AW88" s="158"/>
      <c r="AX88" s="158"/>
      <c r="AY88" s="158"/>
      <c r="AZ88" s="158"/>
    </row>
    <row r="89" spans="1:52" x14ac:dyDescent="0.3">
      <c r="A89" s="156" t="str">
        <f t="shared" si="16"/>
        <v>840-00</v>
      </c>
      <c r="B89" s="593">
        <v>840</v>
      </c>
      <c r="C89" s="594" t="s">
        <v>363</v>
      </c>
      <c r="D89" s="511" t="s">
        <v>110</v>
      </c>
      <c r="E89" s="595" t="str">
        <f t="shared" si="17"/>
        <v>✓</v>
      </c>
      <c r="F89" s="595" t="str">
        <f t="shared" si="18"/>
        <v>✓</v>
      </c>
      <c r="G89" s="596">
        <v>33.56</v>
      </c>
      <c r="H89" s="598">
        <v>27.84</v>
      </c>
      <c r="I89" s="598"/>
      <c r="J89" s="598"/>
      <c r="K89" s="598"/>
      <c r="L89" s="598"/>
      <c r="M89" s="694">
        <f t="shared" si="14"/>
        <v>24316.566929632445</v>
      </c>
      <c r="N89" s="299"/>
      <c r="O89" s="599">
        <v>5.9</v>
      </c>
      <c r="P89" s="600">
        <v>0.75</v>
      </c>
      <c r="Q89" s="601">
        <v>24316.7</v>
      </c>
      <c r="R89" s="602">
        <f t="shared" si="15"/>
        <v>1.0000054724159024</v>
      </c>
      <c r="S89" s="158"/>
      <c r="T89" s="159"/>
      <c r="U89" s="159" t="s">
        <v>361</v>
      </c>
      <c r="V89" s="159" t="s">
        <v>364</v>
      </c>
      <c r="W89" s="159">
        <v>6.16</v>
      </c>
      <c r="X89" s="161">
        <v>0.75</v>
      </c>
      <c r="Y89" s="160">
        <v>1286</v>
      </c>
      <c r="Z89" s="158"/>
      <c r="AA89" s="158"/>
      <c r="AB89" s="158"/>
      <c r="AC89" s="158"/>
      <c r="AD89" s="158"/>
      <c r="AE89" s="158"/>
      <c r="AF89" s="158"/>
      <c r="AG89" s="158"/>
      <c r="AH89" s="158"/>
      <c r="AI89" s="158"/>
      <c r="AJ89" s="158"/>
      <c r="AK89" s="158"/>
      <c r="AL89" s="158"/>
      <c r="AM89" s="158"/>
      <c r="AN89" s="158"/>
      <c r="AO89" s="158"/>
      <c r="AP89" s="158"/>
      <c r="AQ89" s="158"/>
      <c r="AR89" s="158"/>
      <c r="AS89" s="158"/>
      <c r="AT89" s="158"/>
      <c r="AU89" s="158"/>
      <c r="AV89" s="158"/>
      <c r="AW89" s="158"/>
      <c r="AX89" s="158"/>
      <c r="AY89" s="158"/>
      <c r="AZ89" s="158"/>
    </row>
    <row r="90" spans="1:52" x14ac:dyDescent="0.3">
      <c r="A90" s="156" t="str">
        <f t="shared" si="16"/>
        <v>843-00</v>
      </c>
      <c r="B90" s="593">
        <v>843</v>
      </c>
      <c r="C90" s="594" t="s">
        <v>365</v>
      </c>
      <c r="D90" s="511" t="s">
        <v>110</v>
      </c>
      <c r="E90" s="595" t="str">
        <f t="shared" si="17"/>
        <v>✓</v>
      </c>
      <c r="F90" s="595" t="str">
        <f t="shared" si="18"/>
        <v>✓</v>
      </c>
      <c r="G90" s="596">
        <v>21.44</v>
      </c>
      <c r="H90" s="598">
        <v>55.34</v>
      </c>
      <c r="I90" s="598"/>
      <c r="J90" s="598"/>
      <c r="K90" s="598"/>
      <c r="L90" s="598"/>
      <c r="M90" s="694">
        <f t="shared" si="14"/>
        <v>15534.779349562563</v>
      </c>
      <c r="N90" s="299"/>
      <c r="O90" s="599">
        <v>5.9</v>
      </c>
      <c r="P90" s="600">
        <v>0.75</v>
      </c>
      <c r="Q90" s="601">
        <v>15535</v>
      </c>
      <c r="R90" s="602">
        <f t="shared" si="15"/>
        <v>1.0000142036415498</v>
      </c>
      <c r="S90" s="158"/>
      <c r="T90" s="159">
        <v>932</v>
      </c>
      <c r="U90" s="159" t="s">
        <v>366</v>
      </c>
      <c r="V90" s="159" t="s">
        <v>367</v>
      </c>
      <c r="W90" s="159">
        <v>4</v>
      </c>
      <c r="X90" s="161">
        <v>0.5</v>
      </c>
      <c r="Y90" s="160">
        <v>30835</v>
      </c>
      <c r="Z90" s="158"/>
      <c r="AA90" s="158"/>
      <c r="AB90" s="158"/>
      <c r="AC90" s="158"/>
      <c r="AD90" s="158"/>
      <c r="AE90" s="158"/>
      <c r="AF90" s="158"/>
      <c r="AG90" s="158"/>
      <c r="AH90" s="158"/>
      <c r="AI90" s="158"/>
      <c r="AJ90" s="158"/>
      <c r="AK90" s="158"/>
      <c r="AL90" s="158"/>
      <c r="AM90" s="158"/>
      <c r="AN90" s="158"/>
      <c r="AO90" s="158"/>
      <c r="AP90" s="158"/>
      <c r="AQ90" s="158"/>
      <c r="AR90" s="158"/>
      <c r="AS90" s="158"/>
      <c r="AT90" s="158"/>
      <c r="AU90" s="158"/>
      <c r="AV90" s="158"/>
      <c r="AW90" s="158"/>
      <c r="AX90" s="158"/>
      <c r="AY90" s="158"/>
      <c r="AZ90" s="158"/>
    </row>
    <row r="91" spans="1:52" x14ac:dyDescent="0.3">
      <c r="A91" s="156" t="str">
        <f t="shared" si="16"/>
        <v>848-00</v>
      </c>
      <c r="B91" s="593">
        <v>848</v>
      </c>
      <c r="C91" s="594" t="s">
        <v>368</v>
      </c>
      <c r="D91" s="511" t="s">
        <v>110</v>
      </c>
      <c r="E91" s="595" t="str">
        <f t="shared" si="17"/>
        <v>✓</v>
      </c>
      <c r="F91" s="595" t="str">
        <f t="shared" si="18"/>
        <v>✓</v>
      </c>
      <c r="G91" s="596">
        <v>24.87</v>
      </c>
      <c r="H91" s="598">
        <v>28.52</v>
      </c>
      <c r="I91" s="598"/>
      <c r="J91" s="598"/>
      <c r="K91" s="598"/>
      <c r="L91" s="598"/>
      <c r="M91" s="694">
        <f t="shared" si="14"/>
        <v>24026.738956692836</v>
      </c>
      <c r="N91" s="299"/>
      <c r="O91" s="599">
        <v>5.9</v>
      </c>
      <c r="P91" s="600">
        <v>1</v>
      </c>
      <c r="Q91" s="601">
        <v>24027.4</v>
      </c>
      <c r="R91" s="602">
        <f t="shared" si="15"/>
        <v>1.0000275128184626</v>
      </c>
      <c r="S91" s="158"/>
      <c r="T91" s="159"/>
      <c r="U91" s="159" t="s">
        <v>369</v>
      </c>
      <c r="V91" s="159" t="s">
        <v>370</v>
      </c>
      <c r="W91" s="159">
        <v>4</v>
      </c>
      <c r="X91" s="161">
        <v>0.5</v>
      </c>
      <c r="Y91" s="159">
        <v>940</v>
      </c>
      <c r="Z91" s="158"/>
      <c r="AA91" s="158"/>
      <c r="AB91" s="158"/>
      <c r="AC91" s="158"/>
      <c r="AD91" s="158"/>
      <c r="AE91" s="158"/>
      <c r="AF91" s="158"/>
      <c r="AG91" s="158"/>
      <c r="AH91" s="158"/>
      <c r="AI91" s="158"/>
      <c r="AJ91" s="158"/>
      <c r="AK91" s="158"/>
      <c r="AL91" s="158"/>
      <c r="AM91" s="158"/>
      <c r="AN91" s="158"/>
      <c r="AO91" s="158"/>
      <c r="AP91" s="158"/>
      <c r="AQ91" s="158"/>
      <c r="AR91" s="158"/>
      <c r="AS91" s="158"/>
      <c r="AT91" s="158"/>
      <c r="AU91" s="158"/>
      <c r="AV91" s="158"/>
      <c r="AW91" s="158"/>
      <c r="AX91" s="158"/>
      <c r="AY91" s="158"/>
      <c r="AZ91" s="158"/>
    </row>
    <row r="92" spans="1:52" x14ac:dyDescent="0.3">
      <c r="A92" s="156" t="str">
        <f t="shared" si="16"/>
        <v>850-00</v>
      </c>
      <c r="B92" s="593">
        <v>850</v>
      </c>
      <c r="C92" s="594" t="s">
        <v>335</v>
      </c>
      <c r="D92" s="511" t="s">
        <v>110</v>
      </c>
      <c r="E92" s="595" t="str">
        <f t="shared" si="17"/>
        <v>✓</v>
      </c>
      <c r="F92" s="595" t="str">
        <f t="shared" si="18"/>
        <v>✓</v>
      </c>
      <c r="G92" s="596">
        <v>102.24</v>
      </c>
      <c r="H92" s="598">
        <v>106.78</v>
      </c>
      <c r="I92" s="299"/>
      <c r="J92" s="299"/>
      <c r="K92" s="299"/>
      <c r="L92" s="299"/>
      <c r="M92" s="694">
        <f t="shared" si="14"/>
        <v>19754.674635563133</v>
      </c>
      <c r="N92" s="299"/>
      <c r="O92" s="599">
        <v>2.36</v>
      </c>
      <c r="P92" s="600">
        <v>0.5</v>
      </c>
      <c r="Q92" s="601">
        <v>19750</v>
      </c>
      <c r="R92" s="602">
        <f t="shared" si="15"/>
        <v>0.99976336560083268</v>
      </c>
      <c r="S92" s="158"/>
      <c r="T92" s="159">
        <v>933</v>
      </c>
      <c r="U92" s="159" t="s">
        <v>371</v>
      </c>
      <c r="V92" s="159" t="s">
        <v>372</v>
      </c>
      <c r="W92" s="159">
        <v>1.25</v>
      </c>
      <c r="X92" s="161">
        <v>0.5</v>
      </c>
      <c r="Y92" s="160">
        <v>43565</v>
      </c>
      <c r="Z92" s="158"/>
      <c r="AA92" s="158"/>
      <c r="AB92" s="158"/>
      <c r="AC92" s="158"/>
      <c r="AD92" s="158"/>
      <c r="AE92" s="158"/>
      <c r="AF92" s="158"/>
      <c r="AG92" s="158"/>
      <c r="AH92" s="158"/>
      <c r="AI92" s="158"/>
      <c r="AJ92" s="158"/>
      <c r="AK92" s="158"/>
      <c r="AL92" s="158"/>
      <c r="AM92" s="158"/>
      <c r="AN92" s="158"/>
      <c r="AO92" s="158"/>
      <c r="AP92" s="158"/>
      <c r="AQ92" s="158"/>
      <c r="AR92" s="158"/>
      <c r="AS92" s="158"/>
      <c r="AT92" s="158"/>
      <c r="AU92" s="158"/>
      <c r="AV92" s="158"/>
      <c r="AW92" s="158"/>
      <c r="AX92" s="158"/>
      <c r="AY92" s="158"/>
      <c r="AZ92" s="158"/>
    </row>
    <row r="93" spans="1:52" x14ac:dyDescent="0.3">
      <c r="A93" s="156" t="str">
        <f t="shared" si="16"/>
        <v>851-00</v>
      </c>
      <c r="B93" s="593">
        <v>851</v>
      </c>
      <c r="C93" s="594" t="s">
        <v>373</v>
      </c>
      <c r="D93" s="511" t="s">
        <v>110</v>
      </c>
      <c r="E93" s="595" t="str">
        <f t="shared" si="17"/>
        <v>✓</v>
      </c>
      <c r="F93" s="595" t="str">
        <f t="shared" si="18"/>
        <v>✓</v>
      </c>
      <c r="G93" s="596">
        <v>737.99</v>
      </c>
      <c r="H93" s="598">
        <v>762.28</v>
      </c>
      <c r="I93" s="299"/>
      <c r="J93" s="598"/>
      <c r="K93" s="598">
        <v>1496.03</v>
      </c>
      <c r="L93" s="299"/>
      <c r="M93" s="694">
        <f t="shared" si="14"/>
        <v>52868.326986153523</v>
      </c>
      <c r="N93" s="299"/>
      <c r="O93" s="599">
        <v>1.25</v>
      </c>
      <c r="P93" s="600">
        <v>0.35</v>
      </c>
      <c r="Q93" s="601">
        <v>52868.6</v>
      </c>
      <c r="R93" s="602">
        <f t="shared" si="15"/>
        <v>1.0000051640341587</v>
      </c>
      <c r="S93" s="158"/>
      <c r="T93" s="159">
        <v>934</v>
      </c>
      <c r="U93" s="159" t="s">
        <v>374</v>
      </c>
      <c r="V93" s="159" t="s">
        <v>375</v>
      </c>
      <c r="W93" s="159">
        <v>1.25</v>
      </c>
      <c r="X93" s="161">
        <v>0.5</v>
      </c>
      <c r="Y93" s="160">
        <v>30186</v>
      </c>
      <c r="Z93" s="158"/>
      <c r="AA93" s="158"/>
      <c r="AB93" s="158"/>
      <c r="AC93" s="158"/>
      <c r="AD93" s="158"/>
      <c r="AE93" s="158"/>
      <c r="AF93" s="158"/>
      <c r="AG93" s="158"/>
      <c r="AH93" s="158"/>
      <c r="AI93" s="158"/>
      <c r="AJ93" s="158"/>
      <c r="AK93" s="158"/>
      <c r="AL93" s="158"/>
      <c r="AM93" s="158"/>
      <c r="AN93" s="158"/>
      <c r="AO93" s="158"/>
      <c r="AP93" s="158"/>
      <c r="AQ93" s="158"/>
      <c r="AR93" s="158"/>
      <c r="AS93" s="158"/>
      <c r="AT93" s="158"/>
      <c r="AU93" s="158"/>
      <c r="AV93" s="158"/>
      <c r="AW93" s="158"/>
      <c r="AX93" s="158"/>
      <c r="AY93" s="158"/>
      <c r="AZ93" s="158"/>
    </row>
    <row r="94" spans="1:52" x14ac:dyDescent="0.3">
      <c r="A94" s="156" t="str">
        <f t="shared" si="16"/>
        <v>853-00</v>
      </c>
      <c r="B94" s="593">
        <v>853</v>
      </c>
      <c r="C94" s="594" t="s">
        <v>376</v>
      </c>
      <c r="D94" s="511" t="s">
        <v>110</v>
      </c>
      <c r="E94" s="595" t="str">
        <f t="shared" si="17"/>
        <v>✓</v>
      </c>
      <c r="F94" s="595" t="str">
        <f t="shared" si="18"/>
        <v>✓</v>
      </c>
      <c r="G94" s="596">
        <v>845.6</v>
      </c>
      <c r="H94" s="598">
        <v>624.20000000000005</v>
      </c>
      <c r="I94" s="299"/>
      <c r="J94" s="299"/>
      <c r="K94" s="299"/>
      <c r="L94" s="299"/>
      <c r="M94" s="694">
        <f t="shared" si="14"/>
        <v>60577.321236726006</v>
      </c>
      <c r="N94" s="299"/>
      <c r="O94" s="599">
        <v>1.25</v>
      </c>
      <c r="P94" s="600">
        <v>0.35</v>
      </c>
      <c r="Q94" s="601">
        <v>60577.2</v>
      </c>
      <c r="R94" s="602">
        <f t="shared" si="15"/>
        <v>0.99999799864497907</v>
      </c>
      <c r="S94" s="158"/>
      <c r="T94" s="159">
        <v>937</v>
      </c>
      <c r="U94" s="159" t="s">
        <v>377</v>
      </c>
      <c r="V94" s="159" t="s">
        <v>378</v>
      </c>
      <c r="W94" s="159">
        <v>1.25</v>
      </c>
      <c r="X94" s="161">
        <v>0.35</v>
      </c>
      <c r="Y94" s="160">
        <v>34864</v>
      </c>
      <c r="Z94" s="158"/>
      <c r="AA94" s="158"/>
      <c r="AB94" s="158"/>
      <c r="AC94" s="158"/>
      <c r="AD94" s="158"/>
      <c r="AE94" s="158"/>
      <c r="AF94" s="158"/>
      <c r="AG94" s="158"/>
      <c r="AH94" s="158"/>
      <c r="AI94" s="158"/>
      <c r="AJ94" s="158"/>
      <c r="AK94" s="158"/>
      <c r="AL94" s="158"/>
      <c r="AM94" s="158"/>
      <c r="AN94" s="158"/>
      <c r="AO94" s="158"/>
      <c r="AP94" s="158"/>
      <c r="AQ94" s="158"/>
      <c r="AR94" s="158"/>
      <c r="AS94" s="158"/>
      <c r="AT94" s="158"/>
      <c r="AU94" s="158"/>
      <c r="AV94" s="158"/>
      <c r="AW94" s="158"/>
      <c r="AX94" s="158"/>
      <c r="AY94" s="158"/>
      <c r="AZ94" s="158"/>
    </row>
    <row r="95" spans="1:52" x14ac:dyDescent="0.3">
      <c r="A95" s="156" t="str">
        <f t="shared" si="16"/>
        <v>857-00</v>
      </c>
      <c r="B95" s="593">
        <v>857</v>
      </c>
      <c r="C95" s="594" t="s">
        <v>379</v>
      </c>
      <c r="D95" s="511" t="s">
        <v>110</v>
      </c>
      <c r="E95" s="595" t="str">
        <f t="shared" si="17"/>
        <v>X</v>
      </c>
      <c r="F95" s="595" t="str">
        <f t="shared" si="18"/>
        <v>✓</v>
      </c>
      <c r="G95" s="596"/>
      <c r="H95" s="598">
        <v>41.8</v>
      </c>
      <c r="I95" s="598"/>
      <c r="J95" s="598"/>
      <c r="K95" s="598"/>
      <c r="L95" s="598"/>
      <c r="M95" s="694"/>
      <c r="N95" s="299"/>
      <c r="O95" s="599"/>
      <c r="P95" s="600"/>
      <c r="Q95" s="601"/>
      <c r="R95" s="602"/>
      <c r="S95" s="158"/>
      <c r="T95" s="159">
        <v>944</v>
      </c>
      <c r="U95" s="159" t="s">
        <v>380</v>
      </c>
      <c r="V95" s="159" t="s">
        <v>381</v>
      </c>
      <c r="W95" s="159">
        <v>1.25</v>
      </c>
      <c r="X95" s="161">
        <v>0.35</v>
      </c>
      <c r="Y95" s="160">
        <v>7179</v>
      </c>
      <c r="Z95" s="158"/>
      <c r="AA95" s="158"/>
      <c r="AB95" s="158"/>
      <c r="AC95" s="158"/>
      <c r="AD95" s="158"/>
      <c r="AE95" s="158"/>
      <c r="AF95" s="158"/>
      <c r="AG95" s="158"/>
      <c r="AH95" s="158"/>
      <c r="AI95" s="158"/>
      <c r="AJ95" s="158"/>
      <c r="AK95" s="158"/>
      <c r="AL95" s="158"/>
      <c r="AM95" s="158"/>
      <c r="AN95" s="158"/>
      <c r="AO95" s="158"/>
      <c r="AP95" s="158"/>
      <c r="AQ95" s="158"/>
      <c r="AR95" s="158"/>
      <c r="AS95" s="158"/>
      <c r="AT95" s="158"/>
      <c r="AU95" s="158"/>
      <c r="AV95" s="158"/>
      <c r="AW95" s="158"/>
      <c r="AX95" s="158"/>
      <c r="AY95" s="158"/>
      <c r="AZ95" s="158"/>
    </row>
    <row r="96" spans="1:52" x14ac:dyDescent="0.3">
      <c r="A96" s="156" t="str">
        <f t="shared" si="16"/>
        <v>861-00</v>
      </c>
      <c r="B96" s="593">
        <v>861</v>
      </c>
      <c r="C96" s="594" t="s">
        <v>382</v>
      </c>
      <c r="D96" s="511" t="s">
        <v>110</v>
      </c>
      <c r="E96" s="595" t="str">
        <f t="shared" si="17"/>
        <v>X</v>
      </c>
      <c r="F96" s="595" t="str">
        <f t="shared" si="18"/>
        <v>✓</v>
      </c>
      <c r="G96" s="596"/>
      <c r="H96" s="598">
        <v>28.75</v>
      </c>
      <c r="I96" s="598"/>
      <c r="J96" s="598"/>
      <c r="K96" s="598"/>
      <c r="L96" s="598"/>
      <c r="M96" s="694"/>
      <c r="N96" s="299"/>
      <c r="O96" s="599"/>
      <c r="P96" s="603"/>
      <c r="Q96" s="601"/>
      <c r="R96" s="602"/>
      <c r="S96" s="158"/>
      <c r="T96" s="158"/>
      <c r="U96" s="158"/>
      <c r="V96" s="158"/>
      <c r="W96" s="158"/>
      <c r="X96" s="158"/>
      <c r="Y96" s="158"/>
      <c r="Z96" s="158"/>
      <c r="AA96" s="158"/>
      <c r="AB96" s="158"/>
      <c r="AC96" s="158"/>
      <c r="AD96" s="158"/>
      <c r="AE96" s="158"/>
      <c r="AF96" s="158"/>
      <c r="AG96" s="158"/>
      <c r="AH96" s="158"/>
      <c r="AI96" s="158"/>
      <c r="AJ96" s="158"/>
      <c r="AK96" s="158"/>
      <c r="AL96" s="158"/>
      <c r="AM96" s="158"/>
      <c r="AN96" s="158"/>
      <c r="AO96" s="158"/>
      <c r="AP96" s="158"/>
      <c r="AQ96" s="158"/>
      <c r="AR96" s="158"/>
      <c r="AS96" s="158"/>
      <c r="AT96" s="158"/>
      <c r="AU96" s="158"/>
      <c r="AV96" s="158"/>
      <c r="AW96" s="158"/>
      <c r="AX96" s="158"/>
      <c r="AY96" s="158"/>
      <c r="AZ96" s="158"/>
    </row>
    <row r="97" spans="1:56" x14ac:dyDescent="0.3">
      <c r="A97" s="156" t="str">
        <f t="shared" si="16"/>
        <v>862-00</v>
      </c>
      <c r="B97" s="593">
        <v>862</v>
      </c>
      <c r="C97" s="594" t="s">
        <v>383</v>
      </c>
      <c r="D97" s="511" t="s">
        <v>110</v>
      </c>
      <c r="E97" s="595" t="str">
        <f t="shared" si="17"/>
        <v>✓</v>
      </c>
      <c r="F97" s="595" t="str">
        <f t="shared" si="18"/>
        <v>✓</v>
      </c>
      <c r="G97" s="596">
        <v>30.74</v>
      </c>
      <c r="H97" s="598">
        <v>30.74</v>
      </c>
      <c r="I97" s="598"/>
      <c r="J97" s="598"/>
      <c r="K97" s="598"/>
      <c r="L97" s="598"/>
      <c r="M97" s="694">
        <f t="shared" si="14"/>
        <v>22273.279720408256</v>
      </c>
      <c r="N97" s="299"/>
      <c r="O97" s="599">
        <v>5.9</v>
      </c>
      <c r="P97" s="600">
        <v>0.75</v>
      </c>
      <c r="Q97" s="601">
        <v>22273</v>
      </c>
      <c r="R97" s="602">
        <f t="shared" si="15"/>
        <v>0.99998744143602702</v>
      </c>
      <c r="S97" s="158"/>
      <c r="T97" s="158"/>
      <c r="U97" s="158"/>
      <c r="V97" s="158"/>
      <c r="W97" s="158"/>
      <c r="X97" s="158"/>
      <c r="Y97" s="158"/>
      <c r="Z97" s="158"/>
      <c r="AA97" s="158"/>
      <c r="AB97" s="158"/>
      <c r="AC97" s="158"/>
      <c r="AD97" s="158"/>
      <c r="AE97" s="158"/>
      <c r="AF97" s="158"/>
      <c r="AG97" s="158"/>
      <c r="AH97" s="158"/>
      <c r="AI97" s="158"/>
      <c r="AJ97" s="158"/>
      <c r="AK97" s="158"/>
      <c r="AL97" s="158"/>
      <c r="AM97" s="158"/>
      <c r="AN97" s="158"/>
      <c r="AO97" s="158"/>
      <c r="AP97" s="158"/>
      <c r="AQ97" s="158"/>
      <c r="AR97" s="158"/>
      <c r="AS97" s="158"/>
      <c r="AT97" s="158"/>
      <c r="AU97" s="158"/>
      <c r="AV97" s="158"/>
      <c r="AW97" s="158"/>
      <c r="AX97" s="158"/>
      <c r="AY97" s="158"/>
      <c r="AZ97" s="158"/>
    </row>
    <row r="98" spans="1:56" x14ac:dyDescent="0.3">
      <c r="A98" s="156" t="str">
        <f t="shared" si="16"/>
        <v>863-00</v>
      </c>
      <c r="B98" s="593">
        <v>863</v>
      </c>
      <c r="C98" s="594" t="s">
        <v>384</v>
      </c>
      <c r="D98" s="511" t="s">
        <v>110</v>
      </c>
      <c r="E98" s="595" t="str">
        <f t="shared" si="17"/>
        <v>X</v>
      </c>
      <c r="F98" s="595" t="str">
        <f t="shared" si="18"/>
        <v>✓</v>
      </c>
      <c r="G98" s="596"/>
      <c r="H98" s="598">
        <v>41.05</v>
      </c>
      <c r="I98" s="598"/>
      <c r="J98" s="598"/>
      <c r="K98" s="598"/>
      <c r="L98" s="598"/>
      <c r="M98" s="694"/>
      <c r="N98" s="299"/>
      <c r="O98" s="599"/>
      <c r="P98" s="603"/>
      <c r="Q98" s="601"/>
      <c r="R98" s="602"/>
      <c r="S98" s="158"/>
      <c r="T98" s="158"/>
      <c r="U98" s="158"/>
      <c r="V98" s="158"/>
      <c r="W98" s="158"/>
      <c r="X98" s="158"/>
      <c r="Y98" s="158"/>
      <c r="Z98" s="158"/>
      <c r="AA98" s="158"/>
      <c r="AB98" s="158"/>
      <c r="AC98" s="158"/>
      <c r="AD98" s="158"/>
      <c r="AE98" s="158"/>
      <c r="AF98" s="158"/>
      <c r="AG98" s="158"/>
      <c r="AH98" s="158"/>
      <c r="AI98" s="158"/>
      <c r="AJ98" s="158"/>
      <c r="AK98" s="158"/>
      <c r="AL98" s="158"/>
      <c r="AM98" s="158"/>
      <c r="AN98" s="158"/>
      <c r="AO98" s="158"/>
      <c r="AP98" s="158"/>
      <c r="AQ98" s="158"/>
      <c r="AR98" s="158"/>
      <c r="AS98" s="158"/>
      <c r="AT98" s="158"/>
      <c r="AU98" s="158"/>
      <c r="AV98" s="158"/>
      <c r="AW98" s="158"/>
      <c r="AX98" s="158"/>
      <c r="AY98" s="158"/>
      <c r="AZ98" s="158"/>
    </row>
    <row r="99" spans="1:56" x14ac:dyDescent="0.3">
      <c r="A99" s="156" t="str">
        <f t="shared" si="16"/>
        <v>868-00</v>
      </c>
      <c r="B99" s="593">
        <v>868</v>
      </c>
      <c r="C99" s="594" t="s">
        <v>385</v>
      </c>
      <c r="D99" s="511" t="s">
        <v>110</v>
      </c>
      <c r="E99" s="595" t="str">
        <f t="shared" si="17"/>
        <v>X</v>
      </c>
      <c r="F99" s="595" t="str">
        <f t="shared" si="18"/>
        <v>✓</v>
      </c>
      <c r="G99" s="596"/>
      <c r="H99" s="598">
        <v>143.6</v>
      </c>
      <c r="I99" s="598"/>
      <c r="J99" s="598"/>
      <c r="K99" s="598"/>
      <c r="L99" s="598"/>
      <c r="M99" s="694"/>
      <c r="N99" s="299"/>
      <c r="O99" s="599"/>
      <c r="P99" s="603"/>
      <c r="Q99" s="601"/>
      <c r="R99" s="602"/>
      <c r="S99" s="158"/>
      <c r="T99" s="158"/>
      <c r="U99" s="158"/>
      <c r="V99" s="158"/>
      <c r="W99" s="158"/>
      <c r="X99" s="158"/>
      <c r="Y99" s="158"/>
      <c r="Z99" s="158"/>
      <c r="AA99" s="158"/>
      <c r="AB99" s="158"/>
      <c r="AC99" s="158"/>
      <c r="AD99" s="158"/>
      <c r="AE99" s="158"/>
      <c r="AF99" s="158"/>
      <c r="AG99" s="158"/>
      <c r="AH99" s="158"/>
      <c r="AI99" s="158"/>
      <c r="AJ99" s="158"/>
      <c r="AK99" s="158"/>
      <c r="AL99" s="158"/>
      <c r="AM99" s="158"/>
      <c r="AN99" s="158"/>
      <c r="AO99" s="158"/>
      <c r="AP99" s="158"/>
      <c r="AQ99" s="158"/>
      <c r="AR99" s="158"/>
      <c r="AS99" s="158"/>
      <c r="AT99" s="158"/>
      <c r="AU99" s="158"/>
      <c r="AV99" s="158"/>
      <c r="AW99" s="158"/>
      <c r="AX99" s="158"/>
      <c r="AY99" s="158"/>
      <c r="AZ99" s="158"/>
    </row>
    <row r="100" spans="1:56" x14ac:dyDescent="0.3">
      <c r="A100" s="156" t="str">
        <f t="shared" si="16"/>
        <v>869-00</v>
      </c>
      <c r="B100" s="593">
        <v>869</v>
      </c>
      <c r="C100" s="594" t="s">
        <v>386</v>
      </c>
      <c r="D100" s="511" t="s">
        <v>110</v>
      </c>
      <c r="E100" s="595" t="str">
        <f t="shared" si="17"/>
        <v>X</v>
      </c>
      <c r="F100" s="595" t="str">
        <f t="shared" si="18"/>
        <v>✓</v>
      </c>
      <c r="G100" s="596"/>
      <c r="H100" s="598">
        <v>20</v>
      </c>
      <c r="I100" s="598"/>
      <c r="J100" s="598"/>
      <c r="K100" s="598"/>
      <c r="L100" s="598"/>
      <c r="M100" s="694"/>
      <c r="N100" s="299"/>
      <c r="O100" s="599"/>
      <c r="P100" s="603"/>
      <c r="Q100" s="601"/>
      <c r="R100" s="602"/>
      <c r="S100" s="158"/>
      <c r="T100" s="158"/>
      <c r="U100" s="158"/>
      <c r="V100" s="158"/>
      <c r="W100" s="158"/>
      <c r="X100" s="158"/>
      <c r="Y100" s="158"/>
      <c r="Z100" s="158"/>
      <c r="AA100" s="158"/>
      <c r="AB100" s="158"/>
      <c r="AC100" s="158"/>
      <c r="AD100" s="158"/>
      <c r="AE100" s="158"/>
      <c r="AF100" s="158"/>
      <c r="AG100" s="158"/>
      <c r="AH100" s="158"/>
      <c r="AI100" s="158"/>
      <c r="AJ100" s="158"/>
      <c r="AK100" s="158"/>
      <c r="AL100" s="158"/>
      <c r="AM100" s="158"/>
      <c r="AN100" s="158"/>
      <c r="AO100" s="158"/>
      <c r="AP100" s="158"/>
      <c r="AQ100" s="158"/>
      <c r="AR100" s="158"/>
      <c r="AS100" s="158"/>
      <c r="AT100" s="158"/>
      <c r="AU100" s="158"/>
      <c r="AV100" s="158"/>
      <c r="AW100" s="158"/>
      <c r="AX100" s="158"/>
      <c r="AY100" s="158"/>
      <c r="AZ100" s="158"/>
    </row>
    <row r="101" spans="1:56" x14ac:dyDescent="0.3">
      <c r="A101" s="156" t="str">
        <f t="shared" si="16"/>
        <v>875-00</v>
      </c>
      <c r="B101" s="593">
        <v>875</v>
      </c>
      <c r="C101" s="594" t="s">
        <v>343</v>
      </c>
      <c r="D101" s="511" t="s">
        <v>110</v>
      </c>
      <c r="E101" s="595" t="str">
        <f t="shared" si="17"/>
        <v>✓</v>
      </c>
      <c r="F101" s="595" t="str">
        <f t="shared" si="18"/>
        <v>✓</v>
      </c>
      <c r="G101" s="596">
        <v>22.88</v>
      </c>
      <c r="H101" s="598">
        <v>22.88</v>
      </c>
      <c r="I101" s="598"/>
      <c r="J101" s="598"/>
      <c r="K101" s="598"/>
      <c r="L101" s="598"/>
      <c r="M101" s="694">
        <f t="shared" si="14"/>
        <v>9283.7696292012679</v>
      </c>
      <c r="N101" s="299"/>
      <c r="O101" s="599">
        <v>5.9</v>
      </c>
      <c r="P101" s="600">
        <v>0.42</v>
      </c>
      <c r="Q101" s="601">
        <v>9283</v>
      </c>
      <c r="R101" s="602">
        <f t="shared" si="15"/>
        <v>0.99991709949384711</v>
      </c>
      <c r="S101" s="158"/>
      <c r="T101" s="158"/>
      <c r="U101" s="158"/>
      <c r="V101" s="158"/>
      <c r="W101" s="158"/>
      <c r="X101" s="158"/>
      <c r="Y101" s="158"/>
      <c r="Z101" s="158"/>
      <c r="AA101" s="158"/>
      <c r="AB101" s="158"/>
      <c r="AC101" s="158"/>
      <c r="AD101" s="158"/>
      <c r="AE101" s="158"/>
      <c r="AF101" s="158"/>
      <c r="AG101" s="158"/>
      <c r="AH101" s="158"/>
      <c r="AI101" s="158"/>
      <c r="AJ101" s="158"/>
      <c r="AK101" s="158"/>
      <c r="AL101" s="158"/>
      <c r="AM101" s="158"/>
      <c r="AN101" s="158"/>
      <c r="AO101" s="158"/>
      <c r="AP101" s="158"/>
      <c r="AQ101" s="158"/>
      <c r="AR101" s="158"/>
      <c r="AS101" s="158"/>
      <c r="AT101" s="158"/>
      <c r="AU101" s="158"/>
      <c r="AV101" s="158"/>
      <c r="AW101" s="158"/>
      <c r="AX101" s="158"/>
      <c r="AY101" s="158"/>
      <c r="AZ101" s="158"/>
    </row>
    <row r="102" spans="1:56" x14ac:dyDescent="0.3">
      <c r="A102" s="156" t="str">
        <f t="shared" si="16"/>
        <v>876-00</v>
      </c>
      <c r="B102" s="593">
        <v>876</v>
      </c>
      <c r="C102" s="594" t="s">
        <v>387</v>
      </c>
      <c r="D102" s="511" t="s">
        <v>110</v>
      </c>
      <c r="E102" s="595" t="str">
        <f t="shared" si="17"/>
        <v>X</v>
      </c>
      <c r="F102" s="595" t="str">
        <f t="shared" si="18"/>
        <v>✓</v>
      </c>
      <c r="G102" s="596"/>
      <c r="H102" s="598">
        <v>66.400000000000006</v>
      </c>
      <c r="I102" s="598">
        <v>384.82</v>
      </c>
      <c r="J102" s="598"/>
      <c r="K102" s="598"/>
      <c r="L102" s="598"/>
      <c r="M102" s="694"/>
      <c r="N102" s="299"/>
      <c r="O102" s="599"/>
      <c r="P102" s="603"/>
      <c r="Q102" s="601"/>
      <c r="R102" s="602"/>
      <c r="S102" s="158"/>
      <c r="T102" s="158"/>
      <c r="U102" s="158"/>
      <c r="V102" s="158"/>
      <c r="W102" s="158"/>
      <c r="X102" s="158"/>
      <c r="Y102" s="158"/>
      <c r="Z102" s="158"/>
      <c r="AA102" s="158"/>
      <c r="AB102" s="158"/>
      <c r="AC102" s="158"/>
      <c r="AD102" s="158"/>
      <c r="AE102" s="158"/>
      <c r="AF102" s="158"/>
      <c r="AG102" s="158"/>
      <c r="AH102" s="158"/>
      <c r="AI102" s="158"/>
      <c r="AJ102" s="158"/>
      <c r="AK102" s="158"/>
      <c r="AL102" s="158"/>
      <c r="AM102" s="158"/>
      <c r="AN102" s="158"/>
      <c r="AO102" s="158"/>
      <c r="AP102" s="158"/>
      <c r="AQ102" s="158"/>
      <c r="AR102" s="158"/>
      <c r="AS102" s="158"/>
      <c r="AT102" s="158"/>
      <c r="AU102" s="158"/>
      <c r="AV102" s="158"/>
      <c r="AW102" s="158"/>
      <c r="AX102" s="158"/>
      <c r="AY102" s="158"/>
      <c r="AZ102" s="158"/>
    </row>
    <row r="103" spans="1:56" x14ac:dyDescent="0.3">
      <c r="A103" s="156" t="str">
        <f t="shared" si="16"/>
        <v>879-00</v>
      </c>
      <c r="B103" s="593">
        <v>879</v>
      </c>
      <c r="C103" s="594" t="s">
        <v>388</v>
      </c>
      <c r="D103" s="511" t="s">
        <v>110</v>
      </c>
      <c r="E103" s="595" t="str">
        <f t="shared" si="17"/>
        <v>X</v>
      </c>
      <c r="F103" s="595" t="str">
        <f t="shared" si="18"/>
        <v>✓</v>
      </c>
      <c r="G103" s="596"/>
      <c r="H103" s="598">
        <v>56.55</v>
      </c>
      <c r="I103" s="598"/>
      <c r="J103" s="598"/>
      <c r="K103" s="598"/>
      <c r="L103" s="598"/>
      <c r="M103" s="694"/>
      <c r="N103" s="299"/>
      <c r="O103" s="599"/>
      <c r="P103" s="603"/>
      <c r="Q103" s="601"/>
      <c r="R103" s="602"/>
      <c r="S103" s="158"/>
      <c r="T103" s="158"/>
      <c r="U103" s="158"/>
      <c r="V103" s="158"/>
      <c r="W103" s="158"/>
      <c r="X103" s="158"/>
      <c r="Y103" s="158"/>
      <c r="Z103" s="158"/>
      <c r="AA103" s="158"/>
      <c r="AB103" s="158"/>
      <c r="AC103" s="158"/>
      <c r="AD103" s="158"/>
      <c r="AE103" s="158"/>
      <c r="AF103" s="158"/>
      <c r="AG103" s="158"/>
      <c r="AH103" s="158"/>
      <c r="AI103" s="158"/>
      <c r="AJ103" s="158"/>
      <c r="AK103" s="158"/>
      <c r="AL103" s="158"/>
      <c r="AM103" s="158"/>
      <c r="AN103" s="158"/>
      <c r="AO103" s="158"/>
      <c r="AP103" s="158"/>
      <c r="AQ103" s="158"/>
      <c r="AR103" s="158"/>
      <c r="AS103" s="158"/>
      <c r="AT103" s="158"/>
      <c r="AU103" s="158"/>
      <c r="AV103" s="158"/>
      <c r="AW103" s="158"/>
      <c r="AX103" s="158"/>
      <c r="AY103" s="158"/>
      <c r="AZ103" s="158"/>
    </row>
    <row r="104" spans="1:56" x14ac:dyDescent="0.3">
      <c r="A104" s="156" t="str">
        <f t="shared" si="16"/>
        <v>880-00</v>
      </c>
      <c r="B104" s="593">
        <v>880</v>
      </c>
      <c r="C104" s="594" t="s">
        <v>389</v>
      </c>
      <c r="D104" s="511" t="s">
        <v>110</v>
      </c>
      <c r="E104" s="595" t="str">
        <f t="shared" si="17"/>
        <v>✓</v>
      </c>
      <c r="F104" s="595" t="str">
        <f t="shared" si="18"/>
        <v>✓</v>
      </c>
      <c r="G104" s="596">
        <v>90.06</v>
      </c>
      <c r="H104" s="598">
        <v>90.08</v>
      </c>
      <c r="I104" s="598"/>
      <c r="J104" s="598"/>
      <c r="K104" s="598">
        <v>323.69</v>
      </c>
      <c r="L104" s="299"/>
      <c r="M104" s="694">
        <f t="shared" si="14"/>
        <v>11136.813756987891</v>
      </c>
      <c r="N104" s="299"/>
      <c r="O104" s="599">
        <v>2.36</v>
      </c>
      <c r="P104" s="600">
        <v>0.32</v>
      </c>
      <c r="Q104" s="601">
        <v>11136.5</v>
      </c>
      <c r="R104" s="602">
        <f t="shared" si="15"/>
        <v>0.99997182704185084</v>
      </c>
      <c r="S104" s="158"/>
      <c r="T104" s="158"/>
      <c r="U104" s="158"/>
      <c r="V104" s="158"/>
      <c r="W104" s="158"/>
      <c r="X104" s="158"/>
      <c r="Y104" s="158"/>
      <c r="Z104" s="158"/>
      <c r="AA104" s="158"/>
      <c r="AB104" s="158"/>
      <c r="AC104" s="158"/>
      <c r="AD104" s="158"/>
      <c r="AE104" s="158"/>
      <c r="AF104" s="158"/>
      <c r="AG104" s="158"/>
      <c r="AH104" s="158"/>
      <c r="AI104" s="158"/>
      <c r="AJ104" s="158"/>
      <c r="AK104" s="158"/>
      <c r="AL104" s="158"/>
      <c r="AM104" s="158"/>
      <c r="AN104" s="158"/>
      <c r="AO104" s="158"/>
      <c r="AP104" s="158"/>
      <c r="AQ104" s="158"/>
      <c r="AR104" s="158"/>
      <c r="AS104" s="158"/>
      <c r="AT104" s="158"/>
      <c r="AU104" s="158"/>
      <c r="AV104" s="158"/>
      <c r="AW104" s="158"/>
      <c r="AX104" s="158"/>
      <c r="AY104" s="158"/>
      <c r="AZ104" s="158"/>
      <c r="BA104" s="406"/>
      <c r="BB104" s="406"/>
      <c r="BC104" s="406"/>
      <c r="BD104" s="406"/>
    </row>
    <row r="105" spans="1:56" x14ac:dyDescent="0.3">
      <c r="A105" s="156" t="str">
        <f t="shared" si="16"/>
        <v>881-00</v>
      </c>
      <c r="B105" s="593">
        <v>881</v>
      </c>
      <c r="C105" s="594" t="s">
        <v>390</v>
      </c>
      <c r="D105" s="511" t="s">
        <v>110</v>
      </c>
      <c r="E105" s="595" t="str">
        <f t="shared" si="17"/>
        <v>✓</v>
      </c>
      <c r="F105" s="595" t="str">
        <f t="shared" si="18"/>
        <v>✓</v>
      </c>
      <c r="G105" s="596">
        <v>96.91</v>
      </c>
      <c r="H105" s="598">
        <v>109.16</v>
      </c>
      <c r="I105" s="598"/>
      <c r="J105" s="598"/>
      <c r="K105" s="598"/>
      <c r="L105" s="598"/>
      <c r="M105" s="694">
        <f t="shared" si="14"/>
        <v>11983.884312566031</v>
      </c>
      <c r="N105" s="299"/>
      <c r="O105" s="599">
        <v>2.36</v>
      </c>
      <c r="P105" s="600">
        <v>0.32</v>
      </c>
      <c r="Q105" s="601">
        <v>11984.3</v>
      </c>
      <c r="R105" s="602">
        <f t="shared" si="15"/>
        <v>1.0000346872035082</v>
      </c>
      <c r="S105" s="158"/>
      <c r="T105" s="158"/>
      <c r="U105" s="158"/>
      <c r="V105" s="158"/>
      <c r="W105" s="158"/>
      <c r="X105" s="158"/>
      <c r="Y105" s="158"/>
      <c r="Z105" s="158"/>
      <c r="AA105" s="158"/>
      <c r="AB105" s="158"/>
      <c r="AC105" s="158"/>
      <c r="AD105" s="158"/>
      <c r="AE105" s="158"/>
      <c r="AF105" s="158"/>
      <c r="AG105" s="158"/>
      <c r="AH105" s="158"/>
      <c r="AI105" s="158"/>
      <c r="AJ105" s="158"/>
      <c r="AK105" s="158"/>
      <c r="AL105" s="158"/>
      <c r="AM105" s="158"/>
      <c r="AN105" s="158"/>
      <c r="AO105" s="158"/>
      <c r="AP105" s="158"/>
      <c r="AQ105" s="158"/>
      <c r="AR105" s="158"/>
      <c r="AS105" s="158"/>
      <c r="AT105" s="158"/>
      <c r="AU105" s="158"/>
      <c r="AV105" s="158"/>
      <c r="AW105" s="158"/>
      <c r="AX105" s="158"/>
      <c r="AY105" s="158"/>
      <c r="AZ105" s="158"/>
      <c r="BA105" s="406"/>
      <c r="BB105" s="406"/>
      <c r="BC105" s="406"/>
      <c r="BD105" s="406"/>
    </row>
    <row r="106" spans="1:56" x14ac:dyDescent="0.3">
      <c r="A106" s="156" t="str">
        <f t="shared" si="16"/>
        <v>882-00</v>
      </c>
      <c r="B106" s="593">
        <v>882</v>
      </c>
      <c r="C106" s="594" t="s">
        <v>391</v>
      </c>
      <c r="D106" s="511" t="s">
        <v>110</v>
      </c>
      <c r="E106" s="595" t="str">
        <f t="shared" si="17"/>
        <v>X</v>
      </c>
      <c r="F106" s="595" t="str">
        <f t="shared" si="18"/>
        <v>✓</v>
      </c>
      <c r="G106" s="596"/>
      <c r="H106" s="598">
        <v>252.7</v>
      </c>
      <c r="I106" s="598"/>
      <c r="J106" s="598"/>
      <c r="K106" s="598"/>
      <c r="L106" s="598"/>
      <c r="M106" s="694"/>
      <c r="N106" s="299"/>
      <c r="O106" s="599"/>
      <c r="P106" s="603"/>
      <c r="Q106" s="601"/>
      <c r="R106" s="602"/>
      <c r="S106" s="158"/>
      <c r="T106" s="158"/>
      <c r="U106" s="158"/>
      <c r="V106" s="158"/>
      <c r="W106" s="158"/>
      <c r="X106" s="158"/>
      <c r="Y106" s="158"/>
      <c r="Z106" s="158"/>
      <c r="AA106" s="158"/>
      <c r="AB106" s="158"/>
      <c r="AC106" s="158"/>
      <c r="AD106" s="158"/>
      <c r="AE106" s="158"/>
      <c r="AF106" s="158"/>
      <c r="AG106" s="158"/>
      <c r="AH106" s="158"/>
      <c r="AI106" s="158"/>
      <c r="AJ106" s="158"/>
      <c r="AK106" s="158"/>
      <c r="AL106" s="158"/>
      <c r="AM106" s="158"/>
      <c r="AN106" s="158"/>
      <c r="AO106" s="158"/>
      <c r="AP106" s="158"/>
      <c r="AQ106" s="158"/>
      <c r="AR106" s="158"/>
      <c r="AS106" s="158"/>
      <c r="AT106" s="158"/>
      <c r="AU106" s="158"/>
      <c r="AV106" s="158"/>
      <c r="AW106" s="158"/>
      <c r="AX106" s="158"/>
      <c r="AY106" s="158"/>
      <c r="AZ106" s="158"/>
      <c r="BA106" s="406"/>
      <c r="BB106" s="406"/>
      <c r="BC106" s="406"/>
      <c r="BD106" s="406"/>
    </row>
    <row r="107" spans="1:56" x14ac:dyDescent="0.3">
      <c r="A107" s="156" t="str">
        <f t="shared" si="16"/>
        <v>890-00</v>
      </c>
      <c r="B107" s="593">
        <v>890</v>
      </c>
      <c r="C107" s="594" t="s">
        <v>350</v>
      </c>
      <c r="D107" s="511" t="s">
        <v>110</v>
      </c>
      <c r="E107" s="595" t="str">
        <f t="shared" si="17"/>
        <v>✓</v>
      </c>
      <c r="F107" s="595" t="str">
        <f t="shared" si="18"/>
        <v>✓</v>
      </c>
      <c r="G107" s="596">
        <v>5.0599999999999996</v>
      </c>
      <c r="H107" s="598">
        <v>6.3</v>
      </c>
      <c r="I107" s="598"/>
      <c r="J107" s="598"/>
      <c r="K107" s="598"/>
      <c r="L107" s="598"/>
      <c r="M107" s="694">
        <f t="shared" si="14"/>
        <v>1657.0955288975999</v>
      </c>
      <c r="N107" s="299"/>
      <c r="O107" s="599">
        <v>4</v>
      </c>
      <c r="P107" s="600">
        <v>0.5</v>
      </c>
      <c r="Q107" s="601">
        <v>1656.8</v>
      </c>
      <c r="R107" s="602">
        <f t="shared" si="15"/>
        <v>0.99982165850281635</v>
      </c>
      <c r="S107" s="158"/>
      <c r="T107" s="158"/>
      <c r="U107" s="158"/>
      <c r="V107" s="158"/>
      <c r="W107" s="158"/>
      <c r="X107" s="158"/>
      <c r="Y107" s="158"/>
      <c r="Z107" s="158"/>
      <c r="AA107" s="158"/>
      <c r="AB107" s="158"/>
      <c r="AC107" s="158"/>
      <c r="AD107" s="158"/>
      <c r="AE107" s="158"/>
      <c r="AF107" s="158"/>
      <c r="AG107" s="158"/>
      <c r="AH107" s="158"/>
      <c r="AI107" s="158"/>
      <c r="AJ107" s="158"/>
      <c r="AK107" s="158"/>
      <c r="AL107" s="158"/>
      <c r="AM107" s="158"/>
      <c r="AN107" s="158"/>
      <c r="AO107" s="158"/>
      <c r="AP107" s="158"/>
      <c r="AQ107" s="158"/>
      <c r="AR107" s="158"/>
      <c r="AS107" s="158"/>
      <c r="AT107" s="158"/>
      <c r="AU107" s="158"/>
      <c r="AV107" s="158"/>
      <c r="AW107" s="158"/>
      <c r="AX107" s="158"/>
      <c r="AY107" s="158"/>
      <c r="AZ107" s="158"/>
      <c r="BA107" s="406"/>
      <c r="BB107" s="406"/>
      <c r="BC107" s="406"/>
      <c r="BD107" s="406"/>
    </row>
    <row r="108" spans="1:56" x14ac:dyDescent="0.3">
      <c r="A108" s="156" t="str">
        <f t="shared" si="16"/>
        <v>899-00</v>
      </c>
      <c r="B108" s="593">
        <v>899</v>
      </c>
      <c r="C108" s="594" t="s">
        <v>392</v>
      </c>
      <c r="D108" s="511" t="s">
        <v>110</v>
      </c>
      <c r="E108" s="595" t="str">
        <f t="shared" si="17"/>
        <v>X</v>
      </c>
      <c r="F108" s="595" t="str">
        <f t="shared" si="18"/>
        <v>✓</v>
      </c>
      <c r="G108" s="596"/>
      <c r="H108" s="598">
        <v>101.49</v>
      </c>
      <c r="I108" s="598"/>
      <c r="J108" s="598"/>
      <c r="K108" s="598"/>
      <c r="L108" s="598"/>
      <c r="M108" s="694"/>
      <c r="N108" s="299"/>
      <c r="O108" s="599"/>
      <c r="P108" s="603"/>
      <c r="Q108" s="601"/>
      <c r="R108" s="602"/>
      <c r="S108" s="158"/>
      <c r="T108" s="158"/>
      <c r="U108" s="158"/>
      <c r="V108" s="158"/>
      <c r="W108" s="158"/>
      <c r="X108" s="158"/>
      <c r="Y108" s="158"/>
      <c r="Z108" s="158"/>
      <c r="AA108" s="158"/>
      <c r="AB108" s="158"/>
      <c r="AC108" s="158"/>
      <c r="AD108" s="158"/>
      <c r="AE108" s="158"/>
      <c r="AF108" s="158"/>
      <c r="AG108" s="158"/>
      <c r="AH108" s="158"/>
      <c r="AI108" s="158"/>
      <c r="AJ108" s="158"/>
      <c r="AK108" s="158"/>
      <c r="AL108" s="158"/>
      <c r="AM108" s="158"/>
      <c r="AN108" s="158"/>
      <c r="AO108" s="158"/>
      <c r="AP108" s="158"/>
      <c r="AQ108" s="158"/>
      <c r="AR108" s="158"/>
      <c r="AS108" s="158"/>
      <c r="AT108" s="158"/>
      <c r="AU108" s="158"/>
      <c r="AV108" s="158"/>
      <c r="AW108" s="158"/>
      <c r="AX108" s="158"/>
      <c r="AY108" s="158"/>
      <c r="AZ108" s="158"/>
      <c r="BA108" s="406"/>
      <c r="BB108" s="406"/>
      <c r="BC108" s="406"/>
      <c r="BD108" s="406"/>
    </row>
    <row r="109" spans="1:56" x14ac:dyDescent="0.3">
      <c r="A109" s="156" t="str">
        <f t="shared" si="16"/>
        <v>911-00</v>
      </c>
      <c r="B109" s="593">
        <v>911</v>
      </c>
      <c r="C109" s="594" t="s">
        <v>355</v>
      </c>
      <c r="D109" s="511" t="s">
        <v>110</v>
      </c>
      <c r="E109" s="595" t="str">
        <f>IF(G109,"✓","X")</f>
        <v>✓</v>
      </c>
      <c r="F109" s="595" t="str">
        <f>IF(H109,"✓","X")</f>
        <v>✓</v>
      </c>
      <c r="G109" s="596">
        <v>156.47999999999999</v>
      </c>
      <c r="H109" s="598">
        <v>12.13</v>
      </c>
      <c r="I109" s="598"/>
      <c r="J109" s="614"/>
      <c r="K109" s="598"/>
      <c r="L109" s="598"/>
      <c r="M109" s="694">
        <f t="shared" si="14"/>
        <v>16014.223589543995</v>
      </c>
      <c r="N109" s="299"/>
      <c r="O109" s="603">
        <v>1.25</v>
      </c>
      <c r="P109" s="600">
        <v>0.5</v>
      </c>
      <c r="Q109" s="601">
        <v>16014.3</v>
      </c>
      <c r="R109" s="602">
        <f t="shared" si="15"/>
        <v>1.0000047714118376</v>
      </c>
      <c r="S109" s="158"/>
      <c r="T109" s="158"/>
      <c r="U109" s="158"/>
      <c r="V109" s="158"/>
      <c r="W109" s="158"/>
      <c r="X109" s="158"/>
      <c r="Y109" s="158"/>
      <c r="Z109" s="158"/>
      <c r="AA109" s="158"/>
      <c r="AB109" s="158"/>
      <c r="AC109" s="158"/>
      <c r="AD109" s="158"/>
      <c r="AE109" s="158"/>
      <c r="AF109" s="158"/>
      <c r="AG109" s="158"/>
      <c r="AH109" s="158"/>
      <c r="AI109" s="158"/>
      <c r="AJ109" s="158"/>
      <c r="AK109" s="158"/>
      <c r="AL109" s="158"/>
      <c r="AM109" s="158"/>
      <c r="AN109" s="158"/>
      <c r="AO109" s="158"/>
      <c r="AP109" s="158"/>
      <c r="AQ109" s="158"/>
      <c r="AR109" s="158"/>
      <c r="AS109" s="158"/>
      <c r="AT109" s="158"/>
      <c r="AU109" s="158"/>
      <c r="AV109" s="158"/>
      <c r="AW109" s="158"/>
      <c r="AX109" s="158"/>
      <c r="AY109" s="158"/>
      <c r="AZ109" s="158"/>
      <c r="BA109" s="406"/>
      <c r="BB109" s="406"/>
      <c r="BC109" s="406"/>
      <c r="BD109" s="406"/>
    </row>
    <row r="110" spans="1:56" x14ac:dyDescent="0.3">
      <c r="A110" s="156" t="str">
        <f t="shared" si="16"/>
        <v>912-00</v>
      </c>
      <c r="B110" s="593">
        <v>912</v>
      </c>
      <c r="C110" s="594" t="s">
        <v>358</v>
      </c>
      <c r="D110" s="511" t="s">
        <v>110</v>
      </c>
      <c r="E110" s="595" t="str">
        <f t="shared" ref="E110:F118" si="20">IF(G110,"✓","X")</f>
        <v>✓</v>
      </c>
      <c r="F110" s="595" t="str">
        <f t="shared" ref="F110:F117" si="21">IF(H110,"✓","X")</f>
        <v>✓</v>
      </c>
      <c r="G110" s="596">
        <v>246.49</v>
      </c>
      <c r="H110" s="598">
        <v>100.03</v>
      </c>
      <c r="I110" s="598"/>
      <c r="J110" s="598"/>
      <c r="K110" s="598"/>
      <c r="L110" s="598"/>
      <c r="M110" s="694">
        <f t="shared" si="14"/>
        <v>25225.88172665325</v>
      </c>
      <c r="N110" s="299"/>
      <c r="O110" s="599">
        <v>1.25</v>
      </c>
      <c r="P110" s="600">
        <v>0.5</v>
      </c>
      <c r="Q110" s="601">
        <v>25226.6</v>
      </c>
      <c r="R110" s="602">
        <f t="shared" si="15"/>
        <v>1.0000284736666307</v>
      </c>
      <c r="S110" s="158"/>
      <c r="T110" s="158"/>
      <c r="U110" s="158"/>
      <c r="V110" s="158"/>
      <c r="W110" s="158"/>
      <c r="X110" s="158"/>
      <c r="Y110" s="158"/>
      <c r="Z110" s="158"/>
      <c r="AA110" s="158"/>
      <c r="AB110" s="158"/>
      <c r="AC110" s="158"/>
      <c r="AD110" s="158"/>
      <c r="AE110" s="158"/>
      <c r="AF110" s="158"/>
      <c r="AG110" s="158"/>
      <c r="AH110" s="158"/>
      <c r="AI110" s="158"/>
      <c r="AJ110" s="158"/>
      <c r="AK110" s="158"/>
      <c r="AL110" s="158"/>
      <c r="AM110" s="158"/>
      <c r="AN110" s="158"/>
      <c r="AO110" s="158"/>
      <c r="AP110" s="158"/>
      <c r="AQ110" s="158"/>
      <c r="AR110" s="158"/>
      <c r="AS110" s="158"/>
      <c r="AT110" s="158"/>
      <c r="AU110" s="158"/>
      <c r="AV110" s="158"/>
      <c r="AW110" s="158"/>
      <c r="AX110" s="158"/>
      <c r="AY110" s="158"/>
      <c r="AZ110" s="158"/>
      <c r="BA110" s="406"/>
      <c r="BB110" s="406"/>
      <c r="BC110" s="406"/>
      <c r="BD110" s="406"/>
    </row>
    <row r="111" spans="1:56" x14ac:dyDescent="0.3">
      <c r="A111" s="156" t="str">
        <f t="shared" si="16"/>
        <v>931-00</v>
      </c>
      <c r="B111" s="593">
        <v>931</v>
      </c>
      <c r="C111" s="594" t="s">
        <v>361</v>
      </c>
      <c r="D111" s="511" t="s">
        <v>110</v>
      </c>
      <c r="E111" s="595" t="str">
        <f t="shared" si="20"/>
        <v>✓</v>
      </c>
      <c r="F111" s="595" t="str">
        <f t="shared" si="21"/>
        <v>✓</v>
      </c>
      <c r="G111" s="596">
        <v>89.95</v>
      </c>
      <c r="H111" s="598">
        <v>83.84</v>
      </c>
      <c r="I111" s="598"/>
      <c r="J111" s="598"/>
      <c r="K111" s="598"/>
      <c r="L111" s="598"/>
      <c r="M111" s="694">
        <f t="shared" si="14"/>
        <v>68047.186941546126</v>
      </c>
      <c r="N111" s="299"/>
      <c r="O111" s="599">
        <v>6.16</v>
      </c>
      <c r="P111" s="600">
        <v>0.75</v>
      </c>
      <c r="Q111" s="601">
        <v>68047</v>
      </c>
      <c r="R111" s="602">
        <f t="shared" si="15"/>
        <v>0.99999725276599183</v>
      </c>
      <c r="S111" s="158"/>
      <c r="T111" s="158"/>
      <c r="U111" s="158"/>
      <c r="V111" s="158"/>
      <c r="W111" s="158"/>
      <c r="X111" s="158"/>
      <c r="Y111" s="158"/>
      <c r="Z111" s="158"/>
      <c r="AA111" s="158"/>
      <c r="AB111" s="158"/>
      <c r="AC111" s="158"/>
      <c r="AD111" s="158"/>
      <c r="AE111" s="158"/>
      <c r="AF111" s="158"/>
      <c r="AG111" s="158"/>
      <c r="AH111" s="158"/>
      <c r="AI111" s="158"/>
      <c r="AJ111" s="158"/>
      <c r="AK111" s="158"/>
      <c r="AL111" s="158"/>
      <c r="AM111" s="158"/>
      <c r="AN111" s="158"/>
      <c r="AO111" s="158"/>
      <c r="AP111" s="158"/>
      <c r="AQ111" s="158"/>
      <c r="AR111" s="158"/>
      <c r="AS111" s="158"/>
      <c r="AT111" s="158"/>
      <c r="AU111" s="158"/>
      <c r="AV111" s="158"/>
      <c r="AW111" s="158"/>
      <c r="AX111" s="158"/>
      <c r="AY111" s="158"/>
      <c r="AZ111" s="158"/>
      <c r="BA111" s="406"/>
      <c r="BB111" s="406"/>
      <c r="BC111" s="406"/>
      <c r="BD111" s="406"/>
    </row>
    <row r="112" spans="1:56" x14ac:dyDescent="0.3">
      <c r="A112" s="156" t="str">
        <f t="shared" si="16"/>
        <v>931-00</v>
      </c>
      <c r="B112" s="593">
        <v>931</v>
      </c>
      <c r="C112" s="594" t="s">
        <v>393</v>
      </c>
      <c r="D112" s="511" t="s">
        <v>394</v>
      </c>
      <c r="E112" s="595" t="str">
        <f t="shared" si="20"/>
        <v>✓</v>
      </c>
      <c r="F112" s="595" t="str">
        <f t="shared" si="21"/>
        <v>✓</v>
      </c>
      <c r="G112" s="596">
        <v>2.86</v>
      </c>
      <c r="H112" s="598">
        <v>2.6</v>
      </c>
      <c r="I112" s="598"/>
      <c r="J112" s="598"/>
      <c r="K112" s="598"/>
      <c r="L112" s="598"/>
      <c r="M112" s="694">
        <f t="shared" si="14"/>
        <v>2163.5903796867356</v>
      </c>
      <c r="N112" s="299"/>
      <c r="O112" s="599">
        <v>6.16</v>
      </c>
      <c r="P112" s="600">
        <v>0.75</v>
      </c>
      <c r="Q112" s="601">
        <v>2163.0520000000001</v>
      </c>
      <c r="R112" s="602">
        <f t="shared" si="15"/>
        <v>0.99975116376381123</v>
      </c>
      <c r="S112" s="158"/>
      <c r="T112" s="158"/>
      <c r="U112" s="158"/>
      <c r="V112" s="158"/>
      <c r="W112" s="158"/>
      <c r="X112" s="158"/>
      <c r="Y112" s="158"/>
      <c r="Z112" s="158"/>
      <c r="AA112" s="158"/>
      <c r="AB112" s="158"/>
      <c r="AC112" s="158"/>
      <c r="AD112" s="158"/>
      <c r="AE112" s="158"/>
      <c r="AF112" s="158"/>
      <c r="AG112" s="158"/>
      <c r="AH112" s="158"/>
      <c r="AI112" s="158"/>
      <c r="AJ112" s="158"/>
      <c r="AK112" s="158"/>
      <c r="AL112" s="158"/>
      <c r="AM112" s="158"/>
      <c r="AN112" s="158"/>
      <c r="AO112" s="158"/>
      <c r="AP112" s="158"/>
      <c r="AQ112" s="158"/>
      <c r="AR112" s="158"/>
      <c r="AS112" s="158"/>
      <c r="AT112" s="158"/>
      <c r="AU112" s="158"/>
      <c r="AV112" s="158"/>
      <c r="AW112" s="158"/>
      <c r="AX112" s="158"/>
      <c r="AY112" s="158"/>
      <c r="AZ112" s="158"/>
      <c r="BA112" s="406"/>
      <c r="BB112" s="406"/>
      <c r="BC112" s="406"/>
      <c r="BD112" s="406"/>
    </row>
    <row r="113" spans="1:56" x14ac:dyDescent="0.3">
      <c r="A113" s="156" t="str">
        <f t="shared" si="16"/>
        <v>932-00</v>
      </c>
      <c r="B113" s="593">
        <v>932</v>
      </c>
      <c r="C113" s="594" t="s">
        <v>395</v>
      </c>
      <c r="D113" s="511" t="s">
        <v>110</v>
      </c>
      <c r="E113" s="595" t="str">
        <f t="shared" si="20"/>
        <v>✓</v>
      </c>
      <c r="F113" s="595" t="str">
        <f t="shared" si="21"/>
        <v>✓</v>
      </c>
      <c r="G113" s="596">
        <v>158.37</v>
      </c>
      <c r="H113" s="598">
        <v>112.18</v>
      </c>
      <c r="I113" s="598"/>
      <c r="J113" s="598"/>
      <c r="K113" s="598"/>
      <c r="L113" s="598"/>
      <c r="M113" s="694">
        <f t="shared" si="14"/>
        <v>51864.470140615194</v>
      </c>
      <c r="N113" s="299"/>
      <c r="O113" s="599">
        <v>4</v>
      </c>
      <c r="P113" s="600">
        <v>0.5</v>
      </c>
      <c r="Q113" s="601">
        <v>51864.5</v>
      </c>
      <c r="R113" s="602">
        <f t="shared" si="15"/>
        <v>1.0000005757194612</v>
      </c>
      <c r="S113" s="158"/>
      <c r="T113" s="158"/>
      <c r="U113" s="158"/>
      <c r="V113" s="158"/>
      <c r="W113" s="158"/>
      <c r="X113" s="158"/>
      <c r="Y113" s="158"/>
      <c r="Z113" s="158"/>
      <c r="AA113" s="158"/>
      <c r="AB113" s="158"/>
      <c r="AC113" s="158"/>
      <c r="AD113" s="158"/>
      <c r="AE113" s="158"/>
      <c r="AF113" s="158"/>
      <c r="AG113" s="158"/>
      <c r="AH113" s="158"/>
      <c r="AI113" s="158"/>
      <c r="AJ113" s="158"/>
      <c r="AK113" s="158"/>
      <c r="AL113" s="158"/>
      <c r="AM113" s="158"/>
      <c r="AN113" s="158"/>
      <c r="AO113" s="158"/>
      <c r="AP113" s="158"/>
      <c r="AQ113" s="158"/>
      <c r="AR113" s="158"/>
      <c r="AS113" s="158"/>
      <c r="AT113" s="158"/>
      <c r="AU113" s="158"/>
      <c r="AV113" s="158"/>
      <c r="AW113" s="158"/>
      <c r="AX113" s="158"/>
      <c r="AY113" s="158"/>
      <c r="AZ113" s="158"/>
      <c r="BA113" s="406"/>
      <c r="BB113" s="406"/>
      <c r="BC113" s="406"/>
      <c r="BD113" s="406"/>
    </row>
    <row r="114" spans="1:56" x14ac:dyDescent="0.3">
      <c r="A114" s="156" t="str">
        <f t="shared" si="16"/>
        <v>932-00</v>
      </c>
      <c r="B114" s="593">
        <v>932</v>
      </c>
      <c r="C114" s="594" t="s">
        <v>395</v>
      </c>
      <c r="D114" s="511" t="s">
        <v>394</v>
      </c>
      <c r="E114" s="595" t="str">
        <f t="shared" si="20"/>
        <v>✓</v>
      </c>
      <c r="F114" s="595" t="str">
        <f t="shared" si="21"/>
        <v>✓</v>
      </c>
      <c r="G114" s="596">
        <v>4.83</v>
      </c>
      <c r="H114" s="598">
        <v>4.37</v>
      </c>
      <c r="I114" s="598"/>
      <c r="J114" s="598"/>
      <c r="K114" s="598"/>
      <c r="L114" s="598"/>
      <c r="M114" s="694">
        <f t="shared" si="14"/>
        <v>1581.7730048568001</v>
      </c>
      <c r="N114" s="299"/>
      <c r="O114" s="599">
        <v>4</v>
      </c>
      <c r="P114" s="600">
        <v>0.5</v>
      </c>
      <c r="Q114" s="601">
        <v>1581.08</v>
      </c>
      <c r="R114" s="602">
        <f t="shared" si="15"/>
        <v>0.99956188096858889</v>
      </c>
      <c r="S114" s="158"/>
      <c r="T114" s="158"/>
      <c r="U114" s="158"/>
      <c r="V114" s="158"/>
      <c r="W114" s="158"/>
      <c r="X114" s="158"/>
      <c r="Y114" s="158"/>
      <c r="Z114" s="158"/>
      <c r="AA114" s="158"/>
      <c r="AB114" s="158"/>
      <c r="AC114" s="158"/>
      <c r="AD114" s="158"/>
      <c r="AE114" s="158"/>
      <c r="AF114" s="158"/>
      <c r="AG114" s="158"/>
      <c r="AH114" s="158"/>
      <c r="AI114" s="158"/>
      <c r="AJ114" s="158"/>
      <c r="AK114" s="158"/>
      <c r="AL114" s="158"/>
      <c r="AM114" s="158"/>
      <c r="AN114" s="158"/>
      <c r="AO114" s="158"/>
      <c r="AP114" s="158"/>
      <c r="AQ114" s="158"/>
      <c r="AR114" s="158"/>
      <c r="AS114" s="158"/>
      <c r="AT114" s="158"/>
      <c r="AU114" s="158"/>
      <c r="AV114" s="158"/>
      <c r="AW114" s="158"/>
      <c r="AX114" s="158"/>
      <c r="AY114" s="158"/>
      <c r="AZ114" s="158"/>
      <c r="BA114" s="406"/>
      <c r="BB114" s="406"/>
      <c r="BC114" s="406"/>
      <c r="BD114" s="406"/>
    </row>
    <row r="115" spans="1:56" x14ac:dyDescent="0.3">
      <c r="A115" s="156" t="str">
        <f t="shared" si="16"/>
        <v>933-00</v>
      </c>
      <c r="B115" s="593">
        <v>933</v>
      </c>
      <c r="C115" s="594" t="s">
        <v>396</v>
      </c>
      <c r="D115" s="511" t="s">
        <v>110</v>
      </c>
      <c r="E115" s="595" t="str">
        <f t="shared" si="20"/>
        <v>✓</v>
      </c>
      <c r="F115" s="595" t="str">
        <f t="shared" si="21"/>
        <v>✓</v>
      </c>
      <c r="G115" s="596">
        <v>716</v>
      </c>
      <c r="H115" s="598">
        <v>346.23</v>
      </c>
      <c r="I115" s="598"/>
      <c r="J115" s="598"/>
      <c r="K115" s="598"/>
      <c r="L115" s="598"/>
      <c r="M115" s="694">
        <f t="shared" si="14"/>
        <v>73275.716322299995</v>
      </c>
      <c r="N115" s="299"/>
      <c r="O115" s="599">
        <v>1.25</v>
      </c>
      <c r="P115" s="600">
        <v>0.5</v>
      </c>
      <c r="Q115" s="601">
        <v>73276.3</v>
      </c>
      <c r="R115" s="602">
        <f t="shared" si="15"/>
        <v>1.0000079654997496</v>
      </c>
      <c r="S115" s="158"/>
      <c r="T115" s="158"/>
      <c r="U115" s="158"/>
      <c r="V115" s="158"/>
      <c r="W115" s="158"/>
      <c r="X115" s="158"/>
      <c r="Y115" s="158"/>
      <c r="Z115" s="158"/>
      <c r="AA115" s="158"/>
      <c r="AB115" s="158"/>
      <c r="AC115" s="158"/>
      <c r="AD115" s="158"/>
      <c r="AE115" s="158"/>
      <c r="AF115" s="158"/>
      <c r="AG115" s="158"/>
      <c r="AH115" s="158"/>
      <c r="AI115" s="158"/>
      <c r="AJ115" s="158"/>
      <c r="AK115" s="158"/>
      <c r="AL115" s="158"/>
      <c r="AM115" s="158"/>
      <c r="AN115" s="158"/>
      <c r="AO115" s="158"/>
      <c r="AP115" s="158"/>
      <c r="AQ115" s="158"/>
      <c r="AR115" s="158"/>
      <c r="AS115" s="158"/>
      <c r="AT115" s="158"/>
      <c r="AU115" s="158"/>
      <c r="AV115" s="158"/>
      <c r="AW115" s="158"/>
      <c r="AX115" s="158"/>
      <c r="AY115" s="158"/>
      <c r="AZ115" s="158"/>
      <c r="BA115" s="406"/>
      <c r="BB115" s="406"/>
      <c r="BC115" s="406"/>
      <c r="BD115" s="406"/>
    </row>
    <row r="116" spans="1:56" x14ac:dyDescent="0.3">
      <c r="A116" s="156" t="str">
        <f t="shared" si="16"/>
        <v>934-00</v>
      </c>
      <c r="B116" s="593">
        <v>934</v>
      </c>
      <c r="C116" s="594" t="s">
        <v>397</v>
      </c>
      <c r="D116" s="511" t="s">
        <v>110</v>
      </c>
      <c r="E116" s="595" t="str">
        <f t="shared" si="20"/>
        <v>✓</v>
      </c>
      <c r="F116" s="595" t="str">
        <f t="shared" si="21"/>
        <v>✓</v>
      </c>
      <c r="G116" s="596">
        <v>496.12</v>
      </c>
      <c r="H116" s="598">
        <v>470.95</v>
      </c>
      <c r="I116" s="598"/>
      <c r="J116" s="598"/>
      <c r="K116" s="598"/>
      <c r="L116" s="598"/>
      <c r="M116" s="694">
        <f t="shared" si="14"/>
        <v>50773.112265110998</v>
      </c>
      <c r="N116" s="299"/>
      <c r="O116" s="599">
        <v>1.25</v>
      </c>
      <c r="P116" s="600">
        <v>0.5</v>
      </c>
      <c r="Q116" s="601">
        <v>50772.9</v>
      </c>
      <c r="R116" s="602">
        <f t="shared" si="15"/>
        <v>0.9999958193401679</v>
      </c>
      <c r="S116" s="158"/>
      <c r="T116" s="158"/>
      <c r="U116" s="158"/>
      <c r="V116" s="158"/>
      <c r="W116" s="158"/>
      <c r="X116" s="158"/>
      <c r="Y116" s="158"/>
      <c r="Z116" s="158"/>
      <c r="AA116" s="158"/>
      <c r="AB116" s="158"/>
      <c r="AC116" s="158"/>
      <c r="AD116" s="158"/>
      <c r="AE116" s="158"/>
      <c r="AF116" s="158"/>
      <c r="AG116" s="158"/>
      <c r="AH116" s="158"/>
      <c r="AI116" s="158"/>
      <c r="AJ116" s="158"/>
      <c r="AK116" s="158"/>
      <c r="AL116" s="158"/>
      <c r="AM116" s="158"/>
      <c r="AN116" s="158"/>
      <c r="AO116" s="158"/>
      <c r="AP116" s="158"/>
      <c r="AQ116" s="158"/>
      <c r="AR116" s="158"/>
      <c r="AS116" s="158"/>
      <c r="AT116" s="158"/>
      <c r="AU116" s="158"/>
      <c r="AV116" s="158"/>
      <c r="AW116" s="158"/>
      <c r="AX116" s="158"/>
      <c r="AY116" s="158"/>
      <c r="AZ116" s="158"/>
      <c r="BA116" s="406"/>
      <c r="BB116" s="406"/>
      <c r="BC116" s="406"/>
      <c r="BD116" s="406"/>
    </row>
    <row r="117" spans="1:56" x14ac:dyDescent="0.3">
      <c r="A117" s="156" t="str">
        <f t="shared" si="16"/>
        <v>937-00</v>
      </c>
      <c r="B117" s="593">
        <v>937</v>
      </c>
      <c r="C117" s="594" t="s">
        <v>398</v>
      </c>
      <c r="D117" s="511" t="s">
        <v>110</v>
      </c>
      <c r="E117" s="595" t="str">
        <f t="shared" si="20"/>
        <v>✓</v>
      </c>
      <c r="F117" s="595" t="str">
        <f t="shared" si="21"/>
        <v>✓</v>
      </c>
      <c r="G117" s="596">
        <v>818.58</v>
      </c>
      <c r="H117" s="598">
        <v>820.38</v>
      </c>
      <c r="I117" s="598"/>
      <c r="J117" s="598"/>
      <c r="K117" s="598"/>
      <c r="L117" s="598"/>
      <c r="M117" s="694">
        <f t="shared" si="14"/>
        <v>58641.65517734053</v>
      </c>
      <c r="N117" s="299"/>
      <c r="O117" s="599">
        <v>1.25</v>
      </c>
      <c r="P117" s="600">
        <v>0.35</v>
      </c>
      <c r="Q117" s="601">
        <v>58641.2</v>
      </c>
      <c r="R117" s="602">
        <f t="shared" si="15"/>
        <v>0.99999223798613535</v>
      </c>
      <c r="S117" s="158"/>
      <c r="T117" s="158"/>
      <c r="U117" s="158"/>
      <c r="V117" s="158"/>
      <c r="W117" s="158"/>
      <c r="X117" s="158"/>
      <c r="Y117" s="158"/>
      <c r="Z117" s="158"/>
      <c r="AA117" s="158"/>
      <c r="AB117" s="158"/>
      <c r="AC117" s="158"/>
      <c r="AD117" s="158"/>
      <c r="AE117" s="158"/>
      <c r="AF117" s="158"/>
      <c r="AG117" s="158"/>
      <c r="AH117" s="158"/>
      <c r="AI117" s="158"/>
      <c r="AJ117" s="158"/>
      <c r="AK117" s="158"/>
      <c r="AL117" s="158"/>
      <c r="AM117" s="158"/>
      <c r="AN117" s="158"/>
      <c r="AO117" s="158"/>
      <c r="AP117" s="158"/>
      <c r="AQ117" s="158"/>
      <c r="AR117" s="158"/>
      <c r="AS117" s="158"/>
      <c r="AT117" s="158"/>
      <c r="AU117" s="158"/>
      <c r="AV117" s="158"/>
      <c r="AW117" s="158"/>
      <c r="AX117" s="158"/>
      <c r="AY117" s="158"/>
      <c r="AZ117" s="158"/>
      <c r="BA117" s="406"/>
      <c r="BB117" s="406"/>
      <c r="BC117" s="406"/>
      <c r="BD117" s="406"/>
    </row>
    <row r="118" spans="1:56" ht="17.25" thickBot="1" x14ac:dyDescent="0.35">
      <c r="A118" s="156" t="str">
        <f t="shared" si="16"/>
        <v>944-00</v>
      </c>
      <c r="B118" s="615">
        <v>944</v>
      </c>
      <c r="C118" s="616" t="s">
        <v>399</v>
      </c>
      <c r="D118" s="617" t="s">
        <v>400</v>
      </c>
      <c r="E118" s="618" t="str">
        <f t="shared" si="20"/>
        <v>✓</v>
      </c>
      <c r="F118" s="618" t="str">
        <f t="shared" si="20"/>
        <v>✓</v>
      </c>
      <c r="G118" s="619">
        <v>168.56</v>
      </c>
      <c r="H118" s="620">
        <v>172.01</v>
      </c>
      <c r="I118" s="620"/>
      <c r="J118" s="620"/>
      <c r="K118" s="620"/>
      <c r="L118" s="620"/>
      <c r="M118" s="699">
        <f>((G118*0.97*(P118/2)*O118)/8500)*(1951500-278800)*1.02*1.682</f>
        <v>12075.346816062598</v>
      </c>
      <c r="N118" s="700"/>
      <c r="O118" s="621">
        <v>1.25</v>
      </c>
      <c r="P118" s="622">
        <v>0.35</v>
      </c>
      <c r="Q118" s="623">
        <v>12075.078</v>
      </c>
      <c r="R118" s="624">
        <f t="shared" si="15"/>
        <v>0.99997773843959159</v>
      </c>
      <c r="S118" s="158"/>
      <c r="T118" s="158"/>
      <c r="U118" s="158"/>
      <c r="V118" s="158"/>
      <c r="W118" s="158"/>
      <c r="X118" s="158"/>
      <c r="Y118" s="158"/>
      <c r="Z118" s="158"/>
      <c r="AA118" s="158"/>
      <c r="AB118" s="158"/>
      <c r="AC118" s="158"/>
      <c r="AD118" s="158"/>
      <c r="AE118" s="158"/>
      <c r="AF118" s="158"/>
      <c r="AG118" s="158"/>
      <c r="AH118" s="158"/>
      <c r="AI118" s="158"/>
      <c r="AJ118" s="158"/>
      <c r="AK118" s="158"/>
      <c r="AL118" s="158"/>
      <c r="AM118" s="158"/>
      <c r="AN118" s="158"/>
      <c r="AO118" s="158"/>
      <c r="AP118" s="158"/>
      <c r="AQ118" s="158"/>
      <c r="AR118" s="158"/>
      <c r="AS118" s="158"/>
      <c r="AT118" s="158"/>
      <c r="AU118" s="158"/>
      <c r="AV118" s="158"/>
      <c r="AW118" s="158"/>
      <c r="AX118" s="158"/>
      <c r="AY118" s="158"/>
      <c r="AZ118" s="158"/>
      <c r="BA118" s="406"/>
      <c r="BB118" s="406"/>
      <c r="BC118" s="406"/>
      <c r="BD118" s="406"/>
    </row>
    <row r="119" spans="1:56" x14ac:dyDescent="0.3">
      <c r="B119" s="269"/>
      <c r="C119" s="269"/>
      <c r="D119" s="269"/>
      <c r="E119" s="269"/>
      <c r="F119" s="269"/>
      <c r="H119" s="269"/>
      <c r="I119" s="269"/>
      <c r="J119" s="269"/>
      <c r="K119" s="269"/>
      <c r="L119" s="269"/>
      <c r="M119" s="701"/>
      <c r="N119" s="269"/>
      <c r="O119" s="127"/>
      <c r="P119" s="128"/>
      <c r="R119" s="152"/>
      <c r="S119" s="158"/>
      <c r="T119" s="158"/>
      <c r="U119" s="158"/>
      <c r="V119" s="158"/>
      <c r="W119" s="158"/>
      <c r="X119" s="158"/>
      <c r="Y119" s="158"/>
      <c r="Z119" s="158"/>
      <c r="AA119" s="158"/>
      <c r="AB119" s="158"/>
      <c r="AC119" s="158"/>
      <c r="AD119" s="158"/>
      <c r="AE119" s="158"/>
      <c r="AF119" s="158"/>
      <c r="AG119" s="158"/>
      <c r="AH119" s="158"/>
      <c r="AI119" s="158"/>
      <c r="AJ119" s="158"/>
      <c r="AK119" s="158"/>
      <c r="AL119" s="158"/>
      <c r="AM119" s="158"/>
      <c r="AN119" s="158"/>
      <c r="AO119" s="158"/>
      <c r="AP119" s="158"/>
      <c r="AQ119" s="158"/>
      <c r="AR119" s="158"/>
      <c r="AS119" s="158"/>
      <c r="AT119" s="158"/>
      <c r="AU119" s="158"/>
      <c r="AV119" s="158"/>
      <c r="AW119" s="158"/>
      <c r="AX119" s="158"/>
      <c r="AY119" s="158"/>
      <c r="AZ119" s="158"/>
    </row>
    <row r="120" spans="1:56" x14ac:dyDescent="0.3">
      <c r="B120" s="625" t="s">
        <v>401</v>
      </c>
      <c r="C120" s="269" t="s">
        <v>402</v>
      </c>
      <c r="D120" s="269"/>
      <c r="E120" s="269"/>
      <c r="F120" s="269"/>
      <c r="H120" s="269"/>
      <c r="I120" s="269"/>
      <c r="J120" s="269"/>
      <c r="K120" s="269"/>
      <c r="L120" s="269"/>
      <c r="M120" s="701"/>
      <c r="N120" s="269"/>
      <c r="O120" s="269"/>
      <c r="P120" s="701"/>
      <c r="Q120" s="269"/>
      <c r="R120" s="127"/>
      <c r="S120" s="158"/>
      <c r="T120" s="158"/>
      <c r="U120" s="158"/>
      <c r="V120" s="158"/>
      <c r="W120" s="158"/>
      <c r="X120" s="158"/>
      <c r="Y120" s="158"/>
      <c r="Z120" s="158"/>
      <c r="AA120" s="158"/>
      <c r="AB120" s="158"/>
      <c r="AC120" s="158"/>
      <c r="AD120" s="158"/>
      <c r="AE120" s="158"/>
      <c r="AF120" s="158"/>
      <c r="AG120" s="158"/>
      <c r="AH120" s="158"/>
      <c r="AI120" s="158"/>
      <c r="AJ120" s="158"/>
      <c r="AK120" s="158"/>
      <c r="AL120" s="158"/>
      <c r="AM120" s="158"/>
      <c r="AN120" s="158"/>
      <c r="AO120" s="158"/>
      <c r="AP120" s="158"/>
      <c r="AQ120" s="158"/>
      <c r="AR120" s="158"/>
      <c r="AS120" s="158"/>
      <c r="AT120" s="158"/>
      <c r="AU120" s="158"/>
      <c r="AV120" s="158"/>
      <c r="AW120" s="158"/>
      <c r="AX120" s="158"/>
      <c r="AY120" s="158"/>
      <c r="AZ120" s="158"/>
    </row>
    <row r="121" spans="1:56" x14ac:dyDescent="0.3">
      <c r="B121" s="626" t="s">
        <v>403</v>
      </c>
      <c r="C121" s="269" t="s">
        <v>404</v>
      </c>
      <c r="D121" s="269"/>
      <c r="E121" s="269"/>
      <c r="F121" s="269"/>
      <c r="H121" s="269"/>
      <c r="I121" s="269"/>
      <c r="J121" s="269"/>
      <c r="K121" s="269"/>
      <c r="L121" s="269"/>
      <c r="M121" s="701"/>
      <c r="N121" s="269"/>
      <c r="O121" s="269"/>
      <c r="P121" s="701"/>
      <c r="Q121" s="269"/>
      <c r="R121" s="127"/>
      <c r="S121" s="158"/>
      <c r="T121" s="158"/>
      <c r="U121" s="158"/>
      <c r="V121" s="158"/>
      <c r="W121" s="158"/>
      <c r="X121" s="158"/>
      <c r="Y121" s="158"/>
      <c r="Z121" s="158"/>
      <c r="AA121" s="158"/>
      <c r="AB121" s="158"/>
      <c r="AC121" s="158"/>
      <c r="AD121" s="158"/>
      <c r="AE121" s="158"/>
      <c r="AF121" s="158"/>
      <c r="AG121" s="158"/>
      <c r="AH121" s="158"/>
      <c r="AI121" s="158"/>
      <c r="AJ121" s="158"/>
      <c r="AK121" s="158"/>
      <c r="AL121" s="158"/>
      <c r="AM121" s="158"/>
      <c r="AN121" s="158"/>
      <c r="AO121" s="158"/>
      <c r="AP121" s="158"/>
      <c r="AQ121" s="158"/>
      <c r="AR121" s="158"/>
      <c r="AS121" s="158"/>
      <c r="AT121" s="158"/>
      <c r="AU121" s="158"/>
      <c r="AV121" s="158"/>
      <c r="AW121" s="158"/>
      <c r="AX121" s="158"/>
      <c r="AY121" s="158"/>
      <c r="AZ121" s="158"/>
    </row>
    <row r="122" spans="1:56" x14ac:dyDescent="0.3">
      <c r="B122" s="269"/>
      <c r="C122" s="269"/>
      <c r="D122" s="269"/>
      <c r="E122" s="269"/>
      <c r="F122" s="269"/>
      <c r="H122" s="269"/>
      <c r="I122" s="269"/>
      <c r="J122" s="269"/>
      <c r="K122" s="269"/>
      <c r="L122" s="269"/>
      <c r="M122" s="701"/>
      <c r="N122" s="269"/>
      <c r="O122" s="269"/>
      <c r="P122" s="701"/>
      <c r="Q122" s="269"/>
      <c r="R122" s="127"/>
      <c r="S122" s="158"/>
      <c r="T122" s="158"/>
      <c r="U122" s="158"/>
      <c r="V122" s="158"/>
      <c r="W122" s="158"/>
      <c r="X122" s="158"/>
      <c r="Y122" s="158"/>
      <c r="Z122" s="158"/>
      <c r="AA122" s="158"/>
      <c r="AB122" s="158"/>
      <c r="AC122" s="158"/>
      <c r="AD122" s="158"/>
      <c r="AE122" s="158"/>
      <c r="AF122" s="158"/>
      <c r="AG122" s="158"/>
      <c r="AH122" s="158"/>
      <c r="AI122" s="158"/>
      <c r="AJ122" s="158"/>
      <c r="AK122" s="158"/>
      <c r="AL122" s="158"/>
      <c r="AM122" s="158"/>
      <c r="AN122" s="158"/>
      <c r="AO122" s="158"/>
      <c r="AP122" s="158"/>
      <c r="AQ122" s="158"/>
      <c r="AR122" s="158"/>
      <c r="AS122" s="158"/>
      <c r="AT122" s="158"/>
      <c r="AU122" s="158"/>
      <c r="AV122" s="158"/>
      <c r="AW122" s="158"/>
      <c r="AX122" s="158"/>
      <c r="AY122" s="158"/>
      <c r="AZ122" s="158"/>
    </row>
    <row r="123" spans="1:56" x14ac:dyDescent="0.3">
      <c r="B123" s="269"/>
      <c r="C123" s="269"/>
      <c r="D123" s="269"/>
      <c r="E123" s="269"/>
      <c r="F123" s="269"/>
      <c r="H123" s="269"/>
      <c r="I123" s="269"/>
      <c r="J123" s="269"/>
      <c r="K123" s="269"/>
      <c r="L123" s="269"/>
      <c r="M123" s="701"/>
      <c r="N123" s="269"/>
      <c r="O123" s="269"/>
      <c r="P123" s="701"/>
      <c r="Q123" s="269"/>
      <c r="R123" s="127"/>
      <c r="S123" s="158"/>
      <c r="T123" s="158"/>
      <c r="U123" s="158"/>
      <c r="V123" s="158"/>
      <c r="W123" s="158"/>
      <c r="X123" s="158"/>
      <c r="Y123" s="158"/>
      <c r="Z123" s="158"/>
      <c r="AA123" s="158"/>
      <c r="AB123" s="158"/>
      <c r="AC123" s="158"/>
      <c r="AD123" s="158"/>
      <c r="AE123" s="158"/>
      <c r="AF123" s="158"/>
      <c r="AG123" s="158"/>
      <c r="AH123" s="158"/>
      <c r="AI123" s="158"/>
      <c r="AJ123" s="158"/>
      <c r="AK123" s="158"/>
      <c r="AL123" s="158"/>
      <c r="AM123" s="158"/>
      <c r="AN123" s="158"/>
      <c r="AO123" s="158"/>
      <c r="AP123" s="158"/>
      <c r="AQ123" s="158"/>
      <c r="AR123" s="158"/>
      <c r="AS123" s="158"/>
      <c r="AT123" s="158"/>
      <c r="AU123" s="158"/>
      <c r="AV123" s="158"/>
      <c r="AW123" s="158"/>
      <c r="AX123" s="158"/>
      <c r="AY123" s="158"/>
      <c r="AZ123" s="158"/>
    </row>
    <row r="124" spans="1:56" x14ac:dyDescent="0.3">
      <c r="B124" s="269"/>
      <c r="C124" s="269"/>
      <c r="D124" s="269"/>
      <c r="E124" s="269"/>
      <c r="F124" s="269"/>
      <c r="H124" s="269"/>
      <c r="I124" s="269"/>
      <c r="J124" s="269"/>
      <c r="K124" s="269"/>
      <c r="L124" s="269"/>
      <c r="M124" s="701"/>
      <c r="N124" s="269"/>
      <c r="O124" s="269"/>
      <c r="P124" s="701"/>
      <c r="Q124" s="269"/>
      <c r="R124" s="127"/>
      <c r="S124" s="158"/>
      <c r="T124" s="158"/>
      <c r="U124" s="158"/>
      <c r="V124" s="158"/>
      <c r="W124" s="158"/>
      <c r="X124" s="158"/>
      <c r="Y124" s="158"/>
      <c r="Z124" s="158"/>
      <c r="AA124" s="158"/>
      <c r="AB124" s="158"/>
      <c r="AC124" s="158"/>
      <c r="AD124" s="158"/>
      <c r="AE124" s="158"/>
      <c r="AF124" s="158"/>
      <c r="AG124" s="158"/>
      <c r="AH124" s="158"/>
      <c r="AI124" s="158"/>
      <c r="AJ124" s="158"/>
      <c r="AK124" s="158"/>
      <c r="AL124" s="158"/>
      <c r="AM124" s="158"/>
      <c r="AN124" s="158"/>
      <c r="AO124" s="158"/>
      <c r="AP124" s="158"/>
      <c r="AQ124" s="158"/>
      <c r="AR124" s="158"/>
      <c r="AS124" s="158"/>
      <c r="AT124" s="158"/>
      <c r="AU124" s="158"/>
      <c r="AV124" s="158"/>
      <c r="AW124" s="158"/>
      <c r="AX124" s="158"/>
      <c r="AY124" s="158"/>
      <c r="AZ124" s="158"/>
    </row>
    <row r="125" spans="1:56" x14ac:dyDescent="0.3">
      <c r="B125" s="269"/>
      <c r="C125" s="269"/>
      <c r="D125" s="269"/>
      <c r="E125" s="269"/>
      <c r="F125" s="269"/>
      <c r="H125" s="269"/>
      <c r="I125" s="269"/>
      <c r="J125" s="269"/>
      <c r="K125" s="269"/>
      <c r="L125" s="269"/>
      <c r="M125" s="701"/>
      <c r="N125" s="269"/>
      <c r="O125" s="269"/>
      <c r="P125" s="701"/>
      <c r="Q125" s="269"/>
      <c r="R125" s="127"/>
      <c r="S125" s="158"/>
      <c r="T125" s="158"/>
      <c r="U125" s="158"/>
      <c r="V125" s="158"/>
      <c r="W125" s="158"/>
      <c r="X125" s="158"/>
      <c r="Y125" s="158"/>
      <c r="Z125" s="158"/>
      <c r="AA125" s="158"/>
      <c r="AB125" s="158"/>
      <c r="AC125" s="158"/>
      <c r="AD125" s="158"/>
      <c r="AE125" s="158"/>
      <c r="AF125" s="158"/>
      <c r="AG125" s="158"/>
      <c r="AH125" s="158"/>
      <c r="AI125" s="158"/>
      <c r="AJ125" s="158"/>
      <c r="AK125" s="158"/>
      <c r="AL125" s="158"/>
      <c r="AM125" s="158"/>
      <c r="AN125" s="158"/>
      <c r="AO125" s="158"/>
      <c r="AP125" s="158"/>
      <c r="AQ125" s="158"/>
      <c r="AR125" s="158"/>
      <c r="AS125" s="158"/>
      <c r="AT125" s="158"/>
      <c r="AU125" s="158"/>
      <c r="AV125" s="158"/>
      <c r="AW125" s="158"/>
      <c r="AX125" s="158"/>
      <c r="AY125" s="158"/>
      <c r="AZ125" s="158"/>
    </row>
    <row r="126" spans="1:56" x14ac:dyDescent="0.3">
      <c r="B126" s="269"/>
      <c r="C126" s="269"/>
      <c r="D126" s="269"/>
      <c r="E126" s="269"/>
      <c r="F126" s="269"/>
      <c r="H126" s="269"/>
      <c r="I126" s="269"/>
      <c r="J126" s="269"/>
      <c r="K126" s="269"/>
      <c r="L126" s="269"/>
      <c r="M126" s="701"/>
      <c r="N126" s="269"/>
      <c r="O126" s="269"/>
      <c r="P126" s="701"/>
      <c r="Q126" s="269"/>
      <c r="R126" s="127"/>
      <c r="S126" s="158"/>
      <c r="T126" s="158"/>
      <c r="U126" s="158"/>
      <c r="V126" s="158"/>
      <c r="W126" s="158"/>
      <c r="X126" s="158"/>
      <c r="Y126" s="158"/>
      <c r="Z126" s="158"/>
      <c r="AA126" s="158"/>
      <c r="AB126" s="158"/>
      <c r="AC126" s="158"/>
      <c r="AD126" s="158"/>
      <c r="AE126" s="158"/>
      <c r="AF126" s="158"/>
      <c r="AG126" s="158"/>
      <c r="AH126" s="158"/>
      <c r="AI126" s="158"/>
      <c r="AJ126" s="158"/>
      <c r="AK126" s="158"/>
      <c r="AL126" s="158"/>
      <c r="AM126" s="158"/>
      <c r="AN126" s="158"/>
      <c r="AO126" s="158"/>
      <c r="AP126" s="158"/>
      <c r="AQ126" s="158"/>
      <c r="AR126" s="158"/>
      <c r="AS126" s="158"/>
      <c r="AT126" s="158"/>
      <c r="AU126" s="158"/>
      <c r="AV126" s="158"/>
      <c r="AW126" s="158"/>
      <c r="AX126" s="158"/>
      <c r="AY126" s="158"/>
      <c r="AZ126" s="158"/>
    </row>
    <row r="127" spans="1:56" x14ac:dyDescent="0.3">
      <c r="B127" s="269"/>
      <c r="C127" s="269"/>
      <c r="D127" s="269"/>
      <c r="E127" s="269"/>
      <c r="F127" s="269"/>
      <c r="H127" s="269"/>
      <c r="I127" s="269"/>
      <c r="J127" s="269"/>
      <c r="K127" s="269"/>
      <c r="L127" s="269"/>
      <c r="M127" s="701"/>
      <c r="N127" s="269"/>
      <c r="O127" s="269"/>
      <c r="P127" s="701"/>
      <c r="Q127" s="269"/>
      <c r="R127" s="127"/>
      <c r="S127" s="158"/>
      <c r="T127" s="158"/>
      <c r="U127" s="158"/>
      <c r="V127" s="158"/>
      <c r="W127" s="158"/>
      <c r="X127" s="158"/>
      <c r="Y127" s="158"/>
      <c r="Z127" s="158"/>
      <c r="AA127" s="158"/>
      <c r="AB127" s="158"/>
      <c r="AC127" s="158"/>
      <c r="AD127" s="158"/>
      <c r="AE127" s="158"/>
      <c r="AF127" s="158"/>
      <c r="AG127" s="158"/>
      <c r="AH127" s="158"/>
      <c r="AI127" s="158"/>
      <c r="AJ127" s="158"/>
      <c r="AK127" s="158"/>
      <c r="AL127" s="158"/>
      <c r="AM127" s="158"/>
      <c r="AN127" s="158"/>
      <c r="AO127" s="158"/>
      <c r="AP127" s="158"/>
      <c r="AQ127" s="158"/>
      <c r="AR127" s="158"/>
      <c r="AS127" s="158"/>
      <c r="AT127" s="158"/>
      <c r="AU127" s="158"/>
      <c r="AV127" s="158"/>
      <c r="AW127" s="158"/>
      <c r="AX127" s="158"/>
      <c r="AY127" s="158"/>
      <c r="AZ127" s="158"/>
    </row>
    <row r="128" spans="1:56" x14ac:dyDescent="0.3">
      <c r="B128" s="269"/>
      <c r="C128" s="269"/>
      <c r="D128" s="269"/>
      <c r="E128" s="269"/>
      <c r="F128" s="269"/>
      <c r="H128" s="269"/>
      <c r="I128" s="269"/>
      <c r="J128" s="269"/>
      <c r="K128" s="269"/>
      <c r="L128" s="269"/>
      <c r="M128" s="701"/>
      <c r="N128" s="269"/>
      <c r="O128" s="269"/>
      <c r="P128" s="701"/>
      <c r="Q128" s="269"/>
      <c r="R128" s="127"/>
      <c r="S128" s="158"/>
      <c r="T128" s="158"/>
      <c r="U128" s="158"/>
      <c r="V128" s="158"/>
      <c r="W128" s="158"/>
      <c r="X128" s="158"/>
      <c r="Y128" s="158"/>
      <c r="Z128" s="158"/>
      <c r="AA128" s="158"/>
      <c r="AB128" s="158"/>
      <c r="AC128" s="158"/>
      <c r="AD128" s="158"/>
      <c r="AE128" s="158"/>
      <c r="AF128" s="158"/>
      <c r="AG128" s="158"/>
      <c r="AH128" s="158"/>
      <c r="AI128" s="158"/>
      <c r="AJ128" s="158"/>
      <c r="AK128" s="158"/>
      <c r="AL128" s="158"/>
      <c r="AM128" s="158"/>
      <c r="AN128" s="158"/>
      <c r="AO128" s="158"/>
      <c r="AP128" s="158"/>
      <c r="AQ128" s="158"/>
      <c r="AR128" s="158"/>
      <c r="AS128" s="158"/>
      <c r="AT128" s="158"/>
      <c r="AU128" s="158"/>
      <c r="AV128" s="158"/>
      <c r="AW128" s="158"/>
      <c r="AX128" s="158"/>
      <c r="AY128" s="158"/>
      <c r="AZ128" s="158"/>
    </row>
    <row r="129" spans="2:52" x14ac:dyDescent="0.3">
      <c r="B129" s="269"/>
      <c r="C129" s="269"/>
      <c r="D129" s="269"/>
      <c r="E129" s="269"/>
      <c r="F129" s="269"/>
      <c r="H129" s="269"/>
      <c r="I129" s="269"/>
      <c r="J129" s="269"/>
      <c r="K129" s="269"/>
      <c r="L129" s="269"/>
      <c r="M129" s="701"/>
      <c r="N129" s="269"/>
      <c r="O129" s="269"/>
      <c r="P129" s="701"/>
      <c r="Q129" s="269"/>
      <c r="R129" s="127"/>
      <c r="S129" s="158"/>
      <c r="T129" s="158"/>
      <c r="U129" s="158"/>
      <c r="V129" s="158"/>
      <c r="W129" s="158"/>
      <c r="X129" s="158"/>
      <c r="Y129" s="158"/>
      <c r="Z129" s="158"/>
      <c r="AA129" s="158"/>
      <c r="AB129" s="158"/>
      <c r="AC129" s="158"/>
      <c r="AD129" s="158"/>
      <c r="AE129" s="158"/>
      <c r="AF129" s="158"/>
      <c r="AG129" s="158"/>
      <c r="AH129" s="158"/>
      <c r="AI129" s="158"/>
      <c r="AJ129" s="158"/>
      <c r="AK129" s="158"/>
      <c r="AL129" s="158"/>
      <c r="AM129" s="158"/>
      <c r="AN129" s="158"/>
      <c r="AO129" s="158"/>
      <c r="AP129" s="158"/>
      <c r="AQ129" s="158"/>
      <c r="AR129" s="158"/>
      <c r="AS129" s="158"/>
      <c r="AT129" s="158"/>
      <c r="AU129" s="158"/>
      <c r="AV129" s="158"/>
      <c r="AW129" s="158"/>
      <c r="AX129" s="158"/>
      <c r="AY129" s="158"/>
      <c r="AZ129" s="158"/>
    </row>
    <row r="130" spans="2:52" x14ac:dyDescent="0.3">
      <c r="B130" s="269"/>
      <c r="C130" s="269"/>
      <c r="D130" s="269"/>
      <c r="E130" s="269"/>
      <c r="F130" s="269"/>
      <c r="H130" s="269"/>
      <c r="I130" s="269"/>
      <c r="J130" s="269"/>
      <c r="K130" s="269"/>
      <c r="L130" s="269"/>
      <c r="M130" s="701"/>
      <c r="N130" s="269"/>
      <c r="P130" s="128"/>
      <c r="R130" s="152"/>
      <c r="S130" s="158"/>
      <c r="T130" s="158"/>
      <c r="U130" s="158"/>
      <c r="V130" s="158"/>
      <c r="W130" s="158"/>
      <c r="X130" s="158"/>
      <c r="Y130" s="158"/>
      <c r="Z130" s="158"/>
      <c r="AA130" s="158"/>
      <c r="AB130" s="158"/>
      <c r="AC130" s="158"/>
      <c r="AD130" s="158"/>
      <c r="AE130" s="158"/>
      <c r="AF130" s="158"/>
      <c r="AG130" s="158"/>
      <c r="AH130" s="158"/>
      <c r="AI130" s="158"/>
      <c r="AJ130" s="158"/>
      <c r="AK130" s="158"/>
      <c r="AL130" s="158"/>
      <c r="AM130" s="158"/>
      <c r="AN130" s="158"/>
      <c r="AO130" s="158"/>
      <c r="AP130" s="158"/>
      <c r="AQ130" s="158"/>
      <c r="AR130" s="158"/>
      <c r="AS130" s="158"/>
      <c r="AT130" s="158"/>
      <c r="AU130" s="158"/>
      <c r="AV130" s="158"/>
      <c r="AW130" s="158"/>
      <c r="AX130" s="158"/>
      <c r="AY130" s="158"/>
      <c r="AZ130" s="158"/>
    </row>
    <row r="131" spans="2:52" x14ac:dyDescent="0.3">
      <c r="B131" s="269"/>
      <c r="C131" s="269"/>
      <c r="D131" s="269"/>
      <c r="E131" s="269"/>
      <c r="F131" s="269"/>
      <c r="H131" s="269"/>
      <c r="I131" s="269"/>
      <c r="J131" s="269"/>
      <c r="K131" s="269"/>
      <c r="L131" s="269"/>
      <c r="M131" s="701"/>
      <c r="N131" s="269"/>
      <c r="O131" s="127"/>
      <c r="P131" s="128"/>
      <c r="R131" s="152"/>
      <c r="S131" s="158"/>
      <c r="T131" s="158"/>
      <c r="U131" s="158"/>
      <c r="V131" s="158"/>
      <c r="W131" s="158"/>
      <c r="X131" s="158"/>
      <c r="Y131" s="158"/>
      <c r="Z131" s="158"/>
      <c r="AA131" s="158"/>
      <c r="AB131" s="158"/>
      <c r="AC131" s="158"/>
      <c r="AD131" s="158"/>
      <c r="AE131" s="158"/>
      <c r="AF131" s="158"/>
      <c r="AG131" s="158"/>
      <c r="AH131" s="158"/>
      <c r="AI131" s="158"/>
      <c r="AJ131" s="158"/>
      <c r="AK131" s="158"/>
      <c r="AL131" s="158"/>
      <c r="AM131" s="158"/>
      <c r="AN131" s="158"/>
      <c r="AO131" s="158"/>
      <c r="AP131" s="158"/>
      <c r="AQ131" s="158"/>
      <c r="AR131" s="158"/>
      <c r="AS131" s="158"/>
      <c r="AT131" s="158"/>
      <c r="AU131" s="158"/>
      <c r="AV131" s="158"/>
      <c r="AW131" s="158"/>
      <c r="AX131" s="158"/>
      <c r="AY131" s="158"/>
      <c r="AZ131" s="158"/>
    </row>
    <row r="132" spans="2:52" x14ac:dyDescent="0.3">
      <c r="B132" s="269"/>
      <c r="C132" s="269"/>
      <c r="D132" s="269"/>
      <c r="E132" s="269"/>
      <c r="F132" s="269"/>
      <c r="H132" s="269"/>
      <c r="I132" s="269"/>
      <c r="J132" s="269"/>
      <c r="K132" s="269"/>
      <c r="L132" s="269"/>
      <c r="M132" s="701"/>
      <c r="N132" s="269"/>
      <c r="O132" s="127"/>
      <c r="P132" s="128"/>
      <c r="R132" s="152"/>
      <c r="S132" s="158"/>
      <c r="T132" s="158"/>
      <c r="U132" s="158"/>
      <c r="V132" s="158"/>
      <c r="W132" s="158"/>
      <c r="X132" s="158"/>
      <c r="Y132" s="158"/>
      <c r="Z132" s="158"/>
      <c r="AA132" s="158"/>
      <c r="AB132" s="158"/>
      <c r="AC132" s="158"/>
      <c r="AD132" s="158"/>
      <c r="AE132" s="158"/>
      <c r="AF132" s="158"/>
      <c r="AG132" s="158"/>
      <c r="AH132" s="158"/>
      <c r="AI132" s="158"/>
      <c r="AJ132" s="158"/>
      <c r="AK132" s="158"/>
      <c r="AL132" s="158"/>
      <c r="AM132" s="158"/>
      <c r="AN132" s="158"/>
      <c r="AO132" s="158"/>
      <c r="AP132" s="158"/>
      <c r="AQ132" s="158"/>
      <c r="AR132" s="158"/>
      <c r="AS132" s="158"/>
      <c r="AT132" s="158"/>
      <c r="AU132" s="158"/>
      <c r="AV132" s="158"/>
      <c r="AW132" s="158"/>
      <c r="AX132" s="158"/>
      <c r="AY132" s="158"/>
      <c r="AZ132" s="158"/>
    </row>
    <row r="133" spans="2:52" x14ac:dyDescent="0.3">
      <c r="B133" s="269"/>
      <c r="C133" s="269"/>
      <c r="D133" s="269"/>
      <c r="E133" s="269"/>
      <c r="F133" s="269"/>
      <c r="H133" s="269"/>
      <c r="I133" s="269"/>
      <c r="J133" s="269"/>
      <c r="K133" s="269"/>
      <c r="L133" s="269"/>
      <c r="M133" s="701"/>
      <c r="N133" s="269"/>
      <c r="O133" s="127"/>
      <c r="P133" s="128"/>
      <c r="R133" s="152"/>
      <c r="S133" s="158"/>
      <c r="T133" s="158"/>
      <c r="U133" s="158"/>
      <c r="V133" s="158"/>
      <c r="W133" s="158"/>
      <c r="X133" s="158"/>
      <c r="Y133" s="158"/>
      <c r="Z133" s="158"/>
      <c r="AA133" s="158"/>
      <c r="AB133" s="158"/>
      <c r="AC133" s="158"/>
      <c r="AD133" s="158"/>
      <c r="AE133" s="158"/>
      <c r="AF133" s="158"/>
      <c r="AG133" s="158"/>
      <c r="AH133" s="158"/>
      <c r="AI133" s="158"/>
      <c r="AJ133" s="158"/>
      <c r="AK133" s="158"/>
      <c r="AL133" s="158"/>
      <c r="AM133" s="158"/>
      <c r="AN133" s="158"/>
      <c r="AO133" s="158"/>
      <c r="AP133" s="158"/>
      <c r="AQ133" s="158"/>
      <c r="AR133" s="158"/>
      <c r="AS133" s="158"/>
      <c r="AT133" s="158"/>
      <c r="AU133" s="158"/>
      <c r="AV133" s="158"/>
      <c r="AW133" s="158"/>
      <c r="AX133" s="158"/>
      <c r="AY133" s="158"/>
      <c r="AZ133" s="158"/>
    </row>
    <row r="134" spans="2:52" x14ac:dyDescent="0.3">
      <c r="B134" s="269"/>
      <c r="C134" s="269"/>
      <c r="D134" s="269"/>
      <c r="E134" s="269"/>
      <c r="F134" s="269"/>
      <c r="H134" s="269"/>
      <c r="I134" s="269"/>
      <c r="J134" s="269"/>
      <c r="K134" s="269"/>
      <c r="L134" s="269"/>
      <c r="M134" s="701"/>
      <c r="N134" s="269"/>
      <c r="O134" s="127"/>
      <c r="P134" s="128"/>
      <c r="R134" s="152"/>
      <c r="S134" s="158"/>
      <c r="T134" s="158"/>
      <c r="U134" s="158"/>
      <c r="V134" s="158"/>
      <c r="W134" s="158"/>
      <c r="X134" s="158"/>
      <c r="Y134" s="158"/>
      <c r="Z134" s="158"/>
      <c r="AA134" s="158"/>
      <c r="AB134" s="158"/>
      <c r="AC134" s="158"/>
      <c r="AD134" s="158"/>
      <c r="AE134" s="158"/>
      <c r="AF134" s="158"/>
      <c r="AG134" s="158"/>
      <c r="AH134" s="158"/>
      <c r="AI134" s="158"/>
      <c r="AJ134" s="158"/>
      <c r="AK134" s="158"/>
      <c r="AL134" s="158"/>
      <c r="AM134" s="158"/>
      <c r="AN134" s="158"/>
      <c r="AO134" s="158"/>
      <c r="AP134" s="158"/>
      <c r="AQ134" s="158"/>
      <c r="AR134" s="158"/>
      <c r="AS134" s="158"/>
      <c r="AT134" s="158"/>
      <c r="AU134" s="158"/>
      <c r="AV134" s="158"/>
      <c r="AW134" s="158"/>
      <c r="AX134" s="158"/>
      <c r="AY134" s="158"/>
      <c r="AZ134" s="158"/>
    </row>
    <row r="135" spans="2:52" x14ac:dyDescent="0.3">
      <c r="O135" s="127"/>
      <c r="P135" s="128"/>
      <c r="R135" s="152"/>
      <c r="S135" s="158"/>
      <c r="T135" s="158"/>
      <c r="U135" s="158"/>
      <c r="V135" s="158"/>
      <c r="W135" s="158"/>
      <c r="X135" s="158"/>
      <c r="Y135" s="158"/>
      <c r="Z135" s="158"/>
      <c r="AA135" s="158"/>
      <c r="AB135" s="158"/>
      <c r="AC135" s="158"/>
      <c r="AD135" s="158"/>
      <c r="AE135" s="158"/>
      <c r="AF135" s="158"/>
      <c r="AG135" s="158"/>
      <c r="AH135" s="158"/>
      <c r="AI135" s="158"/>
      <c r="AJ135" s="158"/>
      <c r="AK135" s="158"/>
      <c r="AL135" s="158"/>
      <c r="AM135" s="158"/>
      <c r="AN135" s="158"/>
      <c r="AO135" s="158"/>
      <c r="AP135" s="158"/>
      <c r="AQ135" s="158"/>
      <c r="AR135" s="158"/>
      <c r="AS135" s="158"/>
      <c r="AT135" s="158"/>
      <c r="AU135" s="158"/>
      <c r="AV135" s="158"/>
      <c r="AW135" s="158"/>
      <c r="AX135" s="158"/>
      <c r="AY135" s="158"/>
      <c r="AZ135" s="158"/>
    </row>
    <row r="136" spans="2:52" x14ac:dyDescent="0.3">
      <c r="O136" s="127"/>
      <c r="P136" s="128"/>
      <c r="R136" s="152"/>
      <c r="S136" s="158"/>
      <c r="T136" s="158"/>
      <c r="U136" s="158"/>
      <c r="V136" s="158"/>
      <c r="W136" s="158"/>
      <c r="X136" s="158"/>
      <c r="Y136" s="158"/>
      <c r="Z136" s="158"/>
      <c r="AA136" s="158"/>
      <c r="AB136" s="158"/>
      <c r="AC136" s="158"/>
      <c r="AD136" s="158"/>
      <c r="AE136" s="158"/>
      <c r="AF136" s="158"/>
      <c r="AG136" s="158"/>
      <c r="AH136" s="158"/>
      <c r="AI136" s="158"/>
      <c r="AJ136" s="158"/>
      <c r="AK136" s="158"/>
      <c r="AL136" s="158"/>
      <c r="AM136" s="158"/>
      <c r="AN136" s="158"/>
      <c r="AO136" s="158"/>
      <c r="AP136" s="158"/>
      <c r="AQ136" s="158"/>
      <c r="AR136" s="158"/>
      <c r="AS136" s="158"/>
      <c r="AT136" s="158"/>
      <c r="AU136" s="158"/>
      <c r="AV136" s="158"/>
      <c r="AW136" s="158"/>
      <c r="AX136" s="158"/>
      <c r="AY136" s="158"/>
      <c r="AZ136" s="158"/>
    </row>
    <row r="137" spans="2:52" x14ac:dyDescent="0.3">
      <c r="O137" s="127"/>
      <c r="P137" s="128"/>
      <c r="R137" s="152"/>
      <c r="S137" s="158"/>
      <c r="T137" s="158"/>
      <c r="U137" s="158"/>
      <c r="V137" s="158"/>
      <c r="W137" s="158"/>
      <c r="X137" s="158"/>
      <c r="Y137" s="158"/>
      <c r="Z137" s="158"/>
      <c r="AA137" s="158"/>
      <c r="AB137" s="158"/>
      <c r="AC137" s="158"/>
      <c r="AD137" s="158"/>
      <c r="AE137" s="158"/>
      <c r="AF137" s="158"/>
      <c r="AG137" s="158"/>
      <c r="AH137" s="158"/>
      <c r="AI137" s="158"/>
      <c r="AJ137" s="158"/>
      <c r="AK137" s="158"/>
      <c r="AL137" s="158"/>
      <c r="AM137" s="158"/>
      <c r="AN137" s="158"/>
      <c r="AO137" s="158"/>
      <c r="AP137" s="158"/>
      <c r="AQ137" s="158"/>
      <c r="AR137" s="158"/>
      <c r="AS137" s="158"/>
      <c r="AT137" s="158"/>
      <c r="AU137" s="158"/>
      <c r="AV137" s="158"/>
      <c r="AW137" s="158"/>
      <c r="AX137" s="158"/>
      <c r="AY137" s="158"/>
      <c r="AZ137" s="158"/>
    </row>
    <row r="138" spans="2:52" x14ac:dyDescent="0.3">
      <c r="O138" s="127"/>
      <c r="P138" s="128"/>
      <c r="R138" s="152"/>
      <c r="S138" s="158"/>
      <c r="T138" s="158"/>
      <c r="U138" s="158"/>
      <c r="V138" s="158"/>
      <c r="W138" s="158"/>
      <c r="X138" s="158"/>
      <c r="Y138" s="158"/>
      <c r="Z138" s="158"/>
      <c r="AA138" s="158"/>
      <c r="AB138" s="158"/>
      <c r="AC138" s="158"/>
      <c r="AD138" s="158"/>
      <c r="AE138" s="158"/>
      <c r="AF138" s="158"/>
      <c r="AG138" s="158"/>
      <c r="AH138" s="158"/>
      <c r="AI138" s="158"/>
      <c r="AJ138" s="158"/>
      <c r="AK138" s="158"/>
      <c r="AL138" s="158"/>
      <c r="AM138" s="158"/>
      <c r="AN138" s="158"/>
      <c r="AO138" s="158"/>
      <c r="AP138" s="158"/>
      <c r="AQ138" s="158"/>
      <c r="AR138" s="158"/>
      <c r="AS138" s="158"/>
      <c r="AT138" s="158"/>
      <c r="AU138" s="158"/>
      <c r="AV138" s="158"/>
      <c r="AW138" s="158"/>
      <c r="AX138" s="158"/>
      <c r="AY138" s="158"/>
      <c r="AZ138" s="158"/>
    </row>
    <row r="139" spans="2:52" x14ac:dyDescent="0.3">
      <c r="O139" s="127"/>
      <c r="P139" s="128"/>
      <c r="R139" s="152"/>
      <c r="S139" s="158"/>
      <c r="T139" s="158"/>
      <c r="U139" s="158"/>
      <c r="V139" s="158"/>
      <c r="W139" s="158"/>
      <c r="X139" s="158"/>
      <c r="Y139" s="158"/>
      <c r="Z139" s="158"/>
      <c r="AA139" s="158"/>
      <c r="AB139" s="158"/>
      <c r="AC139" s="158"/>
      <c r="AD139" s="158"/>
      <c r="AE139" s="158"/>
      <c r="AF139" s="158"/>
      <c r="AG139" s="158"/>
      <c r="AH139" s="158"/>
      <c r="AI139" s="158"/>
      <c r="AJ139" s="158"/>
      <c r="AK139" s="158"/>
      <c r="AL139" s="158"/>
      <c r="AM139" s="158"/>
      <c r="AN139" s="158"/>
      <c r="AO139" s="158"/>
      <c r="AP139" s="158"/>
      <c r="AQ139" s="158"/>
      <c r="AR139" s="158"/>
      <c r="AS139" s="158"/>
      <c r="AT139" s="158"/>
      <c r="AU139" s="158"/>
      <c r="AV139" s="158"/>
      <c r="AW139" s="158"/>
      <c r="AX139" s="158"/>
      <c r="AY139" s="158"/>
      <c r="AZ139" s="158"/>
    </row>
    <row r="140" spans="2:52" x14ac:dyDescent="0.3">
      <c r="O140" s="127"/>
      <c r="P140" s="128"/>
      <c r="R140" s="152"/>
      <c r="S140" s="158"/>
      <c r="T140" s="158"/>
      <c r="U140" s="158"/>
      <c r="V140" s="158"/>
      <c r="W140" s="158"/>
      <c r="X140" s="158"/>
      <c r="Y140" s="158"/>
      <c r="Z140" s="158"/>
      <c r="AA140" s="158"/>
      <c r="AB140" s="158"/>
      <c r="AC140" s="158"/>
      <c r="AD140" s="158"/>
      <c r="AE140" s="158"/>
      <c r="AF140" s="158"/>
      <c r="AG140" s="158"/>
      <c r="AH140" s="158"/>
      <c r="AI140" s="158"/>
      <c r="AJ140" s="158"/>
      <c r="AK140" s="158"/>
      <c r="AL140" s="158"/>
      <c r="AM140" s="158"/>
      <c r="AN140" s="158"/>
      <c r="AO140" s="158"/>
      <c r="AP140" s="158"/>
      <c r="AQ140" s="158"/>
      <c r="AR140" s="158"/>
      <c r="AS140" s="158"/>
      <c r="AT140" s="158"/>
      <c r="AU140" s="158"/>
      <c r="AV140" s="158"/>
      <c r="AW140" s="158"/>
      <c r="AX140" s="158"/>
      <c r="AY140" s="158"/>
      <c r="AZ140" s="158"/>
    </row>
    <row r="141" spans="2:52" x14ac:dyDescent="0.3">
      <c r="O141" s="127"/>
      <c r="P141" s="128"/>
      <c r="R141" s="152"/>
      <c r="S141" s="158"/>
      <c r="T141" s="158"/>
      <c r="U141" s="158"/>
      <c r="V141" s="158"/>
      <c r="W141" s="158"/>
      <c r="X141" s="158"/>
      <c r="Y141" s="158"/>
      <c r="Z141" s="158"/>
      <c r="AA141" s="158"/>
      <c r="AB141" s="158"/>
      <c r="AC141" s="158"/>
      <c r="AD141" s="158"/>
      <c r="AE141" s="158"/>
      <c r="AF141" s="158"/>
      <c r="AG141" s="158"/>
      <c r="AH141" s="158"/>
      <c r="AI141" s="158"/>
      <c r="AJ141" s="158"/>
      <c r="AK141" s="158"/>
      <c r="AL141" s="158"/>
      <c r="AM141" s="158"/>
      <c r="AN141" s="158"/>
      <c r="AO141" s="158"/>
      <c r="AP141" s="158"/>
      <c r="AQ141" s="158"/>
      <c r="AR141" s="158"/>
      <c r="AS141" s="158"/>
      <c r="AT141" s="158"/>
      <c r="AU141" s="158"/>
      <c r="AV141" s="158"/>
      <c r="AW141" s="158"/>
      <c r="AX141" s="158"/>
      <c r="AY141" s="158"/>
      <c r="AZ141" s="158"/>
    </row>
    <row r="142" spans="2:52" x14ac:dyDescent="0.3">
      <c r="O142" s="127"/>
      <c r="P142" s="128"/>
      <c r="R142" s="152"/>
      <c r="S142" s="158"/>
      <c r="T142" s="158"/>
      <c r="U142" s="158"/>
      <c r="V142" s="158"/>
      <c r="W142" s="158"/>
      <c r="X142" s="158"/>
      <c r="Y142" s="158"/>
      <c r="Z142" s="158"/>
      <c r="AA142" s="158"/>
      <c r="AB142" s="158"/>
      <c r="AC142" s="158"/>
      <c r="AD142" s="158"/>
      <c r="AE142" s="158"/>
      <c r="AF142" s="158"/>
      <c r="AG142" s="158"/>
      <c r="AH142" s="158"/>
      <c r="AI142" s="158"/>
      <c r="AJ142" s="158"/>
      <c r="AK142" s="158"/>
      <c r="AL142" s="158"/>
      <c r="AM142" s="158"/>
      <c r="AN142" s="158"/>
      <c r="AO142" s="158"/>
      <c r="AP142" s="158"/>
      <c r="AQ142" s="158"/>
      <c r="AR142" s="158"/>
      <c r="AS142" s="158"/>
      <c r="AT142" s="158"/>
      <c r="AU142" s="158"/>
      <c r="AV142" s="158"/>
      <c r="AW142" s="158"/>
      <c r="AX142" s="158"/>
      <c r="AY142" s="158"/>
      <c r="AZ142" s="158"/>
    </row>
    <row r="143" spans="2:52" x14ac:dyDescent="0.3">
      <c r="O143" s="127"/>
      <c r="P143" s="128"/>
      <c r="R143" s="152"/>
      <c r="S143" s="158"/>
      <c r="T143" s="158"/>
      <c r="U143" s="158"/>
      <c r="V143" s="158"/>
      <c r="W143" s="158"/>
      <c r="X143" s="158"/>
      <c r="Y143" s="158"/>
      <c r="Z143" s="158"/>
      <c r="AA143" s="158"/>
      <c r="AB143" s="158"/>
      <c r="AC143" s="158"/>
      <c r="AD143" s="158"/>
      <c r="AE143" s="158"/>
      <c r="AF143" s="158"/>
      <c r="AG143" s="158"/>
      <c r="AH143" s="158"/>
      <c r="AI143" s="158"/>
      <c r="AJ143" s="158"/>
      <c r="AK143" s="158"/>
      <c r="AL143" s="158"/>
      <c r="AM143" s="158"/>
      <c r="AN143" s="158"/>
      <c r="AO143" s="158"/>
      <c r="AP143" s="158"/>
      <c r="AQ143" s="158"/>
      <c r="AR143" s="158"/>
      <c r="AS143" s="158"/>
      <c r="AT143" s="158"/>
      <c r="AU143" s="158"/>
      <c r="AV143" s="158"/>
      <c r="AW143" s="158"/>
      <c r="AX143" s="158"/>
      <c r="AY143" s="158"/>
      <c r="AZ143" s="158"/>
    </row>
    <row r="144" spans="2:52" x14ac:dyDescent="0.3">
      <c r="O144" s="127"/>
      <c r="P144" s="128"/>
      <c r="R144" s="152"/>
      <c r="S144" s="158"/>
      <c r="T144" s="158"/>
      <c r="U144" s="158"/>
      <c r="V144" s="158"/>
      <c r="W144" s="158"/>
      <c r="X144" s="158"/>
      <c r="Y144" s="158"/>
      <c r="Z144" s="158"/>
      <c r="AA144" s="158"/>
      <c r="AB144" s="158"/>
      <c r="AC144" s="158"/>
      <c r="AD144" s="158"/>
      <c r="AE144" s="158"/>
      <c r="AF144" s="158"/>
      <c r="AG144" s="158"/>
      <c r="AH144" s="158"/>
      <c r="AI144" s="158"/>
      <c r="AJ144" s="158"/>
      <c r="AK144" s="158"/>
      <c r="AL144" s="158"/>
      <c r="AM144" s="158"/>
      <c r="AN144" s="158"/>
      <c r="AO144" s="158"/>
      <c r="AP144" s="158"/>
      <c r="AQ144" s="158"/>
      <c r="AR144" s="158"/>
      <c r="AS144" s="158"/>
      <c r="AT144" s="158"/>
      <c r="AU144" s="158"/>
      <c r="AV144" s="158"/>
      <c r="AW144" s="158"/>
      <c r="AX144" s="158"/>
      <c r="AY144" s="158"/>
      <c r="AZ144" s="158"/>
    </row>
    <row r="145" spans="15:52" x14ac:dyDescent="0.3">
      <c r="O145" s="127"/>
      <c r="P145" s="128"/>
      <c r="R145" s="152"/>
      <c r="S145" s="158"/>
      <c r="T145" s="158"/>
      <c r="U145" s="158"/>
      <c r="V145" s="158"/>
      <c r="W145" s="158"/>
      <c r="X145" s="158"/>
      <c r="Y145" s="158"/>
      <c r="Z145" s="158"/>
      <c r="AA145" s="158"/>
      <c r="AB145" s="158"/>
      <c r="AC145" s="158"/>
      <c r="AD145" s="158"/>
      <c r="AE145" s="158"/>
      <c r="AF145" s="158"/>
      <c r="AG145" s="158"/>
      <c r="AH145" s="158"/>
      <c r="AI145" s="158"/>
      <c r="AJ145" s="158"/>
      <c r="AK145" s="158"/>
      <c r="AL145" s="158"/>
      <c r="AM145" s="158"/>
      <c r="AN145" s="158"/>
      <c r="AO145" s="158"/>
      <c r="AP145" s="158"/>
      <c r="AQ145" s="158"/>
      <c r="AR145" s="158"/>
      <c r="AS145" s="158"/>
      <c r="AT145" s="158"/>
      <c r="AU145" s="158"/>
      <c r="AV145" s="158"/>
      <c r="AW145" s="158"/>
      <c r="AX145" s="158"/>
      <c r="AY145" s="158"/>
      <c r="AZ145" s="158"/>
    </row>
    <row r="146" spans="15:52" x14ac:dyDescent="0.3">
      <c r="O146" s="127"/>
      <c r="P146" s="128"/>
      <c r="R146" s="152"/>
      <c r="S146" s="158"/>
      <c r="T146" s="158"/>
      <c r="U146" s="158"/>
      <c r="V146" s="158"/>
      <c r="W146" s="158"/>
      <c r="X146" s="158"/>
      <c r="Y146" s="158"/>
      <c r="Z146" s="158"/>
      <c r="AA146" s="158"/>
      <c r="AB146" s="158"/>
      <c r="AC146" s="158"/>
      <c r="AD146" s="158"/>
      <c r="AE146" s="158"/>
      <c r="AF146" s="158"/>
      <c r="AG146" s="158"/>
      <c r="AH146" s="158"/>
      <c r="AI146" s="158"/>
      <c r="AJ146" s="158"/>
      <c r="AK146" s="158"/>
      <c r="AL146" s="158"/>
      <c r="AM146" s="158"/>
      <c r="AN146" s="158"/>
      <c r="AO146" s="158"/>
      <c r="AP146" s="158"/>
      <c r="AQ146" s="158"/>
      <c r="AR146" s="158"/>
      <c r="AS146" s="158"/>
      <c r="AT146" s="158"/>
      <c r="AU146" s="158"/>
      <c r="AV146" s="158"/>
      <c r="AW146" s="158"/>
      <c r="AX146" s="158"/>
      <c r="AY146" s="158"/>
      <c r="AZ146" s="158"/>
    </row>
    <row r="147" spans="15:52" x14ac:dyDescent="0.3">
      <c r="O147" s="127"/>
      <c r="P147" s="128"/>
      <c r="R147" s="152"/>
      <c r="S147" s="158"/>
      <c r="T147" s="158"/>
      <c r="U147" s="158"/>
      <c r="V147" s="158"/>
      <c r="W147" s="158"/>
      <c r="X147" s="158"/>
      <c r="Y147" s="158"/>
      <c r="Z147" s="158"/>
      <c r="AA147" s="158"/>
      <c r="AB147" s="158"/>
      <c r="AC147" s="158"/>
      <c r="AD147" s="158"/>
      <c r="AE147" s="158"/>
      <c r="AF147" s="158"/>
      <c r="AG147" s="158"/>
      <c r="AH147" s="158"/>
      <c r="AI147" s="158"/>
      <c r="AJ147" s="158"/>
      <c r="AK147" s="158"/>
      <c r="AL147" s="158"/>
      <c r="AM147" s="158"/>
      <c r="AN147" s="158"/>
      <c r="AO147" s="158"/>
      <c r="AP147" s="158"/>
      <c r="AQ147" s="158"/>
      <c r="AR147" s="158"/>
      <c r="AS147" s="158"/>
      <c r="AT147" s="158"/>
      <c r="AU147" s="158"/>
      <c r="AV147" s="158"/>
      <c r="AW147" s="158"/>
      <c r="AX147" s="158"/>
      <c r="AY147" s="158"/>
      <c r="AZ147" s="158"/>
    </row>
    <row r="148" spans="15:52" x14ac:dyDescent="0.3">
      <c r="O148" s="127"/>
      <c r="P148" s="128"/>
      <c r="R148" s="152"/>
      <c r="S148" s="158"/>
      <c r="T148" s="158"/>
      <c r="U148" s="158"/>
      <c r="V148" s="158"/>
      <c r="W148" s="158"/>
      <c r="X148" s="158"/>
      <c r="Y148" s="158"/>
      <c r="Z148" s="158"/>
      <c r="AA148" s="158"/>
      <c r="AB148" s="158"/>
      <c r="AC148" s="158"/>
      <c r="AD148" s="158"/>
      <c r="AE148" s="158"/>
      <c r="AF148" s="158"/>
      <c r="AG148" s="158"/>
      <c r="AH148" s="158"/>
      <c r="AI148" s="158"/>
      <c r="AJ148" s="158"/>
      <c r="AK148" s="158"/>
      <c r="AL148" s="158"/>
      <c r="AM148" s="158"/>
      <c r="AN148" s="158"/>
      <c r="AO148" s="158"/>
      <c r="AP148" s="158"/>
      <c r="AQ148" s="158"/>
      <c r="AR148" s="158"/>
      <c r="AS148" s="158"/>
      <c r="AT148" s="158"/>
      <c r="AU148" s="158"/>
      <c r="AV148" s="158"/>
      <c r="AW148" s="158"/>
      <c r="AX148" s="158"/>
      <c r="AY148" s="158"/>
      <c r="AZ148" s="158"/>
    </row>
    <row r="149" spans="15:52" x14ac:dyDescent="0.3">
      <c r="O149" s="127"/>
      <c r="P149" s="128"/>
      <c r="R149" s="152"/>
      <c r="S149" s="158"/>
      <c r="T149" s="158"/>
      <c r="U149" s="158"/>
      <c r="V149" s="158"/>
      <c r="W149" s="158"/>
      <c r="X149" s="158"/>
      <c r="Y149" s="158"/>
      <c r="Z149" s="158"/>
      <c r="AA149" s="158"/>
      <c r="AB149" s="158"/>
      <c r="AC149" s="158"/>
      <c r="AD149" s="158"/>
      <c r="AE149" s="158"/>
      <c r="AF149" s="158"/>
      <c r="AG149" s="158"/>
      <c r="AH149" s="158"/>
      <c r="AI149" s="158"/>
      <c r="AJ149" s="158"/>
      <c r="AK149" s="158"/>
      <c r="AL149" s="158"/>
      <c r="AM149" s="158"/>
      <c r="AN149" s="158"/>
      <c r="AO149" s="158"/>
      <c r="AP149" s="158"/>
      <c r="AQ149" s="158"/>
      <c r="AR149" s="158"/>
      <c r="AS149" s="158"/>
      <c r="AT149" s="158"/>
      <c r="AU149" s="158"/>
      <c r="AV149" s="158"/>
      <c r="AW149" s="158"/>
      <c r="AX149" s="158"/>
      <c r="AY149" s="158"/>
      <c r="AZ149" s="158"/>
    </row>
    <row r="150" spans="15:52" x14ac:dyDescent="0.3">
      <c r="O150" s="127"/>
      <c r="P150" s="128"/>
      <c r="R150" s="152"/>
      <c r="S150" s="158"/>
      <c r="T150" s="158"/>
      <c r="U150" s="158"/>
      <c r="V150" s="158"/>
      <c r="W150" s="158"/>
      <c r="X150" s="158"/>
      <c r="Y150" s="158"/>
      <c r="Z150" s="158"/>
      <c r="AA150" s="158"/>
      <c r="AB150" s="158"/>
      <c r="AC150" s="158"/>
      <c r="AD150" s="158"/>
      <c r="AE150" s="158"/>
      <c r="AF150" s="158"/>
      <c r="AG150" s="158"/>
      <c r="AH150" s="158"/>
      <c r="AI150" s="158"/>
      <c r="AJ150" s="158"/>
      <c r="AK150" s="158"/>
      <c r="AL150" s="158"/>
      <c r="AM150" s="158"/>
      <c r="AN150" s="158"/>
      <c r="AO150" s="158"/>
      <c r="AP150" s="158"/>
      <c r="AQ150" s="158"/>
      <c r="AR150" s="158"/>
      <c r="AS150" s="158"/>
      <c r="AT150" s="158"/>
      <c r="AU150" s="158"/>
      <c r="AV150" s="158"/>
      <c r="AW150" s="158"/>
      <c r="AX150" s="158"/>
      <c r="AY150" s="158"/>
      <c r="AZ150" s="158"/>
    </row>
    <row r="151" spans="15:52" x14ac:dyDescent="0.3">
      <c r="O151" s="127"/>
      <c r="P151" s="128"/>
      <c r="R151" s="152"/>
      <c r="S151" s="158"/>
      <c r="T151" s="158"/>
      <c r="U151" s="158"/>
      <c r="V151" s="158"/>
      <c r="W151" s="158"/>
      <c r="X151" s="158"/>
      <c r="Y151" s="158"/>
      <c r="Z151" s="158"/>
      <c r="AA151" s="158"/>
      <c r="AB151" s="158"/>
      <c r="AC151" s="158"/>
      <c r="AD151" s="158"/>
      <c r="AE151" s="158"/>
      <c r="AF151" s="158"/>
      <c r="AG151" s="158"/>
      <c r="AH151" s="158"/>
      <c r="AI151" s="158"/>
      <c r="AJ151" s="158"/>
      <c r="AK151" s="158"/>
      <c r="AL151" s="158"/>
      <c r="AM151" s="158"/>
      <c r="AN151" s="158"/>
      <c r="AO151" s="158"/>
      <c r="AP151" s="158"/>
      <c r="AQ151" s="158"/>
      <c r="AR151" s="158"/>
      <c r="AS151" s="158"/>
      <c r="AT151" s="158"/>
      <c r="AU151" s="158"/>
      <c r="AV151" s="158"/>
      <c r="AW151" s="158"/>
      <c r="AX151" s="158"/>
      <c r="AY151" s="158"/>
      <c r="AZ151" s="158"/>
    </row>
    <row r="152" spans="15:52" x14ac:dyDescent="0.3">
      <c r="O152" s="127"/>
      <c r="P152" s="128"/>
      <c r="R152" s="152"/>
      <c r="S152" s="158"/>
      <c r="T152" s="158"/>
      <c r="U152" s="158"/>
      <c r="V152" s="158"/>
      <c r="W152" s="158"/>
      <c r="X152" s="158"/>
      <c r="Y152" s="158"/>
      <c r="Z152" s="158"/>
      <c r="AA152" s="158"/>
      <c r="AB152" s="158"/>
      <c r="AC152" s="158"/>
      <c r="AD152" s="158"/>
      <c r="AE152" s="158"/>
      <c r="AF152" s="158"/>
      <c r="AG152" s="158"/>
      <c r="AH152" s="158"/>
      <c r="AI152" s="158"/>
      <c r="AJ152" s="158"/>
      <c r="AK152" s="158"/>
      <c r="AL152" s="158"/>
      <c r="AM152" s="158"/>
      <c r="AN152" s="158"/>
      <c r="AO152" s="158"/>
      <c r="AP152" s="158"/>
      <c r="AQ152" s="158"/>
      <c r="AR152" s="158"/>
      <c r="AS152" s="158"/>
      <c r="AT152" s="158"/>
      <c r="AU152" s="158"/>
      <c r="AV152" s="158"/>
      <c r="AW152" s="158"/>
      <c r="AX152" s="158"/>
      <c r="AY152" s="158"/>
      <c r="AZ152" s="158"/>
    </row>
    <row r="153" spans="15:52" x14ac:dyDescent="0.3">
      <c r="O153" s="127"/>
      <c r="P153" s="128"/>
      <c r="R153" s="152"/>
      <c r="S153" s="158"/>
      <c r="T153" s="158"/>
      <c r="U153" s="158"/>
      <c r="V153" s="158"/>
      <c r="W153" s="158"/>
      <c r="X153" s="158"/>
      <c r="Y153" s="158"/>
      <c r="Z153" s="158"/>
      <c r="AA153" s="158"/>
      <c r="AB153" s="158"/>
      <c r="AC153" s="158"/>
      <c r="AD153" s="158"/>
      <c r="AE153" s="158"/>
      <c r="AF153" s="158"/>
      <c r="AG153" s="158"/>
      <c r="AH153" s="158"/>
      <c r="AI153" s="158"/>
      <c r="AJ153" s="158"/>
      <c r="AK153" s="158"/>
      <c r="AL153" s="158"/>
      <c r="AM153" s="158"/>
      <c r="AN153" s="158"/>
      <c r="AO153" s="158"/>
      <c r="AP153" s="158"/>
      <c r="AQ153" s="158"/>
      <c r="AR153" s="158"/>
      <c r="AS153" s="158"/>
      <c r="AT153" s="158"/>
      <c r="AU153" s="158"/>
      <c r="AV153" s="158"/>
      <c r="AW153" s="158"/>
      <c r="AX153" s="158"/>
      <c r="AY153" s="158"/>
      <c r="AZ153" s="158"/>
    </row>
    <row r="154" spans="15:52" x14ac:dyDescent="0.3">
      <c r="O154" s="127"/>
      <c r="P154" s="128"/>
      <c r="R154" s="152"/>
      <c r="S154" s="158"/>
      <c r="T154" s="158"/>
      <c r="U154" s="158"/>
      <c r="V154" s="158"/>
      <c r="W154" s="158"/>
      <c r="X154" s="158"/>
      <c r="Y154" s="158"/>
      <c r="Z154" s="158"/>
      <c r="AA154" s="158"/>
      <c r="AB154" s="158"/>
      <c r="AC154" s="158"/>
      <c r="AD154" s="158"/>
      <c r="AE154" s="158"/>
      <c r="AF154" s="158"/>
      <c r="AG154" s="158"/>
      <c r="AH154" s="158"/>
      <c r="AI154" s="158"/>
      <c r="AJ154" s="158"/>
      <c r="AK154" s="158"/>
      <c r="AL154" s="158"/>
      <c r="AM154" s="158"/>
      <c r="AN154" s="158"/>
      <c r="AO154" s="158"/>
      <c r="AP154" s="158"/>
      <c r="AQ154" s="158"/>
      <c r="AR154" s="158"/>
      <c r="AS154" s="158"/>
      <c r="AT154" s="158"/>
      <c r="AU154" s="158"/>
      <c r="AV154" s="158"/>
      <c r="AW154" s="158"/>
      <c r="AX154" s="158"/>
      <c r="AY154" s="158"/>
      <c r="AZ154" s="158"/>
    </row>
    <row r="155" spans="15:52" x14ac:dyDescent="0.3">
      <c r="O155" s="127"/>
      <c r="P155" s="128"/>
      <c r="R155" s="152"/>
      <c r="S155" s="158"/>
      <c r="T155" s="158"/>
      <c r="U155" s="158"/>
      <c r="V155" s="158"/>
      <c r="W155" s="158"/>
      <c r="X155" s="158"/>
      <c r="Y155" s="158"/>
      <c r="Z155" s="158"/>
      <c r="AA155" s="158"/>
      <c r="AB155" s="158"/>
      <c r="AC155" s="158"/>
      <c r="AD155" s="158"/>
      <c r="AE155" s="158"/>
      <c r="AF155" s="158"/>
      <c r="AG155" s="158"/>
      <c r="AH155" s="158"/>
      <c r="AI155" s="158"/>
      <c r="AJ155" s="158"/>
      <c r="AK155" s="158"/>
      <c r="AL155" s="158"/>
      <c r="AM155" s="158"/>
      <c r="AN155" s="158"/>
      <c r="AO155" s="158"/>
      <c r="AP155" s="158"/>
      <c r="AQ155" s="158"/>
      <c r="AR155" s="158"/>
      <c r="AS155" s="158"/>
      <c r="AT155" s="158"/>
      <c r="AU155" s="158"/>
      <c r="AV155" s="158"/>
      <c r="AW155" s="158"/>
      <c r="AX155" s="158"/>
      <c r="AY155" s="158"/>
      <c r="AZ155" s="158"/>
    </row>
    <row r="156" spans="15:52" x14ac:dyDescent="0.3">
      <c r="O156" s="127"/>
      <c r="P156" s="128"/>
      <c r="R156" s="152"/>
      <c r="S156" s="158"/>
      <c r="T156" s="158"/>
      <c r="U156" s="158"/>
      <c r="V156" s="158"/>
      <c r="W156" s="158"/>
      <c r="X156" s="158"/>
      <c r="Y156" s="158"/>
      <c r="Z156" s="158"/>
      <c r="AA156" s="158"/>
      <c r="AB156" s="158"/>
      <c r="AC156" s="158"/>
      <c r="AD156" s="158"/>
      <c r="AE156" s="158"/>
      <c r="AF156" s="158"/>
      <c r="AG156" s="158"/>
      <c r="AH156" s="158"/>
      <c r="AI156" s="158"/>
      <c r="AJ156" s="158"/>
      <c r="AK156" s="158"/>
      <c r="AL156" s="158"/>
      <c r="AM156" s="158"/>
      <c r="AN156" s="158"/>
      <c r="AO156" s="158"/>
      <c r="AP156" s="158"/>
      <c r="AQ156" s="158"/>
      <c r="AR156" s="158"/>
      <c r="AS156" s="158"/>
      <c r="AT156" s="158"/>
      <c r="AU156" s="158"/>
      <c r="AV156" s="158"/>
      <c r="AW156" s="158"/>
      <c r="AX156" s="158"/>
      <c r="AY156" s="158"/>
      <c r="AZ156" s="158"/>
    </row>
    <row r="157" spans="15:52" x14ac:dyDescent="0.3">
      <c r="O157" s="127"/>
      <c r="P157" s="128"/>
      <c r="R157" s="152"/>
      <c r="S157" s="158"/>
      <c r="T157" s="158"/>
      <c r="U157" s="158"/>
      <c r="V157" s="158"/>
      <c r="W157" s="158"/>
      <c r="X157" s="158"/>
      <c r="Y157" s="158"/>
      <c r="Z157" s="158"/>
      <c r="AA157" s="158"/>
      <c r="AB157" s="158"/>
      <c r="AC157" s="158"/>
      <c r="AD157" s="158"/>
      <c r="AE157" s="158"/>
      <c r="AF157" s="158"/>
      <c r="AG157" s="158"/>
      <c r="AH157" s="158"/>
      <c r="AI157" s="158"/>
      <c r="AJ157" s="158"/>
      <c r="AK157" s="158"/>
      <c r="AL157" s="158"/>
      <c r="AM157" s="158"/>
      <c r="AN157" s="158"/>
      <c r="AO157" s="158"/>
      <c r="AP157" s="158"/>
      <c r="AQ157" s="158"/>
      <c r="AR157" s="158"/>
      <c r="AS157" s="158"/>
      <c r="AT157" s="158"/>
      <c r="AU157" s="158"/>
      <c r="AV157" s="158"/>
      <c r="AW157" s="158"/>
      <c r="AX157" s="158"/>
      <c r="AY157" s="158"/>
      <c r="AZ157" s="158"/>
    </row>
    <row r="158" spans="15:52" x14ac:dyDescent="0.3">
      <c r="O158" s="127"/>
      <c r="P158" s="128"/>
      <c r="R158" s="152"/>
      <c r="S158" s="158"/>
      <c r="T158" s="158"/>
      <c r="U158" s="158"/>
      <c r="V158" s="158"/>
      <c r="W158" s="158"/>
      <c r="X158" s="158"/>
      <c r="Y158" s="158"/>
      <c r="Z158" s="158"/>
      <c r="AA158" s="158"/>
      <c r="AB158" s="158"/>
      <c r="AC158" s="158"/>
      <c r="AD158" s="158"/>
      <c r="AE158" s="158"/>
      <c r="AF158" s="158"/>
      <c r="AG158" s="158"/>
      <c r="AH158" s="158"/>
      <c r="AI158" s="158"/>
      <c r="AJ158" s="158"/>
      <c r="AK158" s="158"/>
      <c r="AL158" s="158"/>
      <c r="AM158" s="158"/>
      <c r="AN158" s="158"/>
      <c r="AO158" s="158"/>
      <c r="AP158" s="158"/>
      <c r="AQ158" s="158"/>
      <c r="AR158" s="158"/>
      <c r="AS158" s="158"/>
      <c r="AT158" s="158"/>
      <c r="AU158" s="158"/>
      <c r="AV158" s="158"/>
      <c r="AW158" s="158"/>
      <c r="AX158" s="158"/>
      <c r="AY158" s="158"/>
      <c r="AZ158" s="158"/>
    </row>
    <row r="159" spans="15:52" x14ac:dyDescent="0.3">
      <c r="O159" s="127"/>
      <c r="P159" s="128"/>
      <c r="R159" s="152"/>
      <c r="S159" s="158"/>
      <c r="T159" s="158"/>
      <c r="U159" s="158"/>
      <c r="V159" s="158"/>
      <c r="W159" s="158"/>
      <c r="X159" s="158"/>
      <c r="Y159" s="158"/>
      <c r="Z159" s="158"/>
      <c r="AA159" s="158"/>
      <c r="AB159" s="158"/>
      <c r="AC159" s="158"/>
      <c r="AD159" s="158"/>
      <c r="AE159" s="158"/>
      <c r="AF159" s="158"/>
      <c r="AG159" s="158"/>
      <c r="AH159" s="158"/>
      <c r="AI159" s="158"/>
      <c r="AJ159" s="158"/>
      <c r="AK159" s="158"/>
      <c r="AL159" s="158"/>
      <c r="AM159" s="158"/>
      <c r="AN159" s="158"/>
      <c r="AO159" s="158"/>
      <c r="AP159" s="158"/>
      <c r="AQ159" s="158"/>
      <c r="AR159" s="158"/>
      <c r="AS159" s="158"/>
      <c r="AT159" s="158"/>
      <c r="AU159" s="158"/>
      <c r="AV159" s="158"/>
      <c r="AW159" s="158"/>
      <c r="AX159" s="158"/>
      <c r="AY159" s="158"/>
      <c r="AZ159" s="158"/>
    </row>
    <row r="160" spans="15:52" x14ac:dyDescent="0.3">
      <c r="O160" s="127"/>
      <c r="P160" s="128"/>
      <c r="R160" s="152"/>
      <c r="S160" s="158"/>
      <c r="T160" s="158"/>
      <c r="U160" s="158"/>
      <c r="V160" s="158"/>
      <c r="W160" s="158"/>
      <c r="X160" s="158"/>
      <c r="Y160" s="158"/>
      <c r="Z160" s="158"/>
      <c r="AA160" s="158"/>
      <c r="AB160" s="158"/>
      <c r="AC160" s="158"/>
      <c r="AD160" s="158"/>
      <c r="AE160" s="158"/>
      <c r="AF160" s="158"/>
      <c r="AG160" s="158"/>
      <c r="AH160" s="158"/>
      <c r="AI160" s="158"/>
      <c r="AJ160" s="158"/>
      <c r="AK160" s="158"/>
      <c r="AL160" s="158"/>
      <c r="AM160" s="158"/>
      <c r="AN160" s="158"/>
      <c r="AO160" s="158"/>
      <c r="AP160" s="158"/>
      <c r="AQ160" s="158"/>
      <c r="AR160" s="158"/>
      <c r="AS160" s="158"/>
      <c r="AT160" s="158"/>
      <c r="AU160" s="158"/>
      <c r="AV160" s="158"/>
      <c r="AW160" s="158"/>
      <c r="AX160" s="158"/>
      <c r="AY160" s="158"/>
      <c r="AZ160" s="158"/>
    </row>
    <row r="161" spans="15:52" x14ac:dyDescent="0.3">
      <c r="O161" s="127"/>
      <c r="P161" s="128"/>
      <c r="R161" s="152"/>
      <c r="S161" s="158"/>
      <c r="T161" s="158"/>
      <c r="U161" s="158"/>
      <c r="V161" s="158"/>
      <c r="W161" s="158"/>
      <c r="X161" s="158"/>
      <c r="Y161" s="158"/>
      <c r="Z161" s="158"/>
      <c r="AA161" s="158"/>
      <c r="AB161" s="158"/>
      <c r="AC161" s="158"/>
      <c r="AD161" s="158"/>
      <c r="AE161" s="158"/>
      <c r="AF161" s="158"/>
      <c r="AG161" s="158"/>
      <c r="AH161" s="158"/>
      <c r="AI161" s="158"/>
      <c r="AJ161" s="158"/>
      <c r="AK161" s="158"/>
      <c r="AL161" s="158"/>
      <c r="AM161" s="158"/>
      <c r="AN161" s="158"/>
      <c r="AO161" s="158"/>
      <c r="AP161" s="158"/>
      <c r="AQ161" s="158"/>
      <c r="AR161" s="158"/>
      <c r="AS161" s="158"/>
      <c r="AT161" s="158"/>
      <c r="AU161" s="158"/>
      <c r="AV161" s="158"/>
      <c r="AW161" s="158"/>
      <c r="AX161" s="158"/>
      <c r="AY161" s="158"/>
      <c r="AZ161" s="158"/>
    </row>
    <row r="162" spans="15:52" x14ac:dyDescent="0.3">
      <c r="O162" s="127"/>
      <c r="P162" s="128"/>
      <c r="R162" s="152"/>
      <c r="S162" s="158"/>
      <c r="T162" s="158"/>
      <c r="U162" s="158"/>
      <c r="V162" s="158"/>
      <c r="W162" s="158"/>
      <c r="X162" s="158"/>
      <c r="Y162" s="158"/>
      <c r="Z162" s="158"/>
      <c r="AA162" s="158"/>
      <c r="AB162" s="158"/>
      <c r="AC162" s="158"/>
      <c r="AD162" s="158"/>
      <c r="AE162" s="158"/>
      <c r="AF162" s="158"/>
      <c r="AG162" s="158"/>
      <c r="AH162" s="158"/>
      <c r="AI162" s="158"/>
      <c r="AJ162" s="158"/>
      <c r="AK162" s="158"/>
      <c r="AL162" s="158"/>
      <c r="AM162" s="158"/>
      <c r="AN162" s="158"/>
      <c r="AO162" s="158"/>
      <c r="AP162" s="158"/>
      <c r="AQ162" s="158"/>
      <c r="AR162" s="158"/>
      <c r="AS162" s="158"/>
      <c r="AT162" s="158"/>
      <c r="AU162" s="158"/>
      <c r="AV162" s="158"/>
      <c r="AW162" s="158"/>
      <c r="AX162" s="158"/>
      <c r="AY162" s="158"/>
      <c r="AZ162" s="158"/>
    </row>
    <row r="163" spans="15:52" x14ac:dyDescent="0.3">
      <c r="O163" s="127"/>
      <c r="P163" s="128"/>
      <c r="R163" s="152"/>
      <c r="S163" s="158"/>
      <c r="T163" s="158"/>
      <c r="U163" s="158"/>
      <c r="V163" s="158"/>
      <c r="W163" s="158"/>
      <c r="X163" s="158"/>
      <c r="Y163" s="158"/>
      <c r="Z163" s="158"/>
      <c r="AA163" s="158"/>
      <c r="AB163" s="158"/>
      <c r="AC163" s="158"/>
      <c r="AD163" s="158"/>
      <c r="AE163" s="158"/>
      <c r="AF163" s="158"/>
      <c r="AG163" s="158"/>
      <c r="AH163" s="158"/>
      <c r="AI163" s="158"/>
      <c r="AJ163" s="158"/>
      <c r="AK163" s="158"/>
      <c r="AL163" s="158"/>
      <c r="AM163" s="158"/>
      <c r="AN163" s="158"/>
      <c r="AO163" s="158"/>
      <c r="AP163" s="158"/>
      <c r="AQ163" s="158"/>
      <c r="AR163" s="158"/>
      <c r="AS163" s="158"/>
      <c r="AT163" s="158"/>
      <c r="AU163" s="158"/>
      <c r="AV163" s="158"/>
      <c r="AW163" s="158"/>
      <c r="AX163" s="158"/>
      <c r="AY163" s="158"/>
      <c r="AZ163" s="158"/>
    </row>
    <row r="164" spans="15:52" x14ac:dyDescent="0.3">
      <c r="O164" s="127"/>
      <c r="P164" s="128"/>
      <c r="R164" s="152"/>
      <c r="S164" s="158"/>
      <c r="T164" s="158"/>
      <c r="U164" s="158"/>
      <c r="V164" s="158"/>
      <c r="W164" s="158"/>
      <c r="X164" s="158"/>
      <c r="Y164" s="158"/>
      <c r="Z164" s="158"/>
      <c r="AA164" s="158"/>
      <c r="AB164" s="158"/>
      <c r="AC164" s="158"/>
      <c r="AD164" s="158"/>
      <c r="AE164" s="158"/>
      <c r="AF164" s="158"/>
      <c r="AG164" s="158"/>
      <c r="AH164" s="158"/>
      <c r="AI164" s="158"/>
      <c r="AJ164" s="158"/>
      <c r="AK164" s="158"/>
      <c r="AL164" s="158"/>
      <c r="AM164" s="158"/>
      <c r="AN164" s="158"/>
      <c r="AO164" s="158"/>
      <c r="AP164" s="158"/>
      <c r="AQ164" s="158"/>
      <c r="AR164" s="158"/>
      <c r="AS164" s="158"/>
      <c r="AT164" s="158"/>
      <c r="AU164" s="158"/>
      <c r="AV164" s="158"/>
      <c r="AW164" s="158"/>
      <c r="AX164" s="158"/>
      <c r="AY164" s="158"/>
      <c r="AZ164" s="158"/>
    </row>
    <row r="165" spans="15:52" x14ac:dyDescent="0.3">
      <c r="O165" s="127"/>
      <c r="P165" s="128"/>
      <c r="R165" s="152"/>
      <c r="S165" s="158"/>
      <c r="T165" s="158"/>
      <c r="U165" s="158"/>
      <c r="V165" s="158"/>
      <c r="W165" s="158"/>
      <c r="X165" s="158"/>
      <c r="Y165" s="158"/>
      <c r="Z165" s="158"/>
      <c r="AA165" s="158"/>
      <c r="AB165" s="158"/>
      <c r="AC165" s="158"/>
      <c r="AD165" s="158"/>
      <c r="AE165" s="158"/>
      <c r="AF165" s="158"/>
      <c r="AG165" s="158"/>
      <c r="AH165" s="158"/>
      <c r="AI165" s="158"/>
      <c r="AJ165" s="158"/>
      <c r="AK165" s="158"/>
      <c r="AL165" s="158"/>
      <c r="AM165" s="158"/>
      <c r="AN165" s="158"/>
      <c r="AO165" s="158"/>
      <c r="AP165" s="158"/>
      <c r="AQ165" s="158"/>
      <c r="AR165" s="158"/>
      <c r="AS165" s="158"/>
      <c r="AT165" s="158"/>
      <c r="AU165" s="158"/>
      <c r="AV165" s="158"/>
      <c r="AW165" s="158"/>
      <c r="AX165" s="158"/>
      <c r="AY165" s="158"/>
      <c r="AZ165" s="158"/>
    </row>
    <row r="166" spans="15:52" x14ac:dyDescent="0.3">
      <c r="O166" s="127"/>
      <c r="P166" s="128"/>
      <c r="R166" s="152"/>
      <c r="S166" s="158"/>
      <c r="T166" s="158"/>
      <c r="U166" s="158"/>
      <c r="V166" s="158"/>
      <c r="W166" s="158"/>
      <c r="X166" s="158"/>
      <c r="Y166" s="158"/>
      <c r="Z166" s="158"/>
      <c r="AA166" s="158"/>
      <c r="AB166" s="158"/>
      <c r="AC166" s="158"/>
      <c r="AD166" s="158"/>
      <c r="AE166" s="158"/>
      <c r="AF166" s="158"/>
      <c r="AG166" s="158"/>
      <c r="AH166" s="158"/>
      <c r="AI166" s="158"/>
      <c r="AJ166" s="158"/>
      <c r="AK166" s="158"/>
      <c r="AL166" s="158"/>
      <c r="AM166" s="158"/>
      <c r="AN166" s="158"/>
      <c r="AO166" s="158"/>
      <c r="AP166" s="158"/>
      <c r="AQ166" s="158"/>
      <c r="AR166" s="158"/>
      <c r="AS166" s="158"/>
      <c r="AT166" s="158"/>
      <c r="AU166" s="158"/>
      <c r="AV166" s="158"/>
      <c r="AW166" s="158"/>
      <c r="AX166" s="158"/>
      <c r="AY166" s="158"/>
      <c r="AZ166" s="158"/>
    </row>
    <row r="167" spans="15:52" x14ac:dyDescent="0.3">
      <c r="O167" s="127"/>
      <c r="P167" s="128"/>
      <c r="R167" s="152"/>
      <c r="S167" s="158"/>
      <c r="T167" s="158"/>
      <c r="U167" s="158"/>
      <c r="V167" s="158"/>
      <c r="W167" s="158"/>
      <c r="X167" s="158"/>
      <c r="Y167" s="158"/>
      <c r="Z167" s="158"/>
      <c r="AA167" s="158"/>
      <c r="AB167" s="158"/>
      <c r="AC167" s="158"/>
      <c r="AD167" s="158"/>
      <c r="AE167" s="158"/>
      <c r="AF167" s="158"/>
      <c r="AG167" s="158"/>
      <c r="AH167" s="158"/>
      <c r="AI167" s="158"/>
      <c r="AJ167" s="158"/>
      <c r="AK167" s="158"/>
      <c r="AL167" s="158"/>
      <c r="AM167" s="158"/>
      <c r="AN167" s="158"/>
      <c r="AO167" s="158"/>
      <c r="AP167" s="158"/>
      <c r="AQ167" s="158"/>
      <c r="AR167" s="158"/>
      <c r="AS167" s="158"/>
      <c r="AT167" s="158"/>
      <c r="AU167" s="158"/>
      <c r="AV167" s="158"/>
      <c r="AW167" s="158"/>
      <c r="AX167" s="158"/>
      <c r="AY167" s="158"/>
      <c r="AZ167" s="158"/>
    </row>
    <row r="168" spans="15:52" x14ac:dyDescent="0.3">
      <c r="O168" s="127"/>
      <c r="P168" s="128"/>
      <c r="R168" s="152"/>
      <c r="S168" s="158"/>
      <c r="T168" s="158"/>
      <c r="U168" s="158"/>
      <c r="V168" s="158"/>
      <c r="W168" s="158"/>
      <c r="X168" s="158"/>
      <c r="Y168" s="158"/>
      <c r="Z168" s="158"/>
      <c r="AA168" s="158"/>
      <c r="AB168" s="158"/>
      <c r="AC168" s="158"/>
      <c r="AD168" s="158"/>
      <c r="AE168" s="158"/>
      <c r="AF168" s="158"/>
      <c r="AG168" s="158"/>
      <c r="AH168" s="158"/>
      <c r="AI168" s="158"/>
      <c r="AJ168" s="158"/>
      <c r="AK168" s="158"/>
      <c r="AL168" s="158"/>
      <c r="AM168" s="158"/>
      <c r="AN168" s="158"/>
      <c r="AO168" s="158"/>
      <c r="AP168" s="158"/>
      <c r="AQ168" s="158"/>
      <c r="AR168" s="158"/>
      <c r="AS168" s="158"/>
      <c r="AT168" s="158"/>
      <c r="AU168" s="158"/>
      <c r="AV168" s="158"/>
      <c r="AW168" s="158"/>
      <c r="AX168" s="158"/>
      <c r="AY168" s="158"/>
      <c r="AZ168" s="158"/>
    </row>
    <row r="169" spans="15:52" x14ac:dyDescent="0.3">
      <c r="O169" s="127"/>
      <c r="P169" s="128"/>
      <c r="R169" s="152"/>
      <c r="S169" s="158"/>
      <c r="T169" s="158"/>
      <c r="U169" s="158"/>
      <c r="V169" s="158"/>
      <c r="W169" s="158"/>
      <c r="X169" s="158"/>
      <c r="Y169" s="158"/>
      <c r="Z169" s="158"/>
      <c r="AA169" s="158"/>
      <c r="AB169" s="158"/>
      <c r="AC169" s="158"/>
      <c r="AD169" s="158"/>
      <c r="AE169" s="158"/>
      <c r="AF169" s="158"/>
      <c r="AG169" s="158"/>
      <c r="AH169" s="158"/>
      <c r="AI169" s="158"/>
      <c r="AJ169" s="158"/>
      <c r="AK169" s="158"/>
      <c r="AL169" s="158"/>
      <c r="AM169" s="158"/>
      <c r="AN169" s="158"/>
      <c r="AO169" s="158"/>
      <c r="AP169" s="158"/>
      <c r="AQ169" s="158"/>
      <c r="AR169" s="158"/>
      <c r="AS169" s="158"/>
      <c r="AT169" s="158"/>
      <c r="AU169" s="158"/>
      <c r="AV169" s="158"/>
      <c r="AW169" s="158"/>
      <c r="AX169" s="158"/>
      <c r="AY169" s="158"/>
      <c r="AZ169" s="158"/>
    </row>
    <row r="170" spans="15:52" x14ac:dyDescent="0.3">
      <c r="O170" s="127"/>
      <c r="P170" s="128"/>
      <c r="R170" s="152"/>
      <c r="S170" s="158"/>
      <c r="T170" s="158"/>
      <c r="U170" s="158"/>
      <c r="V170" s="158"/>
      <c r="W170" s="158"/>
      <c r="X170" s="158"/>
      <c r="Y170" s="158"/>
      <c r="Z170" s="158"/>
      <c r="AA170" s="158"/>
      <c r="AB170" s="158"/>
      <c r="AC170" s="158"/>
      <c r="AD170" s="158"/>
      <c r="AE170" s="158"/>
      <c r="AF170" s="158"/>
      <c r="AG170" s="158"/>
      <c r="AH170" s="158"/>
      <c r="AI170" s="158"/>
      <c r="AJ170" s="158"/>
      <c r="AK170" s="158"/>
      <c r="AL170" s="158"/>
      <c r="AM170" s="158"/>
      <c r="AN170" s="158"/>
      <c r="AO170" s="158"/>
      <c r="AP170" s="158"/>
      <c r="AQ170" s="158"/>
      <c r="AR170" s="158"/>
      <c r="AS170" s="158"/>
      <c r="AT170" s="158"/>
      <c r="AU170" s="158"/>
      <c r="AV170" s="158"/>
      <c r="AW170" s="158"/>
      <c r="AX170" s="158"/>
      <c r="AY170" s="158"/>
      <c r="AZ170" s="158"/>
    </row>
    <row r="171" spans="15:52" x14ac:dyDescent="0.3">
      <c r="O171" s="127"/>
      <c r="P171" s="128"/>
      <c r="R171" s="152"/>
      <c r="S171" s="158"/>
      <c r="T171" s="158"/>
      <c r="U171" s="158"/>
      <c r="V171" s="158"/>
      <c r="W171" s="158"/>
      <c r="X171" s="158"/>
      <c r="Y171" s="158"/>
      <c r="Z171" s="158"/>
      <c r="AA171" s="158"/>
      <c r="AB171" s="158"/>
      <c r="AC171" s="158"/>
      <c r="AD171" s="158"/>
      <c r="AE171" s="158"/>
      <c r="AF171" s="158"/>
      <c r="AG171" s="158"/>
      <c r="AH171" s="158"/>
      <c r="AI171" s="158"/>
      <c r="AJ171" s="158"/>
      <c r="AK171" s="158"/>
      <c r="AL171" s="158"/>
      <c r="AM171" s="158"/>
      <c r="AN171" s="158"/>
      <c r="AO171" s="158"/>
      <c r="AP171" s="158"/>
      <c r="AQ171" s="158"/>
      <c r="AR171" s="158"/>
      <c r="AS171" s="158"/>
      <c r="AT171" s="158"/>
      <c r="AU171" s="158"/>
      <c r="AV171" s="158"/>
      <c r="AW171" s="158"/>
      <c r="AX171" s="158"/>
      <c r="AY171" s="158"/>
      <c r="AZ171" s="158"/>
    </row>
    <row r="172" spans="15:52" x14ac:dyDescent="0.3">
      <c r="O172" s="127"/>
      <c r="P172" s="128"/>
      <c r="R172" s="152"/>
      <c r="S172" s="158"/>
      <c r="T172" s="158"/>
      <c r="U172" s="158"/>
      <c r="V172" s="158"/>
      <c r="W172" s="158"/>
      <c r="X172" s="158"/>
      <c r="Y172" s="158"/>
      <c r="Z172" s="158"/>
      <c r="AA172" s="158"/>
      <c r="AB172" s="158"/>
      <c r="AC172" s="158"/>
      <c r="AD172" s="158"/>
      <c r="AE172" s="158"/>
      <c r="AF172" s="158"/>
      <c r="AG172" s="158"/>
      <c r="AH172" s="158"/>
      <c r="AI172" s="158"/>
      <c r="AJ172" s="158"/>
      <c r="AK172" s="158"/>
      <c r="AL172" s="158"/>
      <c r="AM172" s="158"/>
      <c r="AN172" s="158"/>
      <c r="AO172" s="158"/>
      <c r="AP172" s="158"/>
      <c r="AQ172" s="158"/>
      <c r="AR172" s="158"/>
      <c r="AS172" s="158"/>
      <c r="AT172" s="158"/>
      <c r="AU172" s="158"/>
      <c r="AV172" s="158"/>
      <c r="AW172" s="158"/>
      <c r="AX172" s="158"/>
      <c r="AY172" s="158"/>
      <c r="AZ172" s="158"/>
    </row>
    <row r="173" spans="15:52" x14ac:dyDescent="0.3">
      <c r="O173" s="127"/>
      <c r="P173" s="128"/>
      <c r="R173" s="152"/>
      <c r="S173" s="158"/>
      <c r="T173" s="158"/>
      <c r="U173" s="158"/>
      <c r="V173" s="158"/>
      <c r="W173" s="158"/>
      <c r="X173" s="158"/>
      <c r="Y173" s="158"/>
      <c r="Z173" s="158"/>
      <c r="AA173" s="158"/>
      <c r="AB173" s="158"/>
      <c r="AC173" s="158"/>
      <c r="AD173" s="158"/>
      <c r="AE173" s="158"/>
      <c r="AF173" s="158"/>
      <c r="AG173" s="158"/>
      <c r="AH173" s="158"/>
      <c r="AI173" s="158"/>
      <c r="AJ173" s="158"/>
      <c r="AK173" s="158"/>
      <c r="AL173" s="158"/>
      <c r="AM173" s="158"/>
      <c r="AN173" s="158"/>
      <c r="AO173" s="158"/>
      <c r="AP173" s="158"/>
      <c r="AQ173" s="158"/>
      <c r="AR173" s="158"/>
      <c r="AS173" s="158"/>
      <c r="AT173" s="158"/>
      <c r="AU173" s="158"/>
      <c r="AV173" s="158"/>
      <c r="AW173" s="158"/>
      <c r="AX173" s="158"/>
      <c r="AY173" s="158"/>
      <c r="AZ173" s="158"/>
    </row>
    <row r="174" spans="15:52" x14ac:dyDescent="0.3">
      <c r="O174" s="127"/>
      <c r="P174" s="128"/>
      <c r="R174" s="152"/>
      <c r="S174" s="158"/>
      <c r="T174" s="158"/>
      <c r="U174" s="158"/>
      <c r="V174" s="158"/>
      <c r="W174" s="158"/>
      <c r="X174" s="158"/>
      <c r="Y174" s="158"/>
      <c r="Z174" s="158"/>
      <c r="AA174" s="158"/>
      <c r="AB174" s="158"/>
      <c r="AC174" s="158"/>
      <c r="AD174" s="158"/>
      <c r="AE174" s="158"/>
      <c r="AF174" s="158"/>
      <c r="AG174" s="158"/>
      <c r="AH174" s="158"/>
      <c r="AI174" s="158"/>
      <c r="AJ174" s="158"/>
      <c r="AK174" s="158"/>
      <c r="AL174" s="158"/>
      <c r="AM174" s="158"/>
      <c r="AN174" s="158"/>
      <c r="AO174" s="158"/>
      <c r="AP174" s="158"/>
      <c r="AQ174" s="158"/>
      <c r="AR174" s="158"/>
      <c r="AS174" s="158"/>
      <c r="AT174" s="158"/>
      <c r="AU174" s="158"/>
      <c r="AV174" s="158"/>
      <c r="AW174" s="158"/>
      <c r="AX174" s="158"/>
      <c r="AY174" s="158"/>
      <c r="AZ174" s="158"/>
    </row>
    <row r="175" spans="15:52" x14ac:dyDescent="0.3">
      <c r="O175" s="127"/>
      <c r="P175" s="128"/>
      <c r="R175" s="152"/>
      <c r="S175" s="158"/>
      <c r="T175" s="158"/>
      <c r="U175" s="158"/>
      <c r="V175" s="158"/>
      <c r="W175" s="158"/>
      <c r="X175" s="158"/>
      <c r="Y175" s="158"/>
      <c r="Z175" s="158"/>
      <c r="AA175" s="158"/>
      <c r="AB175" s="158"/>
      <c r="AC175" s="158"/>
      <c r="AD175" s="158"/>
      <c r="AE175" s="158"/>
      <c r="AF175" s="158"/>
      <c r="AG175" s="158"/>
      <c r="AH175" s="158"/>
      <c r="AI175" s="158"/>
      <c r="AJ175" s="158"/>
      <c r="AK175" s="158"/>
      <c r="AL175" s="158"/>
      <c r="AM175" s="158"/>
      <c r="AN175" s="158"/>
      <c r="AO175" s="158"/>
      <c r="AP175" s="158"/>
      <c r="AQ175" s="158"/>
      <c r="AR175" s="158"/>
      <c r="AS175" s="158"/>
      <c r="AT175" s="158"/>
      <c r="AU175" s="158"/>
      <c r="AV175" s="158"/>
      <c r="AW175" s="158"/>
      <c r="AX175" s="158"/>
      <c r="AY175" s="158"/>
      <c r="AZ175" s="158"/>
    </row>
    <row r="176" spans="15:52" x14ac:dyDescent="0.3">
      <c r="O176" s="127"/>
      <c r="P176" s="128"/>
      <c r="R176" s="152"/>
      <c r="S176" s="158"/>
      <c r="T176" s="158"/>
      <c r="U176" s="158"/>
      <c r="V176" s="158"/>
      <c r="W176" s="158"/>
      <c r="X176" s="158"/>
      <c r="Y176" s="158"/>
      <c r="Z176" s="158"/>
      <c r="AA176" s="158"/>
      <c r="AB176" s="158"/>
      <c r="AC176" s="158"/>
      <c r="AD176" s="158"/>
      <c r="AE176" s="158"/>
      <c r="AF176" s="158"/>
      <c r="AG176" s="158"/>
      <c r="AH176" s="158"/>
      <c r="AI176" s="158"/>
      <c r="AJ176" s="158"/>
      <c r="AK176" s="158"/>
      <c r="AL176" s="158"/>
      <c r="AM176" s="158"/>
      <c r="AN176" s="158"/>
      <c r="AO176" s="158"/>
      <c r="AP176" s="158"/>
      <c r="AQ176" s="158"/>
      <c r="AR176" s="158"/>
      <c r="AS176" s="158"/>
      <c r="AT176" s="158"/>
      <c r="AU176" s="158"/>
      <c r="AV176" s="158"/>
      <c r="AW176" s="158"/>
      <c r="AX176" s="158"/>
      <c r="AY176" s="158"/>
      <c r="AZ176" s="158"/>
    </row>
    <row r="177" spans="15:52" x14ac:dyDescent="0.3">
      <c r="O177" s="127"/>
      <c r="P177" s="128"/>
      <c r="R177" s="152"/>
      <c r="S177" s="158"/>
      <c r="T177" s="158"/>
      <c r="U177" s="158"/>
      <c r="V177" s="158"/>
      <c r="W177" s="158"/>
      <c r="X177" s="158"/>
      <c r="Y177" s="158"/>
      <c r="Z177" s="158"/>
      <c r="AA177" s="158"/>
      <c r="AB177" s="158"/>
      <c r="AC177" s="158"/>
      <c r="AD177" s="158"/>
      <c r="AE177" s="158"/>
      <c r="AF177" s="158"/>
      <c r="AG177" s="158"/>
      <c r="AH177" s="158"/>
      <c r="AI177" s="158"/>
      <c r="AJ177" s="158"/>
      <c r="AK177" s="158"/>
      <c r="AL177" s="158"/>
      <c r="AM177" s="158"/>
      <c r="AN177" s="158"/>
      <c r="AO177" s="158"/>
      <c r="AP177" s="158"/>
      <c r="AQ177" s="158"/>
      <c r="AR177" s="158"/>
      <c r="AS177" s="158"/>
      <c r="AT177" s="158"/>
      <c r="AU177" s="158"/>
      <c r="AV177" s="158"/>
      <c r="AW177" s="158"/>
      <c r="AX177" s="158"/>
      <c r="AY177" s="158"/>
      <c r="AZ177" s="158"/>
    </row>
    <row r="178" spans="15:52" x14ac:dyDescent="0.3">
      <c r="O178" s="127"/>
      <c r="P178" s="128"/>
      <c r="R178" s="152"/>
      <c r="S178" s="158"/>
      <c r="T178" s="158"/>
      <c r="U178" s="158"/>
      <c r="V178" s="158"/>
      <c r="W178" s="158"/>
      <c r="X178" s="158"/>
      <c r="Y178" s="158"/>
      <c r="Z178" s="158"/>
      <c r="AA178" s="158"/>
      <c r="AB178" s="158"/>
      <c r="AC178" s="158"/>
      <c r="AD178" s="158"/>
      <c r="AE178" s="158"/>
      <c r="AF178" s="158"/>
      <c r="AG178" s="158"/>
      <c r="AH178" s="158"/>
      <c r="AI178" s="158"/>
      <c r="AJ178" s="158"/>
      <c r="AK178" s="158"/>
      <c r="AL178" s="158"/>
      <c r="AM178" s="158"/>
      <c r="AN178" s="158"/>
      <c r="AO178" s="158"/>
      <c r="AP178" s="158"/>
      <c r="AQ178" s="158"/>
      <c r="AR178" s="158"/>
      <c r="AS178" s="158"/>
      <c r="AT178" s="158"/>
      <c r="AU178" s="158"/>
      <c r="AV178" s="158"/>
      <c r="AW178" s="158"/>
      <c r="AX178" s="158"/>
      <c r="AY178" s="158"/>
      <c r="AZ178" s="158"/>
    </row>
    <row r="179" spans="15:52" x14ac:dyDescent="0.3">
      <c r="O179" s="127"/>
      <c r="P179" s="128"/>
      <c r="R179" s="152"/>
      <c r="S179" s="158"/>
      <c r="T179" s="158"/>
      <c r="U179" s="158"/>
      <c r="V179" s="158"/>
      <c r="W179" s="158"/>
      <c r="X179" s="158"/>
      <c r="Y179" s="158"/>
      <c r="Z179" s="158"/>
      <c r="AA179" s="158"/>
      <c r="AB179" s="158"/>
      <c r="AC179" s="158"/>
      <c r="AD179" s="158"/>
      <c r="AE179" s="158"/>
      <c r="AF179" s="158"/>
      <c r="AG179" s="158"/>
      <c r="AH179" s="158"/>
      <c r="AI179" s="158"/>
      <c r="AJ179" s="158"/>
      <c r="AK179" s="158"/>
      <c r="AL179" s="158"/>
      <c r="AM179" s="158"/>
      <c r="AN179" s="158"/>
      <c r="AO179" s="158"/>
      <c r="AP179" s="158"/>
      <c r="AQ179" s="158"/>
      <c r="AR179" s="158"/>
      <c r="AS179" s="158"/>
      <c r="AT179" s="158"/>
      <c r="AU179" s="158"/>
      <c r="AV179" s="158"/>
      <c r="AW179" s="158"/>
      <c r="AX179" s="158"/>
      <c r="AY179" s="158"/>
      <c r="AZ179" s="158"/>
    </row>
    <row r="180" spans="15:52" x14ac:dyDescent="0.3">
      <c r="O180" s="127"/>
      <c r="P180" s="128"/>
      <c r="R180" s="152"/>
      <c r="S180" s="158"/>
      <c r="T180" s="158"/>
      <c r="U180" s="158"/>
      <c r="V180" s="158"/>
      <c r="W180" s="158"/>
      <c r="X180" s="158"/>
      <c r="Y180" s="158"/>
      <c r="Z180" s="158"/>
      <c r="AA180" s="158"/>
      <c r="AB180" s="158"/>
      <c r="AC180" s="158"/>
      <c r="AD180" s="158"/>
      <c r="AE180" s="158"/>
      <c r="AF180" s="158"/>
      <c r="AG180" s="158"/>
      <c r="AH180" s="158"/>
      <c r="AI180" s="158"/>
      <c r="AJ180" s="158"/>
      <c r="AK180" s="158"/>
      <c r="AL180" s="158"/>
      <c r="AM180" s="158"/>
      <c r="AN180" s="158"/>
      <c r="AO180" s="158"/>
      <c r="AP180" s="158"/>
      <c r="AQ180" s="158"/>
      <c r="AR180" s="158"/>
      <c r="AS180" s="158"/>
      <c r="AT180" s="158"/>
      <c r="AU180" s="158"/>
      <c r="AV180" s="158"/>
      <c r="AW180" s="158"/>
      <c r="AX180" s="158"/>
      <c r="AY180" s="158"/>
      <c r="AZ180" s="158"/>
    </row>
    <row r="181" spans="15:52" x14ac:dyDescent="0.3">
      <c r="O181" s="127"/>
      <c r="P181" s="128"/>
      <c r="R181" s="152"/>
      <c r="S181" s="158"/>
      <c r="T181" s="158"/>
      <c r="U181" s="158"/>
      <c r="V181" s="158"/>
      <c r="W181" s="158"/>
      <c r="X181" s="158"/>
      <c r="Y181" s="158"/>
      <c r="Z181" s="158"/>
      <c r="AA181" s="158"/>
      <c r="AB181" s="158"/>
      <c r="AC181" s="158"/>
      <c r="AD181" s="158"/>
      <c r="AE181" s="158"/>
      <c r="AF181" s="158"/>
      <c r="AG181" s="158"/>
      <c r="AH181" s="158"/>
      <c r="AI181" s="158"/>
      <c r="AJ181" s="158"/>
      <c r="AK181" s="158"/>
      <c r="AL181" s="158"/>
      <c r="AM181" s="158"/>
      <c r="AN181" s="158"/>
      <c r="AO181" s="158"/>
      <c r="AP181" s="158"/>
      <c r="AQ181" s="158"/>
      <c r="AR181" s="158"/>
      <c r="AS181" s="158"/>
      <c r="AT181" s="158"/>
      <c r="AU181" s="158"/>
      <c r="AV181" s="158"/>
      <c r="AW181" s="158"/>
      <c r="AX181" s="158"/>
      <c r="AY181" s="158"/>
      <c r="AZ181" s="158"/>
    </row>
    <row r="182" spans="15:52" x14ac:dyDescent="0.3">
      <c r="O182" s="127"/>
      <c r="P182" s="128"/>
      <c r="R182" s="152"/>
      <c r="S182" s="158"/>
      <c r="T182" s="158"/>
      <c r="U182" s="158"/>
      <c r="V182" s="158"/>
      <c r="W182" s="158"/>
      <c r="X182" s="158"/>
      <c r="Y182" s="158"/>
      <c r="Z182" s="158"/>
      <c r="AA182" s="158"/>
      <c r="AB182" s="158"/>
      <c r="AC182" s="158"/>
      <c r="AD182" s="158"/>
      <c r="AE182" s="158"/>
      <c r="AF182" s="158"/>
      <c r="AG182" s="158"/>
      <c r="AH182" s="158"/>
      <c r="AI182" s="158"/>
      <c r="AJ182" s="158"/>
      <c r="AK182" s="158"/>
      <c r="AL182" s="158"/>
      <c r="AM182" s="158"/>
      <c r="AN182" s="158"/>
      <c r="AO182" s="158"/>
      <c r="AP182" s="158"/>
      <c r="AQ182" s="158"/>
      <c r="AR182" s="158"/>
      <c r="AS182" s="158"/>
      <c r="AT182" s="158"/>
      <c r="AU182" s="158"/>
      <c r="AV182" s="158"/>
      <c r="AW182" s="158"/>
      <c r="AX182" s="158"/>
      <c r="AY182" s="158"/>
      <c r="AZ182" s="158"/>
    </row>
    <row r="183" spans="15:52" x14ac:dyDescent="0.3">
      <c r="O183" s="127"/>
      <c r="P183" s="128"/>
      <c r="R183" s="152"/>
      <c r="S183" s="158"/>
      <c r="T183" s="158"/>
      <c r="U183" s="158"/>
      <c r="V183" s="158"/>
      <c r="W183" s="158"/>
      <c r="X183" s="158"/>
      <c r="Y183" s="158"/>
      <c r="Z183" s="158"/>
      <c r="AA183" s="158"/>
      <c r="AB183" s="158"/>
      <c r="AC183" s="158"/>
      <c r="AD183" s="158"/>
      <c r="AE183" s="158"/>
      <c r="AF183" s="158"/>
      <c r="AG183" s="158"/>
      <c r="AH183" s="158"/>
      <c r="AI183" s="158"/>
      <c r="AJ183" s="158"/>
      <c r="AK183" s="158"/>
      <c r="AL183" s="158"/>
      <c r="AM183" s="158"/>
      <c r="AN183" s="158"/>
      <c r="AO183" s="158"/>
      <c r="AP183" s="158"/>
      <c r="AQ183" s="158"/>
      <c r="AR183" s="158"/>
      <c r="AS183" s="158"/>
      <c r="AT183" s="158"/>
      <c r="AU183" s="158"/>
      <c r="AV183" s="158"/>
      <c r="AW183" s="158"/>
      <c r="AX183" s="158"/>
      <c r="AY183" s="158"/>
      <c r="AZ183" s="158"/>
    </row>
    <row r="184" spans="15:52" x14ac:dyDescent="0.3">
      <c r="O184" s="127"/>
      <c r="P184" s="128"/>
      <c r="R184" s="152"/>
      <c r="S184" s="158"/>
      <c r="T184" s="158"/>
      <c r="U184" s="158"/>
      <c r="V184" s="158"/>
      <c r="W184" s="158"/>
      <c r="X184" s="158"/>
      <c r="Y184" s="158"/>
      <c r="Z184" s="158"/>
      <c r="AA184" s="158"/>
      <c r="AB184" s="158"/>
      <c r="AC184" s="158"/>
      <c r="AD184" s="158"/>
      <c r="AE184" s="158"/>
      <c r="AF184" s="158"/>
      <c r="AG184" s="158"/>
      <c r="AH184" s="158"/>
      <c r="AI184" s="158"/>
      <c r="AJ184" s="158"/>
      <c r="AK184" s="158"/>
      <c r="AL184" s="158"/>
      <c r="AM184" s="158"/>
      <c r="AN184" s="158"/>
      <c r="AO184" s="158"/>
      <c r="AP184" s="158"/>
      <c r="AQ184" s="158"/>
      <c r="AR184" s="158"/>
      <c r="AS184" s="158"/>
      <c r="AT184" s="158"/>
      <c r="AU184" s="158"/>
      <c r="AV184" s="158"/>
      <c r="AW184" s="158"/>
      <c r="AX184" s="158"/>
      <c r="AY184" s="158"/>
      <c r="AZ184" s="158"/>
    </row>
    <row r="185" spans="15:52" x14ac:dyDescent="0.3">
      <c r="O185" s="127"/>
      <c r="P185" s="128"/>
      <c r="R185" s="152"/>
      <c r="S185" s="158"/>
      <c r="T185" s="158"/>
      <c r="U185" s="158"/>
      <c r="V185" s="158"/>
      <c r="W185" s="158"/>
      <c r="X185" s="158"/>
      <c r="Y185" s="158"/>
      <c r="Z185" s="158"/>
      <c r="AA185" s="158"/>
      <c r="AB185" s="158"/>
      <c r="AC185" s="158"/>
      <c r="AD185" s="158"/>
      <c r="AE185" s="158"/>
      <c r="AF185" s="158"/>
      <c r="AG185" s="158"/>
      <c r="AH185" s="158"/>
      <c r="AI185" s="158"/>
      <c r="AJ185" s="158"/>
      <c r="AK185" s="158"/>
      <c r="AL185" s="158"/>
      <c r="AM185" s="158"/>
      <c r="AN185" s="158"/>
      <c r="AO185" s="158"/>
      <c r="AP185" s="158"/>
      <c r="AQ185" s="158"/>
      <c r="AR185" s="158"/>
      <c r="AS185" s="158"/>
      <c r="AT185" s="158"/>
      <c r="AU185" s="158"/>
      <c r="AV185" s="158"/>
      <c r="AW185" s="158"/>
      <c r="AX185" s="158"/>
      <c r="AY185" s="158"/>
      <c r="AZ185" s="158"/>
    </row>
    <row r="186" spans="15:52" x14ac:dyDescent="0.3">
      <c r="O186" s="127"/>
      <c r="P186" s="128"/>
      <c r="R186" s="152"/>
      <c r="S186" s="158"/>
      <c r="T186" s="158"/>
      <c r="U186" s="158"/>
      <c r="V186" s="158"/>
      <c r="W186" s="158"/>
      <c r="X186" s="158"/>
      <c r="Y186" s="158"/>
      <c r="Z186" s="158"/>
      <c r="AA186" s="158"/>
      <c r="AB186" s="158"/>
      <c r="AC186" s="158"/>
      <c r="AD186" s="158"/>
      <c r="AE186" s="158"/>
      <c r="AF186" s="158"/>
      <c r="AG186" s="158"/>
      <c r="AH186" s="158"/>
      <c r="AI186" s="158"/>
      <c r="AJ186" s="158"/>
      <c r="AK186" s="158"/>
      <c r="AL186" s="158"/>
      <c r="AM186" s="158"/>
      <c r="AN186" s="158"/>
      <c r="AO186" s="158"/>
      <c r="AP186" s="158"/>
      <c r="AQ186" s="158"/>
      <c r="AR186" s="158"/>
      <c r="AS186" s="158"/>
      <c r="AT186" s="158"/>
      <c r="AU186" s="158"/>
      <c r="AV186" s="158"/>
      <c r="AW186" s="158"/>
      <c r="AX186" s="158"/>
      <c r="AY186" s="158"/>
      <c r="AZ186" s="158"/>
    </row>
    <row r="187" spans="15:52" x14ac:dyDescent="0.3">
      <c r="O187" s="127"/>
      <c r="P187" s="128"/>
      <c r="R187" s="152"/>
      <c r="S187" s="158"/>
      <c r="T187" s="158"/>
      <c r="U187" s="158"/>
      <c r="V187" s="158"/>
      <c r="W187" s="158"/>
      <c r="X187" s="158"/>
      <c r="Y187" s="158"/>
      <c r="Z187" s="158"/>
      <c r="AA187" s="158"/>
      <c r="AB187" s="158"/>
      <c r="AC187" s="158"/>
      <c r="AD187" s="158"/>
      <c r="AE187" s="158"/>
      <c r="AF187" s="158"/>
      <c r="AG187" s="158"/>
      <c r="AH187" s="158"/>
      <c r="AI187" s="158"/>
      <c r="AJ187" s="158"/>
      <c r="AK187" s="158"/>
      <c r="AL187" s="158"/>
      <c r="AM187" s="158"/>
      <c r="AN187" s="158"/>
      <c r="AO187" s="158"/>
      <c r="AP187" s="158"/>
      <c r="AQ187" s="158"/>
      <c r="AR187" s="158"/>
      <c r="AS187" s="158"/>
      <c r="AT187" s="158"/>
      <c r="AU187" s="158"/>
      <c r="AV187" s="158"/>
      <c r="AW187" s="158"/>
      <c r="AX187" s="158"/>
      <c r="AY187" s="158"/>
      <c r="AZ187" s="158"/>
    </row>
    <row r="188" spans="15:52" x14ac:dyDescent="0.3">
      <c r="O188" s="127"/>
      <c r="P188" s="128"/>
      <c r="R188" s="152"/>
      <c r="S188" s="158"/>
      <c r="T188" s="158"/>
      <c r="U188" s="158"/>
      <c r="V188" s="158"/>
      <c r="W188" s="158"/>
      <c r="X188" s="158"/>
      <c r="Y188" s="158"/>
      <c r="Z188" s="158"/>
      <c r="AA188" s="158"/>
      <c r="AB188" s="158"/>
      <c r="AC188" s="158"/>
      <c r="AD188" s="158"/>
      <c r="AE188" s="158"/>
      <c r="AF188" s="158"/>
      <c r="AG188" s="158"/>
      <c r="AH188" s="158"/>
      <c r="AI188" s="158"/>
      <c r="AJ188" s="158"/>
      <c r="AK188" s="158"/>
      <c r="AL188" s="158"/>
      <c r="AM188" s="158"/>
      <c r="AN188" s="158"/>
      <c r="AO188" s="158"/>
      <c r="AP188" s="158"/>
      <c r="AQ188" s="158"/>
      <c r="AR188" s="158"/>
      <c r="AS188" s="158"/>
      <c r="AT188" s="158"/>
      <c r="AU188" s="158"/>
      <c r="AV188" s="158"/>
      <c r="AW188" s="158"/>
      <c r="AX188" s="158"/>
      <c r="AY188" s="158"/>
      <c r="AZ188" s="158"/>
    </row>
    <row r="189" spans="15:52" x14ac:dyDescent="0.3">
      <c r="O189" s="127"/>
      <c r="P189" s="128"/>
      <c r="R189" s="152"/>
      <c r="S189" s="158"/>
      <c r="T189" s="158"/>
      <c r="U189" s="158"/>
      <c r="V189" s="158"/>
      <c r="W189" s="158"/>
      <c r="X189" s="158"/>
      <c r="Y189" s="158"/>
      <c r="Z189" s="158"/>
      <c r="AA189" s="158"/>
      <c r="AB189" s="158"/>
      <c r="AC189" s="158"/>
      <c r="AD189" s="158"/>
      <c r="AE189" s="158"/>
      <c r="AF189" s="158"/>
      <c r="AG189" s="158"/>
      <c r="AH189" s="158"/>
      <c r="AI189" s="158"/>
      <c r="AJ189" s="158"/>
      <c r="AK189" s="158"/>
      <c r="AL189" s="158"/>
      <c r="AM189" s="158"/>
      <c r="AN189" s="158"/>
      <c r="AO189" s="158"/>
      <c r="AP189" s="158"/>
      <c r="AQ189" s="158"/>
      <c r="AR189" s="158"/>
      <c r="AS189" s="158"/>
      <c r="AT189" s="158"/>
      <c r="AU189" s="158"/>
      <c r="AV189" s="158"/>
      <c r="AW189" s="158"/>
      <c r="AX189" s="158"/>
      <c r="AY189" s="158"/>
      <c r="AZ189" s="158"/>
    </row>
    <row r="190" spans="15:52" x14ac:dyDescent="0.3">
      <c r="O190" s="127"/>
      <c r="P190" s="128"/>
      <c r="R190" s="152"/>
      <c r="S190" s="158"/>
      <c r="T190" s="158"/>
      <c r="U190" s="158"/>
      <c r="V190" s="158"/>
      <c r="W190" s="158"/>
      <c r="X190" s="158"/>
      <c r="Y190" s="158"/>
      <c r="Z190" s="158"/>
      <c r="AA190" s="158"/>
      <c r="AB190" s="158"/>
      <c r="AC190" s="158"/>
      <c r="AD190" s="158"/>
      <c r="AE190" s="158"/>
      <c r="AF190" s="158"/>
      <c r="AG190" s="158"/>
      <c r="AH190" s="158"/>
      <c r="AI190" s="158"/>
      <c r="AJ190" s="158"/>
      <c r="AK190" s="158"/>
      <c r="AL190" s="158"/>
      <c r="AM190" s="158"/>
      <c r="AN190" s="158"/>
      <c r="AO190" s="158"/>
      <c r="AP190" s="158"/>
      <c r="AQ190" s="158"/>
      <c r="AR190" s="158"/>
      <c r="AS190" s="158"/>
      <c r="AT190" s="158"/>
      <c r="AU190" s="158"/>
      <c r="AV190" s="158"/>
      <c r="AW190" s="158"/>
      <c r="AX190" s="158"/>
      <c r="AY190" s="158"/>
      <c r="AZ190" s="158"/>
    </row>
    <row r="191" spans="15:52" x14ac:dyDescent="0.3">
      <c r="O191" s="127"/>
      <c r="P191" s="128"/>
      <c r="R191" s="152"/>
      <c r="S191" s="158"/>
      <c r="T191" s="158"/>
      <c r="U191" s="158"/>
      <c r="V191" s="158"/>
      <c r="W191" s="158"/>
      <c r="X191" s="158"/>
      <c r="Y191" s="158"/>
      <c r="Z191" s="158"/>
      <c r="AA191" s="158"/>
      <c r="AB191" s="158"/>
      <c r="AC191" s="158"/>
      <c r="AD191" s="158"/>
      <c r="AE191" s="158"/>
      <c r="AF191" s="158"/>
      <c r="AG191" s="158"/>
      <c r="AH191" s="158"/>
      <c r="AI191" s="158"/>
      <c r="AJ191" s="158"/>
      <c r="AK191" s="158"/>
      <c r="AL191" s="158"/>
      <c r="AM191" s="158"/>
      <c r="AN191" s="158"/>
      <c r="AO191" s="158"/>
      <c r="AP191" s="158"/>
      <c r="AQ191" s="158"/>
      <c r="AR191" s="158"/>
      <c r="AS191" s="158"/>
      <c r="AT191" s="158"/>
      <c r="AU191" s="158"/>
      <c r="AV191" s="158"/>
      <c r="AW191" s="158"/>
      <c r="AX191" s="158"/>
      <c r="AY191" s="158"/>
      <c r="AZ191" s="158"/>
    </row>
    <row r="192" spans="15:52" x14ac:dyDescent="0.3">
      <c r="O192" s="127"/>
      <c r="P192" s="128"/>
      <c r="R192" s="152"/>
      <c r="S192" s="158"/>
      <c r="T192" s="158"/>
      <c r="U192" s="158"/>
      <c r="V192" s="158"/>
      <c r="W192" s="158"/>
      <c r="X192" s="158"/>
      <c r="Y192" s="158"/>
      <c r="Z192" s="158"/>
      <c r="AA192" s="158"/>
      <c r="AB192" s="158"/>
      <c r="AC192" s="158"/>
      <c r="AD192" s="158"/>
      <c r="AE192" s="158"/>
      <c r="AF192" s="158"/>
      <c r="AG192" s="158"/>
      <c r="AH192" s="158"/>
      <c r="AI192" s="158"/>
      <c r="AJ192" s="158"/>
      <c r="AK192" s="158"/>
      <c r="AL192" s="158"/>
      <c r="AM192" s="158"/>
      <c r="AN192" s="158"/>
      <c r="AO192" s="158"/>
      <c r="AP192" s="158"/>
      <c r="AQ192" s="158"/>
      <c r="AR192" s="158"/>
      <c r="AS192" s="158"/>
      <c r="AT192" s="158"/>
      <c r="AU192" s="158"/>
      <c r="AV192" s="158"/>
      <c r="AW192" s="158"/>
      <c r="AX192" s="158"/>
      <c r="AY192" s="158"/>
      <c r="AZ192" s="158"/>
    </row>
    <row r="193" spans="15:52" x14ac:dyDescent="0.3">
      <c r="O193" s="127"/>
      <c r="P193" s="128"/>
      <c r="R193" s="152"/>
      <c r="S193" s="158"/>
      <c r="T193" s="158"/>
      <c r="U193" s="158"/>
      <c r="V193" s="158"/>
      <c r="W193" s="158"/>
      <c r="X193" s="158"/>
      <c r="Y193" s="158"/>
      <c r="Z193" s="158"/>
      <c r="AA193" s="158"/>
      <c r="AB193" s="158"/>
      <c r="AC193" s="158"/>
      <c r="AD193" s="158"/>
      <c r="AE193" s="158"/>
      <c r="AF193" s="158"/>
      <c r="AG193" s="158"/>
      <c r="AH193" s="158"/>
      <c r="AI193" s="158"/>
      <c r="AJ193" s="158"/>
      <c r="AK193" s="158"/>
      <c r="AL193" s="158"/>
      <c r="AM193" s="158"/>
      <c r="AN193" s="158"/>
      <c r="AO193" s="158"/>
      <c r="AP193" s="158"/>
      <c r="AQ193" s="158"/>
      <c r="AR193" s="158"/>
      <c r="AS193" s="158"/>
      <c r="AT193" s="158"/>
      <c r="AU193" s="158"/>
      <c r="AV193" s="158"/>
      <c r="AW193" s="158"/>
      <c r="AX193" s="158"/>
      <c r="AY193" s="158"/>
      <c r="AZ193" s="158"/>
    </row>
    <row r="194" spans="15:52" x14ac:dyDescent="0.3">
      <c r="O194" s="127"/>
      <c r="P194" s="128"/>
      <c r="R194" s="152"/>
      <c r="S194" s="158"/>
      <c r="T194" s="158"/>
      <c r="U194" s="158"/>
      <c r="V194" s="158"/>
      <c r="W194" s="158"/>
      <c r="X194" s="158"/>
      <c r="Y194" s="158"/>
      <c r="Z194" s="158"/>
      <c r="AA194" s="158"/>
      <c r="AB194" s="158"/>
      <c r="AC194" s="158"/>
      <c r="AD194" s="158"/>
      <c r="AE194" s="158"/>
      <c r="AF194" s="158"/>
      <c r="AG194" s="158"/>
      <c r="AH194" s="158"/>
      <c r="AI194" s="158"/>
      <c r="AJ194" s="158"/>
      <c r="AK194" s="158"/>
      <c r="AL194" s="158"/>
      <c r="AM194" s="158"/>
      <c r="AN194" s="158"/>
      <c r="AO194" s="158"/>
      <c r="AP194" s="158"/>
      <c r="AQ194" s="158"/>
      <c r="AR194" s="158"/>
      <c r="AS194" s="158"/>
      <c r="AT194" s="158"/>
      <c r="AU194" s="158"/>
      <c r="AV194" s="158"/>
      <c r="AW194" s="158"/>
      <c r="AX194" s="158"/>
      <c r="AY194" s="158"/>
      <c r="AZ194" s="158"/>
    </row>
    <row r="195" spans="15:52" x14ac:dyDescent="0.3">
      <c r="O195" s="127"/>
      <c r="P195" s="128"/>
      <c r="R195" s="152"/>
      <c r="S195" s="158"/>
      <c r="T195" s="158"/>
      <c r="U195" s="158"/>
      <c r="V195" s="158"/>
      <c r="W195" s="158"/>
      <c r="X195" s="158"/>
      <c r="Y195" s="158"/>
      <c r="Z195" s="158"/>
      <c r="AA195" s="158"/>
      <c r="AB195" s="158"/>
      <c r="AC195" s="158"/>
      <c r="AD195" s="158"/>
      <c r="AE195" s="158"/>
      <c r="AF195" s="158"/>
      <c r="AG195" s="158"/>
      <c r="AH195" s="158"/>
      <c r="AI195" s="158"/>
      <c r="AJ195" s="158"/>
      <c r="AK195" s="158"/>
      <c r="AL195" s="158"/>
      <c r="AM195" s="158"/>
      <c r="AN195" s="158"/>
      <c r="AO195" s="158"/>
      <c r="AP195" s="158"/>
      <c r="AQ195" s="158"/>
      <c r="AR195" s="158"/>
      <c r="AS195" s="158"/>
      <c r="AT195" s="158"/>
      <c r="AU195" s="158"/>
      <c r="AV195" s="158"/>
      <c r="AW195" s="158"/>
      <c r="AX195" s="158"/>
      <c r="AY195" s="158"/>
      <c r="AZ195" s="158"/>
    </row>
    <row r="196" spans="15:52" x14ac:dyDescent="0.3">
      <c r="O196" s="127"/>
      <c r="P196" s="128"/>
      <c r="R196" s="152"/>
      <c r="S196" s="158"/>
      <c r="T196" s="158"/>
      <c r="U196" s="158"/>
      <c r="V196" s="158"/>
      <c r="W196" s="158"/>
      <c r="X196" s="158"/>
      <c r="Y196" s="158"/>
      <c r="Z196" s="158"/>
      <c r="AA196" s="158"/>
      <c r="AB196" s="158"/>
      <c r="AC196" s="158"/>
      <c r="AD196" s="158"/>
      <c r="AE196" s="158"/>
      <c r="AF196" s="158"/>
      <c r="AG196" s="158"/>
      <c r="AH196" s="158"/>
      <c r="AI196" s="158"/>
      <c r="AJ196" s="158"/>
      <c r="AK196" s="158"/>
      <c r="AL196" s="158"/>
      <c r="AM196" s="158"/>
      <c r="AN196" s="158"/>
      <c r="AO196" s="158"/>
      <c r="AP196" s="158"/>
      <c r="AQ196" s="158"/>
      <c r="AR196" s="158"/>
      <c r="AS196" s="158"/>
      <c r="AT196" s="158"/>
      <c r="AU196" s="158"/>
      <c r="AV196" s="158"/>
      <c r="AW196" s="158"/>
      <c r="AX196" s="158"/>
      <c r="AY196" s="158"/>
      <c r="AZ196" s="158"/>
    </row>
    <row r="197" spans="15:52" x14ac:dyDescent="0.3">
      <c r="O197" s="127"/>
      <c r="P197" s="128"/>
      <c r="R197" s="152"/>
      <c r="S197" s="158"/>
      <c r="T197" s="158"/>
      <c r="U197" s="158"/>
      <c r="V197" s="158"/>
      <c r="W197" s="158"/>
      <c r="X197" s="158"/>
      <c r="Y197" s="158"/>
      <c r="Z197" s="158"/>
      <c r="AA197" s="158"/>
      <c r="AB197" s="158"/>
      <c r="AC197" s="158"/>
      <c r="AD197" s="158"/>
      <c r="AE197" s="158"/>
      <c r="AF197" s="158"/>
      <c r="AG197" s="158"/>
      <c r="AH197" s="158"/>
      <c r="AI197" s="158"/>
      <c r="AJ197" s="158"/>
      <c r="AK197" s="158"/>
      <c r="AL197" s="158"/>
      <c r="AM197" s="158"/>
      <c r="AN197" s="158"/>
      <c r="AO197" s="158"/>
      <c r="AP197" s="158"/>
      <c r="AQ197" s="158"/>
      <c r="AR197" s="158"/>
      <c r="AS197" s="158"/>
      <c r="AT197" s="158"/>
      <c r="AU197" s="158"/>
      <c r="AV197" s="158"/>
      <c r="AW197" s="158"/>
      <c r="AX197" s="158"/>
      <c r="AY197" s="158"/>
      <c r="AZ197" s="158"/>
    </row>
    <row r="198" spans="15:52" x14ac:dyDescent="0.3">
      <c r="O198" s="127"/>
      <c r="P198" s="128"/>
      <c r="R198" s="152"/>
      <c r="S198" s="158"/>
      <c r="T198" s="158"/>
      <c r="U198" s="158"/>
      <c r="V198" s="158"/>
      <c r="W198" s="158"/>
      <c r="X198" s="158"/>
      <c r="Y198" s="158"/>
      <c r="Z198" s="158"/>
      <c r="AA198" s="158"/>
      <c r="AB198" s="158"/>
      <c r="AC198" s="158"/>
      <c r="AD198" s="158"/>
      <c r="AE198" s="158"/>
      <c r="AF198" s="158"/>
      <c r="AG198" s="158"/>
      <c r="AH198" s="158"/>
      <c r="AI198" s="158"/>
      <c r="AJ198" s="158"/>
      <c r="AK198" s="158"/>
      <c r="AL198" s="158"/>
      <c r="AM198" s="158"/>
      <c r="AN198" s="158"/>
      <c r="AO198" s="158"/>
      <c r="AP198" s="158"/>
      <c r="AQ198" s="158"/>
      <c r="AR198" s="158"/>
      <c r="AS198" s="158"/>
      <c r="AT198" s="158"/>
      <c r="AU198" s="158"/>
      <c r="AV198" s="158"/>
      <c r="AW198" s="158"/>
      <c r="AX198" s="158"/>
      <c r="AY198" s="158"/>
      <c r="AZ198" s="158"/>
    </row>
    <row r="199" spans="15:52" x14ac:dyDescent="0.3">
      <c r="O199" s="127"/>
      <c r="P199" s="128"/>
      <c r="R199" s="152"/>
      <c r="S199" s="158"/>
      <c r="T199" s="158"/>
      <c r="U199" s="158"/>
      <c r="V199" s="158"/>
      <c r="W199" s="158"/>
      <c r="X199" s="158"/>
      <c r="Y199" s="158"/>
      <c r="Z199" s="158"/>
      <c r="AA199" s="158"/>
      <c r="AB199" s="158"/>
      <c r="AC199" s="158"/>
      <c r="AD199" s="158"/>
      <c r="AE199" s="158"/>
      <c r="AF199" s="158"/>
      <c r="AG199" s="158"/>
      <c r="AH199" s="158"/>
      <c r="AI199" s="158"/>
      <c r="AJ199" s="158"/>
      <c r="AK199" s="158"/>
      <c r="AL199" s="158"/>
      <c r="AM199" s="158"/>
      <c r="AN199" s="158"/>
      <c r="AO199" s="158"/>
      <c r="AP199" s="158"/>
      <c r="AQ199" s="158"/>
      <c r="AR199" s="158"/>
      <c r="AS199" s="158"/>
      <c r="AT199" s="158"/>
      <c r="AU199" s="158"/>
      <c r="AV199" s="158"/>
      <c r="AW199" s="158"/>
      <c r="AX199" s="158"/>
      <c r="AY199" s="158"/>
      <c r="AZ199" s="158"/>
    </row>
    <row r="200" spans="15:52" x14ac:dyDescent="0.3">
      <c r="O200" s="127"/>
      <c r="P200" s="128"/>
      <c r="R200" s="152"/>
      <c r="S200" s="158"/>
      <c r="T200" s="158"/>
      <c r="U200" s="158"/>
      <c r="V200" s="158"/>
      <c r="W200" s="158"/>
      <c r="X200" s="158"/>
      <c r="Y200" s="158"/>
      <c r="Z200" s="158"/>
      <c r="AA200" s="158"/>
      <c r="AB200" s="158"/>
      <c r="AC200" s="158"/>
      <c r="AD200" s="158"/>
      <c r="AE200" s="158"/>
      <c r="AF200" s="158"/>
      <c r="AG200" s="158"/>
      <c r="AH200" s="158"/>
      <c r="AI200" s="158"/>
      <c r="AJ200" s="158"/>
      <c r="AK200" s="158"/>
      <c r="AL200" s="158"/>
      <c r="AM200" s="158"/>
      <c r="AN200" s="158"/>
      <c r="AO200" s="158"/>
      <c r="AP200" s="158"/>
      <c r="AQ200" s="158"/>
      <c r="AR200" s="158"/>
      <c r="AS200" s="158"/>
      <c r="AT200" s="158"/>
      <c r="AU200" s="158"/>
      <c r="AV200" s="158"/>
      <c r="AW200" s="158"/>
      <c r="AX200" s="158"/>
      <c r="AY200" s="158"/>
      <c r="AZ200" s="158"/>
    </row>
    <row r="201" spans="15:52" x14ac:dyDescent="0.3">
      <c r="O201" s="127"/>
      <c r="P201" s="128"/>
      <c r="R201" s="152"/>
      <c r="S201" s="158"/>
      <c r="T201" s="158"/>
      <c r="U201" s="158"/>
      <c r="V201" s="158"/>
      <c r="W201" s="158"/>
      <c r="X201" s="158"/>
      <c r="Y201" s="158"/>
      <c r="Z201" s="158"/>
      <c r="AA201" s="158"/>
      <c r="AB201" s="158"/>
      <c r="AC201" s="158"/>
      <c r="AD201" s="158"/>
      <c r="AE201" s="158"/>
      <c r="AF201" s="158"/>
      <c r="AG201" s="158"/>
      <c r="AH201" s="158"/>
      <c r="AI201" s="158"/>
      <c r="AJ201" s="158"/>
      <c r="AK201" s="158"/>
      <c r="AL201" s="158"/>
      <c r="AM201" s="158"/>
      <c r="AN201" s="158"/>
      <c r="AO201" s="158"/>
      <c r="AP201" s="158"/>
      <c r="AQ201" s="158"/>
      <c r="AR201" s="158"/>
      <c r="AS201" s="158"/>
      <c r="AT201" s="158"/>
      <c r="AU201" s="158"/>
      <c r="AV201" s="158"/>
      <c r="AW201" s="158"/>
      <c r="AX201" s="158"/>
      <c r="AY201" s="158"/>
      <c r="AZ201" s="158"/>
    </row>
    <row r="202" spans="15:52" x14ac:dyDescent="0.3">
      <c r="O202" s="127"/>
      <c r="P202" s="128"/>
      <c r="R202" s="152"/>
      <c r="S202" s="158"/>
      <c r="T202" s="158"/>
      <c r="U202" s="158"/>
      <c r="V202" s="158"/>
      <c r="W202" s="158"/>
      <c r="X202" s="158"/>
      <c r="Y202" s="158"/>
      <c r="Z202" s="158"/>
      <c r="AA202" s="158"/>
      <c r="AB202" s="158"/>
      <c r="AC202" s="158"/>
      <c r="AD202" s="158"/>
      <c r="AE202" s="158"/>
      <c r="AF202" s="158"/>
      <c r="AG202" s="158"/>
      <c r="AH202" s="158"/>
      <c r="AI202" s="158"/>
      <c r="AJ202" s="158"/>
      <c r="AK202" s="158"/>
      <c r="AL202" s="158"/>
      <c r="AM202" s="158"/>
      <c r="AN202" s="158"/>
      <c r="AO202" s="158"/>
      <c r="AP202" s="158"/>
      <c r="AQ202" s="158"/>
      <c r="AR202" s="158"/>
      <c r="AS202" s="158"/>
      <c r="AT202" s="158"/>
      <c r="AU202" s="158"/>
      <c r="AV202" s="158"/>
      <c r="AW202" s="158"/>
      <c r="AX202" s="158"/>
      <c r="AY202" s="158"/>
      <c r="AZ202" s="158"/>
    </row>
    <row r="203" spans="15:52" x14ac:dyDescent="0.3">
      <c r="O203" s="127"/>
      <c r="P203" s="128"/>
      <c r="R203" s="152"/>
      <c r="S203" s="158"/>
      <c r="T203" s="158"/>
      <c r="U203" s="158"/>
      <c r="V203" s="158"/>
      <c r="W203" s="158"/>
      <c r="X203" s="158"/>
      <c r="Y203" s="158"/>
      <c r="Z203" s="158"/>
      <c r="AA203" s="158"/>
      <c r="AB203" s="158"/>
      <c r="AC203" s="158"/>
      <c r="AD203" s="158"/>
      <c r="AE203" s="158"/>
      <c r="AF203" s="158"/>
      <c r="AG203" s="158"/>
      <c r="AH203" s="158"/>
      <c r="AI203" s="158"/>
      <c r="AJ203" s="158"/>
      <c r="AK203" s="158"/>
      <c r="AL203" s="158"/>
      <c r="AM203" s="158"/>
      <c r="AN203" s="158"/>
      <c r="AO203" s="158"/>
      <c r="AP203" s="158"/>
      <c r="AQ203" s="158"/>
      <c r="AR203" s="158"/>
      <c r="AS203" s="158"/>
      <c r="AT203" s="158"/>
      <c r="AU203" s="158"/>
      <c r="AV203" s="158"/>
      <c r="AW203" s="158"/>
      <c r="AX203" s="158"/>
      <c r="AY203" s="158"/>
      <c r="AZ203" s="158"/>
    </row>
    <row r="204" spans="15:52" x14ac:dyDescent="0.3">
      <c r="O204" s="127"/>
      <c r="P204" s="128"/>
      <c r="R204" s="152"/>
      <c r="S204" s="158"/>
      <c r="T204" s="158"/>
      <c r="U204" s="158"/>
      <c r="V204" s="158"/>
      <c r="W204" s="158"/>
      <c r="X204" s="158"/>
      <c r="Y204" s="158"/>
      <c r="Z204" s="158"/>
      <c r="AA204" s="158"/>
      <c r="AB204" s="158"/>
      <c r="AC204" s="158"/>
      <c r="AD204" s="158"/>
      <c r="AE204" s="158"/>
      <c r="AF204" s="158"/>
      <c r="AG204" s="158"/>
      <c r="AH204" s="158"/>
      <c r="AI204" s="158"/>
      <c r="AJ204" s="158"/>
      <c r="AK204" s="158"/>
      <c r="AL204" s="158"/>
      <c r="AM204" s="158"/>
      <c r="AN204" s="158"/>
      <c r="AO204" s="158"/>
      <c r="AP204" s="158"/>
      <c r="AQ204" s="158"/>
      <c r="AR204" s="158"/>
      <c r="AS204" s="158"/>
      <c r="AT204" s="158"/>
      <c r="AU204" s="158"/>
      <c r="AV204" s="158"/>
      <c r="AW204" s="158"/>
      <c r="AX204" s="158"/>
      <c r="AY204" s="158"/>
      <c r="AZ204" s="158"/>
    </row>
    <row r="205" spans="15:52" x14ac:dyDescent="0.3">
      <c r="O205" s="127"/>
      <c r="P205" s="128"/>
      <c r="R205" s="152"/>
      <c r="S205" s="158"/>
      <c r="T205" s="158"/>
      <c r="U205" s="158"/>
      <c r="V205" s="158"/>
      <c r="W205" s="158"/>
      <c r="X205" s="158"/>
      <c r="Y205" s="158"/>
      <c r="Z205" s="158"/>
      <c r="AA205" s="158"/>
      <c r="AB205" s="158"/>
      <c r="AC205" s="158"/>
      <c r="AD205" s="158"/>
      <c r="AE205" s="158"/>
      <c r="AF205" s="158"/>
      <c r="AG205" s="158"/>
      <c r="AH205" s="158"/>
      <c r="AI205" s="158"/>
      <c r="AJ205" s="158"/>
      <c r="AK205" s="158"/>
      <c r="AL205" s="158"/>
      <c r="AM205" s="158"/>
      <c r="AN205" s="158"/>
      <c r="AO205" s="158"/>
      <c r="AP205" s="158"/>
      <c r="AQ205" s="158"/>
      <c r="AR205" s="158"/>
      <c r="AS205" s="158"/>
      <c r="AT205" s="158"/>
      <c r="AU205" s="158"/>
      <c r="AV205" s="158"/>
      <c r="AW205" s="158"/>
      <c r="AX205" s="158"/>
      <c r="AY205" s="158"/>
      <c r="AZ205" s="158"/>
    </row>
    <row r="206" spans="15:52" x14ac:dyDescent="0.3">
      <c r="O206" s="127"/>
      <c r="P206" s="128"/>
      <c r="R206" s="152"/>
      <c r="S206" s="158"/>
      <c r="T206" s="158"/>
      <c r="U206" s="158"/>
      <c r="V206" s="158"/>
      <c r="W206" s="158"/>
      <c r="X206" s="158"/>
      <c r="Y206" s="158"/>
      <c r="Z206" s="158"/>
      <c r="AA206" s="158"/>
      <c r="AB206" s="158"/>
      <c r="AC206" s="158"/>
      <c r="AD206" s="158"/>
      <c r="AE206" s="158"/>
      <c r="AF206" s="158"/>
      <c r="AG206" s="158"/>
      <c r="AH206" s="158"/>
      <c r="AI206" s="158"/>
      <c r="AJ206" s="158"/>
      <c r="AK206" s="158"/>
      <c r="AL206" s="158"/>
      <c r="AM206" s="158"/>
      <c r="AN206" s="158"/>
      <c r="AO206" s="158"/>
      <c r="AP206" s="158"/>
      <c r="AQ206" s="158"/>
      <c r="AR206" s="158"/>
      <c r="AS206" s="158"/>
      <c r="AT206" s="158"/>
      <c r="AU206" s="158"/>
      <c r="AV206" s="158"/>
      <c r="AW206" s="158"/>
      <c r="AX206" s="158"/>
      <c r="AY206" s="158"/>
      <c r="AZ206" s="158"/>
    </row>
    <row r="207" spans="15:52" x14ac:dyDescent="0.3">
      <c r="O207" s="127"/>
      <c r="P207" s="128"/>
      <c r="R207" s="152"/>
      <c r="S207" s="158"/>
      <c r="T207" s="158"/>
      <c r="U207" s="158"/>
      <c r="V207" s="158"/>
      <c r="W207" s="158"/>
      <c r="X207" s="158"/>
      <c r="Y207" s="158"/>
      <c r="Z207" s="158"/>
      <c r="AA207" s="158"/>
      <c r="AB207" s="158"/>
      <c r="AC207" s="158"/>
      <c r="AD207" s="158"/>
      <c r="AE207" s="158"/>
      <c r="AF207" s="158"/>
      <c r="AG207" s="158"/>
      <c r="AH207" s="158"/>
      <c r="AI207" s="158"/>
      <c r="AJ207" s="158"/>
      <c r="AK207" s="158"/>
      <c r="AL207" s="158"/>
      <c r="AM207" s="158"/>
      <c r="AN207" s="158"/>
      <c r="AO207" s="158"/>
      <c r="AP207" s="158"/>
      <c r="AQ207" s="158"/>
      <c r="AR207" s="158"/>
      <c r="AS207" s="158"/>
      <c r="AT207" s="158"/>
      <c r="AU207" s="158"/>
      <c r="AV207" s="158"/>
      <c r="AW207" s="158"/>
      <c r="AX207" s="158"/>
      <c r="AY207" s="158"/>
      <c r="AZ207" s="158"/>
    </row>
    <row r="208" spans="15:52" x14ac:dyDescent="0.3">
      <c r="O208" s="127"/>
      <c r="P208" s="128"/>
      <c r="R208" s="152"/>
      <c r="S208" s="158"/>
      <c r="T208" s="158"/>
      <c r="U208" s="158"/>
      <c r="V208" s="158"/>
      <c r="W208" s="158"/>
      <c r="X208" s="158"/>
      <c r="Y208" s="158"/>
      <c r="Z208" s="158"/>
      <c r="AA208" s="158"/>
      <c r="AB208" s="158"/>
      <c r="AC208" s="158"/>
      <c r="AD208" s="158"/>
      <c r="AE208" s="158"/>
      <c r="AF208" s="158"/>
      <c r="AG208" s="158"/>
      <c r="AH208" s="158"/>
      <c r="AI208" s="158"/>
      <c r="AJ208" s="158"/>
      <c r="AK208" s="158"/>
      <c r="AL208" s="158"/>
      <c r="AM208" s="158"/>
      <c r="AN208" s="158"/>
      <c r="AO208" s="158"/>
      <c r="AP208" s="158"/>
      <c r="AQ208" s="158"/>
      <c r="AR208" s="158"/>
      <c r="AS208" s="158"/>
      <c r="AT208" s="158"/>
      <c r="AU208" s="158"/>
      <c r="AV208" s="158"/>
      <c r="AW208" s="158"/>
      <c r="AX208" s="158"/>
      <c r="AY208" s="158"/>
      <c r="AZ208" s="158"/>
    </row>
    <row r="209" spans="15:52" x14ac:dyDescent="0.3">
      <c r="O209" s="127"/>
      <c r="P209" s="128"/>
      <c r="R209" s="152"/>
      <c r="S209" s="158"/>
      <c r="T209" s="158"/>
      <c r="U209" s="158"/>
      <c r="V209" s="158"/>
      <c r="W209" s="158"/>
      <c r="X209" s="158"/>
      <c r="Y209" s="158"/>
      <c r="Z209" s="158"/>
      <c r="AA209" s="158"/>
      <c r="AB209" s="158"/>
      <c r="AC209" s="158"/>
      <c r="AD209" s="158"/>
      <c r="AE209" s="158"/>
      <c r="AF209" s="158"/>
      <c r="AG209" s="158"/>
      <c r="AH209" s="158"/>
      <c r="AI209" s="158"/>
      <c r="AJ209" s="158"/>
      <c r="AK209" s="158"/>
      <c r="AL209" s="158"/>
      <c r="AM209" s="158"/>
      <c r="AN209" s="158"/>
      <c r="AO209" s="158"/>
      <c r="AP209" s="158"/>
      <c r="AQ209" s="158"/>
      <c r="AR209" s="158"/>
      <c r="AS209" s="158"/>
      <c r="AT209" s="158"/>
      <c r="AU209" s="158"/>
      <c r="AV209" s="158"/>
      <c r="AW209" s="158"/>
      <c r="AX209" s="158"/>
      <c r="AY209" s="158"/>
      <c r="AZ209" s="158"/>
    </row>
    <row r="210" spans="15:52" x14ac:dyDescent="0.3">
      <c r="O210" s="127"/>
      <c r="P210" s="128"/>
      <c r="R210" s="152"/>
      <c r="S210" s="158"/>
      <c r="T210" s="158"/>
      <c r="U210" s="158"/>
      <c r="V210" s="158"/>
      <c r="W210" s="158"/>
      <c r="X210" s="158"/>
      <c r="Y210" s="158"/>
      <c r="Z210" s="158"/>
      <c r="AA210" s="158"/>
      <c r="AB210" s="158"/>
      <c r="AC210" s="158"/>
      <c r="AD210" s="158"/>
      <c r="AE210" s="158"/>
      <c r="AF210" s="158"/>
      <c r="AG210" s="158"/>
      <c r="AH210" s="158"/>
      <c r="AI210" s="158"/>
      <c r="AJ210" s="158"/>
      <c r="AK210" s="158"/>
      <c r="AL210" s="158"/>
      <c r="AM210" s="158"/>
      <c r="AN210" s="158"/>
      <c r="AO210" s="158"/>
      <c r="AP210" s="158"/>
      <c r="AQ210" s="158"/>
      <c r="AR210" s="158"/>
      <c r="AS210" s="158"/>
      <c r="AT210" s="158"/>
      <c r="AU210" s="158"/>
      <c r="AV210" s="158"/>
      <c r="AW210" s="158"/>
      <c r="AX210" s="158"/>
      <c r="AY210" s="158"/>
      <c r="AZ210" s="158"/>
    </row>
    <row r="211" spans="15:52" x14ac:dyDescent="0.3">
      <c r="O211" s="127"/>
      <c r="P211" s="128"/>
      <c r="R211" s="152"/>
      <c r="S211" s="158"/>
      <c r="T211" s="158"/>
      <c r="U211" s="158"/>
      <c r="V211" s="158"/>
      <c r="W211" s="158"/>
      <c r="X211" s="158"/>
      <c r="Y211" s="158"/>
      <c r="Z211" s="158"/>
      <c r="AA211" s="158"/>
      <c r="AB211" s="158"/>
      <c r="AC211" s="158"/>
      <c r="AD211" s="158"/>
      <c r="AE211" s="158"/>
      <c r="AF211" s="158"/>
      <c r="AG211" s="158"/>
      <c r="AH211" s="158"/>
      <c r="AI211" s="158"/>
      <c r="AJ211" s="158"/>
      <c r="AK211" s="158"/>
      <c r="AL211" s="158"/>
      <c r="AM211" s="158"/>
      <c r="AN211" s="158"/>
      <c r="AO211" s="158"/>
      <c r="AP211" s="158"/>
      <c r="AQ211" s="158"/>
      <c r="AR211" s="158"/>
      <c r="AS211" s="158"/>
      <c r="AT211" s="158"/>
      <c r="AU211" s="158"/>
      <c r="AV211" s="158"/>
      <c r="AW211" s="158"/>
      <c r="AX211" s="158"/>
      <c r="AY211" s="158"/>
      <c r="AZ211" s="158"/>
    </row>
    <row r="212" spans="15:52" x14ac:dyDescent="0.3">
      <c r="O212" s="127"/>
      <c r="P212" s="128"/>
      <c r="R212" s="152"/>
      <c r="S212" s="158"/>
      <c r="T212" s="158"/>
      <c r="U212" s="158"/>
      <c r="V212" s="158"/>
      <c r="W212" s="158"/>
      <c r="X212" s="158"/>
      <c r="Y212" s="158"/>
      <c r="Z212" s="158"/>
      <c r="AA212" s="158"/>
      <c r="AB212" s="158"/>
      <c r="AC212" s="158"/>
      <c r="AD212" s="158"/>
      <c r="AE212" s="158"/>
      <c r="AF212" s="158"/>
      <c r="AG212" s="158"/>
      <c r="AH212" s="158"/>
      <c r="AI212" s="158"/>
      <c r="AJ212" s="158"/>
      <c r="AK212" s="158"/>
      <c r="AL212" s="158"/>
      <c r="AM212" s="158"/>
      <c r="AN212" s="158"/>
      <c r="AO212" s="158"/>
      <c r="AP212" s="158"/>
      <c r="AQ212" s="158"/>
      <c r="AR212" s="158"/>
      <c r="AS212" s="158"/>
      <c r="AT212" s="158"/>
      <c r="AU212" s="158"/>
      <c r="AV212" s="158"/>
      <c r="AW212" s="158"/>
      <c r="AX212" s="158"/>
      <c r="AY212" s="158"/>
      <c r="AZ212" s="158"/>
    </row>
    <row r="213" spans="15:52" x14ac:dyDescent="0.3">
      <c r="O213" s="127"/>
      <c r="P213" s="128"/>
      <c r="R213" s="152"/>
      <c r="S213" s="158"/>
      <c r="T213" s="158"/>
      <c r="U213" s="158"/>
      <c r="V213" s="158"/>
      <c r="W213" s="158"/>
      <c r="X213" s="158"/>
      <c r="Y213" s="158"/>
      <c r="Z213" s="158"/>
      <c r="AA213" s="158"/>
      <c r="AB213" s="158"/>
      <c r="AC213" s="158"/>
      <c r="AD213" s="158"/>
      <c r="AE213" s="158"/>
      <c r="AF213" s="158"/>
      <c r="AG213" s="158"/>
      <c r="AH213" s="158"/>
      <c r="AI213" s="158"/>
      <c r="AJ213" s="158"/>
      <c r="AK213" s="158"/>
      <c r="AL213" s="158"/>
      <c r="AM213" s="158"/>
      <c r="AN213" s="158"/>
      <c r="AO213" s="158"/>
      <c r="AP213" s="158"/>
      <c r="AQ213" s="158"/>
      <c r="AR213" s="158"/>
      <c r="AS213" s="158"/>
      <c r="AT213" s="158"/>
      <c r="AU213" s="158"/>
      <c r="AV213" s="158"/>
      <c r="AW213" s="158"/>
      <c r="AX213" s="158"/>
      <c r="AY213" s="158"/>
      <c r="AZ213" s="158"/>
    </row>
    <row r="214" spans="15:52" x14ac:dyDescent="0.3">
      <c r="O214" s="127"/>
      <c r="P214" s="128"/>
      <c r="R214" s="152"/>
      <c r="S214" s="158"/>
      <c r="T214" s="158"/>
      <c r="U214" s="158"/>
      <c r="V214" s="158"/>
      <c r="W214" s="158"/>
      <c r="X214" s="158"/>
      <c r="Y214" s="158"/>
      <c r="Z214" s="158"/>
      <c r="AA214" s="158"/>
      <c r="AB214" s="158"/>
      <c r="AC214" s="158"/>
      <c r="AD214" s="158"/>
      <c r="AE214" s="158"/>
      <c r="AF214" s="158"/>
      <c r="AG214" s="158"/>
      <c r="AH214" s="158"/>
      <c r="AI214" s="158"/>
      <c r="AJ214" s="158"/>
      <c r="AK214" s="158"/>
      <c r="AL214" s="158"/>
      <c r="AM214" s="158"/>
      <c r="AN214" s="158"/>
      <c r="AO214" s="158"/>
      <c r="AP214" s="158"/>
      <c r="AQ214" s="158"/>
      <c r="AR214" s="158"/>
      <c r="AS214" s="158"/>
      <c r="AT214" s="158"/>
      <c r="AU214" s="158"/>
      <c r="AV214" s="158"/>
      <c r="AW214" s="158"/>
      <c r="AX214" s="158"/>
      <c r="AY214" s="158"/>
      <c r="AZ214" s="158"/>
    </row>
  </sheetData>
  <phoneticPr fontId="5" type="noConversion"/>
  <conditionalFormatting sqref="R2:R119">
    <cfRule type="iconSet" priority="334">
      <iconSet>
        <cfvo type="percent" val="0"/>
        <cfvo type="percent" val="33"/>
        <cfvo type="percent" val="67"/>
      </iconSet>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C8582-70FC-4EC8-A04D-DA8B90357C35}">
  <sheetPr>
    <tabColor theme="5" tint="0.39997558519241921"/>
  </sheetPr>
  <dimension ref="A1:W55"/>
  <sheetViews>
    <sheetView workbookViewId="0">
      <selection activeCell="V18" sqref="V18"/>
    </sheetView>
  </sheetViews>
  <sheetFormatPr defaultColWidth="9" defaultRowHeight="12.75" x14ac:dyDescent="0.25"/>
  <cols>
    <col min="1" max="16384" width="9" style="72"/>
  </cols>
  <sheetData>
    <row r="1" spans="1:22" x14ac:dyDescent="0.25">
      <c r="A1" s="72" t="s">
        <v>405</v>
      </c>
      <c r="N1" s="72" t="s">
        <v>406</v>
      </c>
    </row>
    <row r="2" spans="1:22" x14ac:dyDescent="0.25">
      <c r="A2" s="94" t="s">
        <v>407</v>
      </c>
      <c r="B2" s="93"/>
      <c r="C2" s="92"/>
      <c r="D2" s="92"/>
      <c r="E2" s="92"/>
      <c r="F2" s="92"/>
      <c r="G2" s="92"/>
      <c r="H2" s="92"/>
      <c r="I2" s="92"/>
      <c r="J2" s="92"/>
      <c r="K2" s="92"/>
      <c r="N2" s="73" t="s">
        <v>408</v>
      </c>
    </row>
    <row r="3" spans="1:22" x14ac:dyDescent="0.25">
      <c r="A3" s="94">
        <v>1</v>
      </c>
      <c r="B3" s="95">
        <v>10</v>
      </c>
      <c r="C3" s="92" t="s">
        <v>409</v>
      </c>
      <c r="D3" s="92"/>
      <c r="E3" s="92"/>
      <c r="F3" s="92"/>
      <c r="G3" s="92"/>
      <c r="H3" s="92"/>
      <c r="I3" s="92"/>
      <c r="J3" s="92"/>
      <c r="K3" s="92"/>
      <c r="N3" s="72" t="s">
        <v>410</v>
      </c>
      <c r="Q3" s="72" t="s">
        <v>411</v>
      </c>
    </row>
    <row r="4" spans="1:22" x14ac:dyDescent="0.25">
      <c r="A4" s="94">
        <v>2</v>
      </c>
      <c r="B4" s="96">
        <v>1.67</v>
      </c>
      <c r="C4" s="92" t="s">
        <v>412</v>
      </c>
      <c r="D4" s="92"/>
      <c r="E4" s="92"/>
      <c r="F4" s="92"/>
      <c r="G4" s="92"/>
      <c r="H4" s="92"/>
      <c r="I4" s="92"/>
      <c r="J4" s="92"/>
      <c r="K4" s="92"/>
      <c r="N4" s="72" t="s">
        <v>53</v>
      </c>
      <c r="O4" s="72" t="s">
        <v>413</v>
      </c>
      <c r="P4" s="72" t="s">
        <v>414</v>
      </c>
      <c r="Q4" s="72" t="s">
        <v>60</v>
      </c>
      <c r="R4" s="72" t="s">
        <v>61</v>
      </c>
      <c r="S4" s="72" t="s">
        <v>62</v>
      </c>
      <c r="T4" s="72" t="s">
        <v>63</v>
      </c>
      <c r="U4" s="72" t="s">
        <v>415</v>
      </c>
      <c r="V4" s="72" t="s">
        <v>416</v>
      </c>
    </row>
    <row r="5" spans="1:22" x14ac:dyDescent="0.25">
      <c r="A5" s="94">
        <v>3</v>
      </c>
      <c r="B5" s="96">
        <f>B3*B4</f>
        <v>16.7</v>
      </c>
      <c r="C5" s="92" t="s">
        <v>417</v>
      </c>
      <c r="D5" s="92"/>
      <c r="E5" s="92"/>
      <c r="F5" s="92"/>
      <c r="G5" s="92"/>
      <c r="H5" s="92"/>
      <c r="I5" s="92"/>
      <c r="J5" s="92"/>
      <c r="K5" s="92"/>
      <c r="N5" s="74">
        <v>1</v>
      </c>
      <c r="O5" s="75" t="s">
        <v>418</v>
      </c>
      <c r="P5" s="75" t="s">
        <v>419</v>
      </c>
      <c r="Q5" s="75">
        <v>14655995.4</v>
      </c>
      <c r="R5" s="75">
        <v>1879941.6400000001</v>
      </c>
      <c r="S5" s="75">
        <v>469768.24</v>
      </c>
      <c r="T5" s="75">
        <v>852784.28</v>
      </c>
      <c r="U5" s="75">
        <v>17858489.560000002</v>
      </c>
      <c r="V5" s="76">
        <f>Q5/U5</f>
        <v>0.82067385098608525</v>
      </c>
    </row>
    <row r="6" spans="1:22" x14ac:dyDescent="0.25">
      <c r="A6" s="94">
        <v>4</v>
      </c>
      <c r="B6" s="93"/>
      <c r="C6" s="92" t="s">
        <v>420</v>
      </c>
      <c r="D6" s="92"/>
      <c r="E6" s="92"/>
      <c r="F6" s="92"/>
      <c r="G6" s="92"/>
      <c r="H6" s="92"/>
      <c r="I6" s="92"/>
      <c r="J6" s="92"/>
      <c r="K6" s="92"/>
      <c r="N6" s="77">
        <v>2</v>
      </c>
      <c r="O6" s="78" t="s">
        <v>418</v>
      </c>
      <c r="P6" s="78" t="s">
        <v>419</v>
      </c>
      <c r="Q6" s="78">
        <v>17324132.080000002</v>
      </c>
      <c r="R6" s="78">
        <v>1270931.3999999999</v>
      </c>
      <c r="S6" s="78">
        <v>104008.88</v>
      </c>
      <c r="T6" s="78">
        <v>492518.88</v>
      </c>
      <c r="U6" s="78">
        <v>19191591.239999998</v>
      </c>
      <c r="V6" s="79">
        <f t="shared" ref="V6:V16" si="0">Q6/U6</f>
        <v>0.90269388626265901</v>
      </c>
    </row>
    <row r="7" spans="1:22" x14ac:dyDescent="0.25">
      <c r="A7" s="94"/>
      <c r="B7" s="93"/>
      <c r="C7" s="92" t="s">
        <v>60</v>
      </c>
      <c r="D7" s="92" t="s">
        <v>61</v>
      </c>
      <c r="E7" s="92" t="s">
        <v>62</v>
      </c>
      <c r="F7" s="92" t="s">
        <v>63</v>
      </c>
      <c r="G7" s="92" t="s">
        <v>98</v>
      </c>
      <c r="H7" s="92"/>
      <c r="I7" s="92"/>
      <c r="J7" s="92"/>
      <c r="K7" s="92"/>
      <c r="N7" s="77">
        <v>3</v>
      </c>
      <c r="O7" s="78" t="s">
        <v>418</v>
      </c>
      <c r="P7" s="78" t="s">
        <v>419</v>
      </c>
      <c r="Q7" s="78">
        <v>23228542.880000003</v>
      </c>
      <c r="R7" s="78">
        <v>708743.15999999992</v>
      </c>
      <c r="S7" s="78">
        <v>105171.95999999999</v>
      </c>
      <c r="T7" s="78">
        <v>338189.88</v>
      </c>
      <c r="U7" s="78">
        <v>24380647.880000003</v>
      </c>
      <c r="V7" s="79">
        <f t="shared" si="0"/>
        <v>0.95274510317893979</v>
      </c>
    </row>
    <row r="8" spans="1:22" x14ac:dyDescent="0.25">
      <c r="A8" s="94"/>
      <c r="B8" s="93"/>
      <c r="C8" s="98">
        <f>B5</f>
        <v>16.7</v>
      </c>
      <c r="D8" s="98">
        <f>$G8*R37/$U37</f>
        <v>0.37361022550492806</v>
      </c>
      <c r="E8" s="98">
        <f>$G8*S37/$U37</f>
        <v>0.65440210319321768</v>
      </c>
      <c r="F8" s="98">
        <f>$G8*T37/$U37</f>
        <v>0.39779291921416476</v>
      </c>
      <c r="G8" s="98">
        <f>C8/V37</f>
        <v>18.125805247912311</v>
      </c>
      <c r="H8" s="92"/>
      <c r="I8" s="92"/>
      <c r="J8" s="92"/>
      <c r="K8" s="92"/>
      <c r="N8" s="80">
        <v>4</v>
      </c>
      <c r="O8" s="81" t="s">
        <v>418</v>
      </c>
      <c r="P8" s="81" t="s">
        <v>419</v>
      </c>
      <c r="Q8" s="81">
        <v>4951278.96</v>
      </c>
      <c r="R8" s="81">
        <v>299999.52</v>
      </c>
      <c r="S8" s="81">
        <v>47854.080000000002</v>
      </c>
      <c r="T8" s="81">
        <v>57462.28</v>
      </c>
      <c r="U8" s="81">
        <v>5356594.8400000008</v>
      </c>
      <c r="V8" s="82">
        <f t="shared" si="0"/>
        <v>0.92433329529175279</v>
      </c>
    </row>
    <row r="9" spans="1:22" x14ac:dyDescent="0.25">
      <c r="A9" s="94">
        <v>5</v>
      </c>
      <c r="B9" s="97">
        <f>G8/B3</f>
        <v>1.812580524791231</v>
      </c>
      <c r="C9" s="92" t="s">
        <v>421</v>
      </c>
      <c r="D9" s="92"/>
      <c r="E9" s="92"/>
      <c r="F9" s="92"/>
      <c r="G9" s="92"/>
      <c r="H9" s="92"/>
      <c r="I9" s="92"/>
      <c r="J9" s="92"/>
      <c r="K9" s="92"/>
      <c r="N9" s="74">
        <v>1</v>
      </c>
      <c r="O9" s="75" t="s">
        <v>418</v>
      </c>
      <c r="P9" s="75" t="s">
        <v>422</v>
      </c>
      <c r="Q9" s="75">
        <v>5744768.2000000002</v>
      </c>
      <c r="R9" s="75">
        <v>371135.83999999997</v>
      </c>
      <c r="S9" s="75">
        <v>119275.2</v>
      </c>
      <c r="T9" s="75">
        <v>235027.40000000002</v>
      </c>
      <c r="U9" s="75">
        <v>6470206.6400000006</v>
      </c>
      <c r="V9" s="76">
        <f t="shared" si="0"/>
        <v>0.88788017441124567</v>
      </c>
    </row>
    <row r="10" spans="1:22" x14ac:dyDescent="0.25">
      <c r="B10" s="91"/>
      <c r="N10" s="77">
        <v>2</v>
      </c>
      <c r="O10" s="78" t="s">
        <v>418</v>
      </c>
      <c r="P10" s="78" t="s">
        <v>422</v>
      </c>
      <c r="Q10" s="78">
        <v>28066632.160000004</v>
      </c>
      <c r="R10" s="78">
        <v>995011.55999999994</v>
      </c>
      <c r="S10" s="78">
        <v>196665.40000000002</v>
      </c>
      <c r="T10" s="78">
        <v>752734.6399999999</v>
      </c>
      <c r="U10" s="78">
        <v>30011043.759999994</v>
      </c>
      <c r="V10" s="79">
        <f t="shared" si="0"/>
        <v>0.93521013079219906</v>
      </c>
    </row>
    <row r="11" spans="1:22" x14ac:dyDescent="0.25">
      <c r="B11" s="91"/>
      <c r="N11" s="77">
        <v>3</v>
      </c>
      <c r="O11" s="78" t="s">
        <v>418</v>
      </c>
      <c r="P11" s="78" t="s">
        <v>422</v>
      </c>
      <c r="Q11" s="78">
        <v>61654591.32</v>
      </c>
      <c r="R11" s="78">
        <v>1642444.9200000002</v>
      </c>
      <c r="S11" s="78">
        <v>265137.32</v>
      </c>
      <c r="T11" s="78">
        <v>835143.6399999999</v>
      </c>
      <c r="U11" s="78">
        <v>64397317.200000003</v>
      </c>
      <c r="V11" s="79">
        <f t="shared" si="0"/>
        <v>0.95740931456070033</v>
      </c>
    </row>
    <row r="12" spans="1:22" x14ac:dyDescent="0.25">
      <c r="B12" s="91"/>
      <c r="N12" s="80">
        <v>4</v>
      </c>
      <c r="O12" s="81" t="s">
        <v>418</v>
      </c>
      <c r="P12" s="81" t="s">
        <v>422</v>
      </c>
      <c r="Q12" s="81">
        <v>10479765.68</v>
      </c>
      <c r="R12" s="81">
        <v>390049.36</v>
      </c>
      <c r="S12" s="81">
        <v>71264.88</v>
      </c>
      <c r="T12" s="81">
        <v>95985.68</v>
      </c>
      <c r="U12" s="81">
        <v>11037065.6</v>
      </c>
      <c r="V12" s="82">
        <f t="shared" si="0"/>
        <v>0.94950651376032413</v>
      </c>
    </row>
    <row r="13" spans="1:22" x14ac:dyDescent="0.25">
      <c r="B13" s="91"/>
      <c r="N13" s="74">
        <v>1</v>
      </c>
      <c r="O13" s="75" t="s">
        <v>418</v>
      </c>
      <c r="P13" s="75" t="s">
        <v>418</v>
      </c>
      <c r="Q13" s="75">
        <v>20400763.600000001</v>
      </c>
      <c r="R13" s="75">
        <v>2251077.48</v>
      </c>
      <c r="S13" s="75">
        <v>589043.43999999994</v>
      </c>
      <c r="T13" s="75">
        <v>1087811.6800000002</v>
      </c>
      <c r="U13" s="75">
        <v>24328696.200000003</v>
      </c>
      <c r="V13" s="76">
        <f t="shared" si="0"/>
        <v>0.83854734476071102</v>
      </c>
    </row>
    <row r="14" spans="1:22" x14ac:dyDescent="0.25">
      <c r="B14" s="91"/>
      <c r="N14" s="77">
        <v>2</v>
      </c>
      <c r="O14" s="78" t="s">
        <v>418</v>
      </c>
      <c r="P14" s="78" t="s">
        <v>418</v>
      </c>
      <c r="Q14" s="78">
        <v>45390764.240000002</v>
      </c>
      <c r="R14" s="78">
        <v>2265942.96</v>
      </c>
      <c r="S14" s="78">
        <v>300674.28000000003</v>
      </c>
      <c r="T14" s="78">
        <v>1245253.52</v>
      </c>
      <c r="U14" s="78">
        <v>49202635.000000007</v>
      </c>
      <c r="V14" s="79">
        <f t="shared" si="0"/>
        <v>0.92252710124163051</v>
      </c>
    </row>
    <row r="15" spans="1:22" x14ac:dyDescent="0.25">
      <c r="B15" s="91"/>
      <c r="N15" s="77">
        <v>3</v>
      </c>
      <c r="O15" s="78" t="s">
        <v>418</v>
      </c>
      <c r="P15" s="78" t="s">
        <v>418</v>
      </c>
      <c r="Q15" s="78">
        <v>84883134.200000003</v>
      </c>
      <c r="R15" s="78">
        <v>2351188.08</v>
      </c>
      <c r="S15" s="78">
        <v>370309.28000000009</v>
      </c>
      <c r="T15" s="78">
        <v>1173333.52</v>
      </c>
      <c r="U15" s="78">
        <v>88777965.079999998</v>
      </c>
      <c r="V15" s="79">
        <f t="shared" si="0"/>
        <v>0.95612840555096901</v>
      </c>
    </row>
    <row r="16" spans="1:22" x14ac:dyDescent="0.25">
      <c r="B16" s="91"/>
      <c r="N16" s="80">
        <v>4</v>
      </c>
      <c r="O16" s="81" t="s">
        <v>418</v>
      </c>
      <c r="P16" s="81" t="s">
        <v>418</v>
      </c>
      <c r="Q16" s="81">
        <v>15431044.640000001</v>
      </c>
      <c r="R16" s="81">
        <v>690048.88</v>
      </c>
      <c r="S16" s="81">
        <v>119118.96</v>
      </c>
      <c r="T16" s="81">
        <v>153447.96</v>
      </c>
      <c r="U16" s="81">
        <v>16393660.440000001</v>
      </c>
      <c r="V16" s="82">
        <f t="shared" si="0"/>
        <v>0.94128121638708284</v>
      </c>
    </row>
    <row r="17" spans="2:23" x14ac:dyDescent="0.25">
      <c r="B17" s="91"/>
    </row>
    <row r="18" spans="2:23" x14ac:dyDescent="0.25">
      <c r="B18" s="91"/>
      <c r="N18" s="83">
        <f>N11</f>
        <v>3</v>
      </c>
      <c r="O18" s="83" t="str">
        <f t="shared" ref="O18:U18" si="1">O11</f>
        <v>All</v>
      </c>
      <c r="P18" s="83" t="str">
        <f t="shared" si="1"/>
        <v>No</v>
      </c>
      <c r="Q18" s="83">
        <f t="shared" si="1"/>
        <v>61654591.32</v>
      </c>
      <c r="R18" s="83">
        <f t="shared" si="1"/>
        <v>1642444.9200000002</v>
      </c>
      <c r="S18" s="83">
        <f t="shared" si="1"/>
        <v>265137.32</v>
      </c>
      <c r="T18" s="83">
        <f t="shared" si="1"/>
        <v>835143.6399999999</v>
      </c>
      <c r="U18" s="83">
        <f t="shared" si="1"/>
        <v>64397317.200000003</v>
      </c>
      <c r="V18" s="84">
        <f>MAX(V5:V16)</f>
        <v>0.95740931456070033</v>
      </c>
      <c r="W18" s="83" t="s">
        <v>423</v>
      </c>
    </row>
    <row r="19" spans="2:23" x14ac:dyDescent="0.25">
      <c r="B19" s="91"/>
      <c r="N19" s="83"/>
      <c r="O19" s="83"/>
      <c r="P19" s="83"/>
      <c r="Q19" s="83"/>
      <c r="R19" s="83"/>
      <c r="S19" s="83"/>
      <c r="T19" s="83"/>
      <c r="U19" s="83"/>
      <c r="V19" s="84"/>
      <c r="W19" s="83"/>
    </row>
    <row r="20" spans="2:23" x14ac:dyDescent="0.25">
      <c r="B20" s="91"/>
    </row>
    <row r="21" spans="2:23" x14ac:dyDescent="0.25">
      <c r="B21" s="91"/>
      <c r="N21" s="72" t="s">
        <v>424</v>
      </c>
    </row>
    <row r="22" spans="2:23" x14ac:dyDescent="0.25">
      <c r="B22" s="91"/>
      <c r="N22" s="72" t="s">
        <v>410</v>
      </c>
      <c r="Q22" s="72" t="s">
        <v>411</v>
      </c>
    </row>
    <row r="23" spans="2:23" x14ac:dyDescent="0.25">
      <c r="B23" s="91"/>
      <c r="N23" s="72" t="s">
        <v>53</v>
      </c>
      <c r="O23" s="72" t="s">
        <v>413</v>
      </c>
      <c r="P23" s="72" t="s">
        <v>414</v>
      </c>
      <c r="Q23" s="72" t="s">
        <v>60</v>
      </c>
      <c r="R23" s="72" t="s">
        <v>61</v>
      </c>
      <c r="S23" s="72" t="s">
        <v>62</v>
      </c>
      <c r="T23" s="72" t="s">
        <v>63</v>
      </c>
      <c r="U23" s="72" t="s">
        <v>415</v>
      </c>
      <c r="V23" s="72" t="s">
        <v>425</v>
      </c>
    </row>
    <row r="24" spans="2:23" x14ac:dyDescent="0.25">
      <c r="N24" s="74">
        <v>1</v>
      </c>
      <c r="O24" s="75" t="s">
        <v>418</v>
      </c>
      <c r="P24" s="75" t="s">
        <v>419</v>
      </c>
      <c r="Q24" s="75">
        <v>1954980</v>
      </c>
      <c r="R24" s="75">
        <v>274636</v>
      </c>
      <c r="S24" s="75">
        <v>568144</v>
      </c>
      <c r="T24" s="75">
        <v>237848</v>
      </c>
      <c r="U24" s="75">
        <v>3035608</v>
      </c>
      <c r="V24" s="76">
        <f>Q24/U24</f>
        <v>0.64401595989996074</v>
      </c>
    </row>
    <row r="25" spans="2:23" x14ac:dyDescent="0.25">
      <c r="N25" s="77">
        <v>2</v>
      </c>
      <c r="O25" s="78" t="s">
        <v>418</v>
      </c>
      <c r="P25" s="78" t="s">
        <v>419</v>
      </c>
      <c r="Q25" s="78">
        <v>2268120</v>
      </c>
      <c r="R25" s="78">
        <v>150392</v>
      </c>
      <c r="S25" s="78">
        <v>109364</v>
      </c>
      <c r="T25" s="78">
        <v>97488</v>
      </c>
      <c r="U25" s="78">
        <v>2625364</v>
      </c>
      <c r="V25" s="79">
        <f t="shared" ref="V25:V35" si="2">Q25/U25</f>
        <v>0.86392591655861817</v>
      </c>
    </row>
    <row r="26" spans="2:23" x14ac:dyDescent="0.25">
      <c r="N26" s="77">
        <v>3</v>
      </c>
      <c r="O26" s="78" t="s">
        <v>418</v>
      </c>
      <c r="P26" s="78" t="s">
        <v>419</v>
      </c>
      <c r="Q26" s="78">
        <v>3009756</v>
      </c>
      <c r="R26" s="78">
        <v>79512</v>
      </c>
      <c r="S26" s="78">
        <v>116492</v>
      </c>
      <c r="T26" s="78">
        <v>73072</v>
      </c>
      <c r="U26" s="78">
        <v>3278832</v>
      </c>
      <c r="V26" s="79">
        <f t="shared" si="2"/>
        <v>0.9179354111464082</v>
      </c>
    </row>
    <row r="27" spans="2:23" x14ac:dyDescent="0.25">
      <c r="N27" s="80">
        <v>4</v>
      </c>
      <c r="O27" s="81" t="s">
        <v>418</v>
      </c>
      <c r="P27" s="81" t="s">
        <v>419</v>
      </c>
      <c r="Q27" s="81">
        <v>696916</v>
      </c>
      <c r="R27" s="81">
        <v>24088</v>
      </c>
      <c r="S27" s="81">
        <v>54896</v>
      </c>
      <c r="T27" s="81">
        <v>18616</v>
      </c>
      <c r="U27" s="81">
        <v>794516</v>
      </c>
      <c r="V27" s="82">
        <f t="shared" si="2"/>
        <v>0.87715791752463135</v>
      </c>
    </row>
    <row r="28" spans="2:23" x14ac:dyDescent="0.25">
      <c r="N28" s="74">
        <v>1</v>
      </c>
      <c r="O28" s="75" t="s">
        <v>418</v>
      </c>
      <c r="P28" s="75" t="s">
        <v>422</v>
      </c>
      <c r="Q28" s="75">
        <v>754392</v>
      </c>
      <c r="R28" s="75">
        <v>56944</v>
      </c>
      <c r="S28" s="75">
        <v>132928</v>
      </c>
      <c r="T28" s="75">
        <v>61368</v>
      </c>
      <c r="U28" s="75">
        <v>1005632</v>
      </c>
      <c r="V28" s="76">
        <f t="shared" si="2"/>
        <v>0.75016705912301918</v>
      </c>
    </row>
    <row r="29" spans="2:23" x14ac:dyDescent="0.25">
      <c r="N29" s="77">
        <v>2</v>
      </c>
      <c r="O29" s="78" t="s">
        <v>418</v>
      </c>
      <c r="P29" s="78" t="s">
        <v>422</v>
      </c>
      <c r="Q29" s="78">
        <v>3705300</v>
      </c>
      <c r="R29" s="78">
        <v>135796</v>
      </c>
      <c r="S29" s="78">
        <v>206124</v>
      </c>
      <c r="T29" s="78">
        <v>155416</v>
      </c>
      <c r="U29" s="78">
        <v>4202636</v>
      </c>
      <c r="V29" s="79">
        <f t="shared" si="2"/>
        <v>0.88166093851573157</v>
      </c>
    </row>
    <row r="30" spans="2:23" x14ac:dyDescent="0.25">
      <c r="N30" s="77">
        <v>3</v>
      </c>
      <c r="O30" s="78" t="s">
        <v>418</v>
      </c>
      <c r="P30" s="78" t="s">
        <v>422</v>
      </c>
      <c r="Q30" s="78">
        <v>7546620</v>
      </c>
      <c r="R30" s="78">
        <v>168832</v>
      </c>
      <c r="S30" s="78">
        <v>295720</v>
      </c>
      <c r="T30" s="78">
        <v>179760</v>
      </c>
      <c r="U30" s="78">
        <v>8190932</v>
      </c>
      <c r="V30" s="79">
        <f t="shared" si="2"/>
        <v>0.92133837761075299</v>
      </c>
    </row>
    <row r="31" spans="2:23" x14ac:dyDescent="0.25">
      <c r="N31" s="80">
        <v>4</v>
      </c>
      <c r="O31" s="81" t="s">
        <v>418</v>
      </c>
      <c r="P31" s="81" t="s">
        <v>422</v>
      </c>
      <c r="Q31" s="81">
        <v>1189404</v>
      </c>
      <c r="R31" s="81">
        <v>24936</v>
      </c>
      <c r="S31" s="81">
        <v>84456</v>
      </c>
      <c r="T31" s="81">
        <v>28600</v>
      </c>
      <c r="U31" s="81">
        <v>1327396</v>
      </c>
      <c r="V31" s="82">
        <f t="shared" si="2"/>
        <v>0.89604307983450304</v>
      </c>
    </row>
    <row r="32" spans="2:23" x14ac:dyDescent="0.25">
      <c r="N32" s="74">
        <v>1</v>
      </c>
      <c r="O32" s="75" t="s">
        <v>418</v>
      </c>
      <c r="P32" s="75" t="s">
        <v>418</v>
      </c>
      <c r="Q32" s="75">
        <v>2709372</v>
      </c>
      <c r="R32" s="75">
        <v>331580</v>
      </c>
      <c r="S32" s="75">
        <v>701072</v>
      </c>
      <c r="T32" s="75">
        <v>299216</v>
      </c>
      <c r="U32" s="75">
        <v>4041240</v>
      </c>
      <c r="V32" s="76">
        <f t="shared" si="2"/>
        <v>0.67043085785550971</v>
      </c>
    </row>
    <row r="33" spans="14:23" x14ac:dyDescent="0.25">
      <c r="N33" s="77">
        <v>2</v>
      </c>
      <c r="O33" s="78" t="s">
        <v>418</v>
      </c>
      <c r="P33" s="78" t="s">
        <v>418</v>
      </c>
      <c r="Q33" s="78">
        <v>5973420</v>
      </c>
      <c r="R33" s="78">
        <v>286188</v>
      </c>
      <c r="S33" s="78">
        <v>315488</v>
      </c>
      <c r="T33" s="78">
        <v>252904</v>
      </c>
      <c r="U33" s="78">
        <v>6828000</v>
      </c>
      <c r="V33" s="79">
        <f t="shared" si="2"/>
        <v>0.87484182776801411</v>
      </c>
    </row>
    <row r="34" spans="14:23" x14ac:dyDescent="0.25">
      <c r="N34" s="77">
        <v>3</v>
      </c>
      <c r="O34" s="78" t="s">
        <v>418</v>
      </c>
      <c r="P34" s="78" t="s">
        <v>418</v>
      </c>
      <c r="Q34" s="78">
        <v>10556376</v>
      </c>
      <c r="R34" s="78">
        <v>248344</v>
      </c>
      <c r="S34" s="78">
        <v>412212</v>
      </c>
      <c r="T34" s="78">
        <v>252832</v>
      </c>
      <c r="U34" s="78">
        <v>11469764</v>
      </c>
      <c r="V34" s="79">
        <f t="shared" si="2"/>
        <v>0.92036558032057159</v>
      </c>
    </row>
    <row r="35" spans="14:23" x14ac:dyDescent="0.25">
      <c r="N35" s="80">
        <v>4</v>
      </c>
      <c r="O35" s="81" t="s">
        <v>418</v>
      </c>
      <c r="P35" s="81" t="s">
        <v>418</v>
      </c>
      <c r="Q35" s="81">
        <v>1886320</v>
      </c>
      <c r="R35" s="81">
        <v>49024</v>
      </c>
      <c r="S35" s="81">
        <v>139352</v>
      </c>
      <c r="T35" s="81">
        <v>47216</v>
      </c>
      <c r="U35" s="81">
        <v>2121912</v>
      </c>
      <c r="V35" s="82">
        <f t="shared" si="2"/>
        <v>0.88897183295065962</v>
      </c>
    </row>
    <row r="37" spans="14:23" x14ac:dyDescent="0.25">
      <c r="N37" s="83">
        <f>N30</f>
        <v>3</v>
      </c>
      <c r="O37" s="83" t="str">
        <f t="shared" ref="O37:T37" si="3">O30</f>
        <v>All</v>
      </c>
      <c r="P37" s="83" t="str">
        <f t="shared" si="3"/>
        <v>No</v>
      </c>
      <c r="Q37" s="83">
        <f t="shared" si="3"/>
        <v>7546620</v>
      </c>
      <c r="R37" s="83">
        <f t="shared" si="3"/>
        <v>168832</v>
      </c>
      <c r="S37" s="83">
        <f t="shared" si="3"/>
        <v>295720</v>
      </c>
      <c r="T37" s="83">
        <f t="shared" si="3"/>
        <v>179760</v>
      </c>
      <c r="U37" s="83">
        <f>U30</f>
        <v>8190932</v>
      </c>
      <c r="V37" s="84">
        <f>MAX(V24:V35)</f>
        <v>0.92133837761075299</v>
      </c>
      <c r="W37" s="83" t="s">
        <v>423</v>
      </c>
    </row>
    <row r="41" spans="14:23" x14ac:dyDescent="0.25">
      <c r="N41" s="72" t="s">
        <v>426</v>
      </c>
    </row>
    <row r="43" spans="14:23" x14ac:dyDescent="0.25">
      <c r="N43" s="85" t="s">
        <v>53</v>
      </c>
      <c r="O43" s="85" t="s">
        <v>413</v>
      </c>
      <c r="P43" s="85" t="s">
        <v>414</v>
      </c>
      <c r="Q43" s="70" t="s">
        <v>60</v>
      </c>
      <c r="R43" s="71" t="s">
        <v>61</v>
      </c>
      <c r="S43" s="71" t="s">
        <v>62</v>
      </c>
      <c r="T43" s="71" t="s">
        <v>63</v>
      </c>
      <c r="U43" s="71" t="s">
        <v>415</v>
      </c>
    </row>
    <row r="44" spans="14:23" x14ac:dyDescent="0.25">
      <c r="N44" s="74">
        <v>1</v>
      </c>
      <c r="O44" s="75" t="s">
        <v>418</v>
      </c>
      <c r="P44" s="86" t="s">
        <v>419</v>
      </c>
      <c r="Q44" s="87">
        <v>7.4967495319645217</v>
      </c>
      <c r="R44" s="87">
        <v>6.8452119896881696</v>
      </c>
      <c r="S44" s="87">
        <v>0.82684713734546167</v>
      </c>
      <c r="T44" s="87">
        <v>3.5854170730886956</v>
      </c>
      <c r="U44" s="87">
        <v>5.8830025352417055</v>
      </c>
    </row>
    <row r="45" spans="14:23" x14ac:dyDescent="0.25">
      <c r="N45" s="77">
        <v>2</v>
      </c>
      <c r="O45" s="78" t="s">
        <v>418</v>
      </c>
      <c r="P45" s="88" t="s">
        <v>419</v>
      </c>
      <c r="Q45" s="87">
        <v>7.6381020757279163</v>
      </c>
      <c r="R45" s="87">
        <v>8.4507912654928443</v>
      </c>
      <c r="S45" s="87">
        <v>0.95103397827438652</v>
      </c>
      <c r="T45" s="87">
        <v>5.0520974889217136</v>
      </c>
      <c r="U45" s="87">
        <v>7.3100687142811429</v>
      </c>
    </row>
    <row r="46" spans="14:23" x14ac:dyDescent="0.25">
      <c r="N46" s="77">
        <v>3</v>
      </c>
      <c r="O46" s="78" t="s">
        <v>418</v>
      </c>
      <c r="P46" s="88" t="s">
        <v>419</v>
      </c>
      <c r="Q46" s="87">
        <v>7.7177495052755116</v>
      </c>
      <c r="R46" s="87">
        <v>8.9136628433443992</v>
      </c>
      <c r="S46" s="87">
        <v>0.90282560175806059</v>
      </c>
      <c r="T46" s="87">
        <v>4.6281733085176269</v>
      </c>
      <c r="U46" s="87">
        <v>7.4357722140079154</v>
      </c>
    </row>
    <row r="47" spans="14:23" x14ac:dyDescent="0.25">
      <c r="N47" s="80">
        <v>4</v>
      </c>
      <c r="O47" s="81" t="s">
        <v>418</v>
      </c>
      <c r="P47" s="89" t="s">
        <v>419</v>
      </c>
      <c r="Q47" s="87">
        <v>7.1045563023377278</v>
      </c>
      <c r="R47" s="87">
        <v>12.454314181335105</v>
      </c>
      <c r="S47" s="87">
        <v>0.87172252987467214</v>
      </c>
      <c r="T47" s="87">
        <v>3.0867146540610229</v>
      </c>
      <c r="U47" s="87">
        <v>6.7419596836312934</v>
      </c>
    </row>
    <row r="48" spans="14:23" x14ac:dyDescent="0.25">
      <c r="N48" s="77">
        <v>1</v>
      </c>
      <c r="O48" s="72" t="s">
        <v>418</v>
      </c>
      <c r="P48" s="88" t="s">
        <v>422</v>
      </c>
      <c r="Q48" s="90">
        <v>7.6150969257362222</v>
      </c>
      <c r="R48" s="90">
        <v>6.5175583028940709</v>
      </c>
      <c r="S48" s="90">
        <v>0.89729176697159363</v>
      </c>
      <c r="T48" s="90">
        <v>3.8298038065441276</v>
      </c>
      <c r="U48" s="90">
        <v>6.4339705180423863</v>
      </c>
    </row>
    <row r="49" spans="14:21" x14ac:dyDescent="0.25">
      <c r="N49" s="77">
        <v>2</v>
      </c>
      <c r="O49" s="72" t="s">
        <v>418</v>
      </c>
      <c r="P49" s="88" t="s">
        <v>422</v>
      </c>
      <c r="Q49" s="87">
        <v>7.5747259763042143</v>
      </c>
      <c r="R49" s="87">
        <v>7.3272523491119026</v>
      </c>
      <c r="S49" s="87">
        <v>0.95411208786943791</v>
      </c>
      <c r="T49" s="87">
        <v>4.8433535800689755</v>
      </c>
      <c r="U49" s="87">
        <v>7.1410047789054287</v>
      </c>
    </row>
    <row r="50" spans="14:21" x14ac:dyDescent="0.25">
      <c r="N50" s="77">
        <v>3</v>
      </c>
      <c r="O50" s="72" t="s">
        <v>418</v>
      </c>
      <c r="P50" s="88" t="s">
        <v>422</v>
      </c>
      <c r="Q50" s="87">
        <v>8.1698285219078208</v>
      </c>
      <c r="R50" s="87">
        <v>9.7282797100075822</v>
      </c>
      <c r="S50" s="87">
        <v>0.89658230758825919</v>
      </c>
      <c r="T50" s="87">
        <v>4.6458813974187798</v>
      </c>
      <c r="U50" s="87">
        <v>7.8620256156442272</v>
      </c>
    </row>
    <row r="51" spans="14:21" x14ac:dyDescent="0.25">
      <c r="N51" s="80">
        <v>4</v>
      </c>
      <c r="O51" s="81" t="s">
        <v>418</v>
      </c>
      <c r="P51" s="89" t="s">
        <v>422</v>
      </c>
      <c r="Q51" s="87">
        <v>8.8109386549902293</v>
      </c>
      <c r="R51" s="87">
        <v>15.642017965992942</v>
      </c>
      <c r="S51" s="87">
        <v>0.84381074168797965</v>
      </c>
      <c r="T51" s="87">
        <v>3.3561426573426569</v>
      </c>
      <c r="U51" s="87">
        <v>8.3148251162426288</v>
      </c>
    </row>
    <row r="52" spans="14:21" x14ac:dyDescent="0.25">
      <c r="N52" s="74">
        <v>1</v>
      </c>
      <c r="O52" s="75" t="s">
        <v>418</v>
      </c>
      <c r="P52" s="86" t="s">
        <v>418</v>
      </c>
      <c r="Q52" s="87">
        <v>7.5297019383089516</v>
      </c>
      <c r="R52" s="87">
        <v>6.7889422763737262</v>
      </c>
      <c r="S52" s="87">
        <v>0.84020391628819857</v>
      </c>
      <c r="T52" s="87">
        <v>3.6355398107053105</v>
      </c>
      <c r="U52" s="87">
        <v>6.0201067494135474</v>
      </c>
    </row>
    <row r="53" spans="14:21" x14ac:dyDescent="0.25">
      <c r="N53" s="77">
        <v>2</v>
      </c>
      <c r="O53" s="72" t="s">
        <v>418</v>
      </c>
      <c r="P53" s="88" t="s">
        <v>418</v>
      </c>
      <c r="Q53" s="87">
        <v>7.5987900130913282</v>
      </c>
      <c r="R53" s="87">
        <v>7.9176728584007714</v>
      </c>
      <c r="S53" s="87">
        <v>0.95304506035094849</v>
      </c>
      <c r="T53" s="87">
        <v>4.9238189985132701</v>
      </c>
      <c r="U53" s="87">
        <v>7.2060098125366148</v>
      </c>
    </row>
    <row r="54" spans="14:21" x14ac:dyDescent="0.25">
      <c r="N54" s="77">
        <v>3</v>
      </c>
      <c r="O54" s="72" t="s">
        <v>418</v>
      </c>
      <c r="P54" s="88" t="s">
        <v>418</v>
      </c>
      <c r="Q54" s="87">
        <v>8.0409350898452274</v>
      </c>
      <c r="R54" s="87">
        <v>9.4674648068807787</v>
      </c>
      <c r="S54" s="87">
        <v>0.89834667598226181</v>
      </c>
      <c r="T54" s="87">
        <v>4.6407635109479815</v>
      </c>
      <c r="U54" s="87">
        <v>7.7401736496060423</v>
      </c>
    </row>
    <row r="55" spans="14:21" x14ac:dyDescent="0.25">
      <c r="N55" s="80">
        <v>4</v>
      </c>
      <c r="O55" s="81" t="s">
        <v>418</v>
      </c>
      <c r="P55" s="89" t="s">
        <v>418</v>
      </c>
      <c r="Q55" s="87">
        <v>8.1805020569150511</v>
      </c>
      <c r="R55" s="87">
        <v>14.075735966057442</v>
      </c>
      <c r="S55" s="87">
        <v>0.85480624605316036</v>
      </c>
      <c r="T55" s="87">
        <v>3.2499144357844796</v>
      </c>
      <c r="U55" s="87">
        <v>7.7258908192234177</v>
      </c>
    </row>
  </sheetData>
  <hyperlinks>
    <hyperlink ref="N2" r:id="rId1" display="../../../../../../../../:x:/s/MiamiDadeCo/EZP3rVeciKVLnJqnom7DpqoBGgUzVRpyq4JB5x6waPKZgw?e=88ahrt" xr:uid="{A4F73E8C-18E2-47B0-8B44-44FECA7393FF}"/>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EE448-F95E-47DF-AC43-E57A504FA9F3}">
  <sheetPr>
    <tabColor theme="5" tint="0.39997558519241921"/>
  </sheetPr>
  <dimension ref="A1:J146"/>
  <sheetViews>
    <sheetView topLeftCell="A62" workbookViewId="0">
      <selection activeCell="I92" sqref="I92:I96"/>
    </sheetView>
  </sheetViews>
  <sheetFormatPr defaultColWidth="9" defaultRowHeight="15.75" x14ac:dyDescent="0.25"/>
  <cols>
    <col min="2" max="2" width="39.140625" customWidth="1"/>
    <col min="3" max="3" width="23" customWidth="1"/>
    <col min="4" max="7" width="15.85546875" customWidth="1"/>
  </cols>
  <sheetData>
    <row r="1" spans="1:10" x14ac:dyDescent="0.25">
      <c r="A1" t="s">
        <v>427</v>
      </c>
    </row>
    <row r="5" spans="1:10" ht="94.5" x14ac:dyDescent="0.25">
      <c r="A5" t="s">
        <v>76</v>
      </c>
      <c r="B5" t="s">
        <v>77</v>
      </c>
      <c r="C5" t="s">
        <v>78</v>
      </c>
      <c r="D5" s="133" t="s">
        <v>428</v>
      </c>
      <c r="E5" s="133" t="s">
        <v>429</v>
      </c>
      <c r="F5" s="133" t="s">
        <v>430</v>
      </c>
      <c r="G5" s="133" t="s">
        <v>431</v>
      </c>
      <c r="H5" s="133" t="s">
        <v>432</v>
      </c>
      <c r="I5" s="133" t="s">
        <v>433</v>
      </c>
      <c r="J5" s="133" t="s">
        <v>434</v>
      </c>
    </row>
    <row r="6" spans="1:10" x14ac:dyDescent="0.25">
      <c r="A6" t="s">
        <v>140</v>
      </c>
    </row>
    <row r="7" spans="1:10" x14ac:dyDescent="0.25">
      <c r="A7">
        <v>30</v>
      </c>
      <c r="B7" t="s">
        <v>435</v>
      </c>
      <c r="C7" t="s">
        <v>110</v>
      </c>
      <c r="E7" s="2">
        <f>IF(D7&gt;0,VLOOKUP(D7,SurveyTripLengthsAndPassBy!D$3:F$15,3),0)+1</f>
        <v>1</v>
      </c>
      <c r="F7" s="2">
        <v>0.5</v>
      </c>
      <c r="G7" s="2">
        <f>(1-F7)+E7*F7</f>
        <v>1</v>
      </c>
      <c r="H7" s="2">
        <f>G7</f>
        <v>1</v>
      </c>
      <c r="I7" s="164"/>
      <c r="J7" s="2">
        <f>1-IF(I7&gt;0,VLOOKUP(I7,SurveyTripLengthsAndPassBy!D$3:H$15,5),0)</f>
        <v>1</v>
      </c>
    </row>
    <row r="8" spans="1:10" x14ac:dyDescent="0.25">
      <c r="A8" t="s">
        <v>148</v>
      </c>
      <c r="H8" s="2"/>
      <c r="I8" s="164"/>
      <c r="J8" s="2"/>
    </row>
    <row r="9" spans="1:10" x14ac:dyDescent="0.25">
      <c r="A9">
        <v>110</v>
      </c>
      <c r="B9" t="s">
        <v>144</v>
      </c>
      <c r="C9" t="s">
        <v>110</v>
      </c>
      <c r="E9" s="2">
        <f>IF(D9&gt;0,VLOOKUP(D9,SurveyTripLengthsAndPassBy!D$3:F$15,3),0)+1</f>
        <v>1</v>
      </c>
      <c r="F9" s="2">
        <v>0.5</v>
      </c>
      <c r="G9" s="2">
        <f t="shared" ref="G9:G15" si="0">(1-F9)+E9*F9</f>
        <v>1</v>
      </c>
      <c r="H9" s="2">
        <f t="shared" ref="H9:H15" si="1">G9</f>
        <v>1</v>
      </c>
      <c r="I9" s="164"/>
      <c r="J9" s="2">
        <f>1-IF(I9&gt;0,VLOOKUP(I9,SurveyTripLengthsAndPassBy!D$3:H$15,5),0)</f>
        <v>1</v>
      </c>
    </row>
    <row r="10" spans="1:10" x14ac:dyDescent="0.25">
      <c r="A10">
        <v>130</v>
      </c>
      <c r="B10" t="s">
        <v>150</v>
      </c>
      <c r="C10" t="s">
        <v>110</v>
      </c>
      <c r="E10" s="2">
        <f>IF(D10&gt;0,VLOOKUP(D10,SurveyTripLengthsAndPassBy!D$3:F$15,3),0)+1</f>
        <v>1</v>
      </c>
      <c r="F10" s="2">
        <v>0.5</v>
      </c>
      <c r="G10" s="2">
        <f t="shared" si="0"/>
        <v>1</v>
      </c>
      <c r="H10" s="2">
        <f t="shared" si="1"/>
        <v>1</v>
      </c>
      <c r="I10" s="164"/>
      <c r="J10" s="2">
        <f>1-IF(I10&gt;0,VLOOKUP(I10,SurveyTripLengthsAndPassBy!D$3:H$15,5),0)</f>
        <v>1</v>
      </c>
    </row>
    <row r="11" spans="1:10" x14ac:dyDescent="0.25">
      <c r="A11">
        <v>140</v>
      </c>
      <c r="B11" t="s">
        <v>153</v>
      </c>
      <c r="C11" t="s">
        <v>110</v>
      </c>
      <c r="E11" s="2">
        <f>IF(D11&gt;0,VLOOKUP(D11,SurveyTripLengthsAndPassBy!D$3:F$15,3),0)+1</f>
        <v>1</v>
      </c>
      <c r="F11" s="2">
        <v>0.5</v>
      </c>
      <c r="G11" s="2">
        <f t="shared" si="0"/>
        <v>1</v>
      </c>
      <c r="H11" s="2">
        <f t="shared" si="1"/>
        <v>1</v>
      </c>
      <c r="I11" s="164"/>
      <c r="J11" s="2">
        <f>1-IF(I11&gt;0,VLOOKUP(I11,SurveyTripLengthsAndPassBy!D$3:H$15,5),0)</f>
        <v>1</v>
      </c>
    </row>
    <row r="12" spans="1:10" x14ac:dyDescent="0.25">
      <c r="A12">
        <v>150</v>
      </c>
      <c r="B12" t="s">
        <v>154</v>
      </c>
      <c r="C12" t="s">
        <v>110</v>
      </c>
      <c r="E12" s="2">
        <f>IF(D12&gt;0,VLOOKUP(D12,SurveyTripLengthsAndPassBy!D$3:F$15,3),0)+1</f>
        <v>1</v>
      </c>
      <c r="F12" s="2">
        <v>0.5</v>
      </c>
      <c r="G12" s="2">
        <f t="shared" si="0"/>
        <v>1</v>
      </c>
      <c r="H12" s="2">
        <f t="shared" si="1"/>
        <v>1</v>
      </c>
      <c r="I12" s="164"/>
      <c r="J12" s="2">
        <f>1-IF(I12&gt;0,VLOOKUP(I12,SurveyTripLengthsAndPassBy!D$3:H$15,5),0)</f>
        <v>1</v>
      </c>
    </row>
    <row r="13" spans="1:10" x14ac:dyDescent="0.25">
      <c r="A13">
        <v>151</v>
      </c>
      <c r="B13" t="s">
        <v>157</v>
      </c>
      <c r="C13" t="s">
        <v>110</v>
      </c>
      <c r="E13" s="2">
        <f>IF(D13&gt;0,VLOOKUP(D13,SurveyTripLengthsAndPassBy!D$3:F$15,3),0)+1</f>
        <v>1</v>
      </c>
      <c r="F13" s="2">
        <v>0.5</v>
      </c>
      <c r="G13" s="2">
        <f t="shared" si="0"/>
        <v>1</v>
      </c>
      <c r="H13" s="2">
        <f t="shared" si="1"/>
        <v>1</v>
      </c>
      <c r="I13" s="164"/>
      <c r="J13" s="2">
        <f>1-IF(I13&gt;0,VLOOKUP(I13,SurveyTripLengthsAndPassBy!D$3:H$15,5),0)</f>
        <v>1</v>
      </c>
    </row>
    <row r="14" spans="1:10" x14ac:dyDescent="0.25">
      <c r="A14">
        <v>160</v>
      </c>
      <c r="B14" t="s">
        <v>158</v>
      </c>
      <c r="C14" t="s">
        <v>110</v>
      </c>
      <c r="E14" s="2">
        <f>IF(D14&gt;0,VLOOKUP(D14,SurveyTripLengthsAndPassBy!D$3:F$15,3),0)+1</f>
        <v>1</v>
      </c>
      <c r="F14" s="2">
        <v>0.5</v>
      </c>
      <c r="G14" s="2">
        <f t="shared" si="0"/>
        <v>1</v>
      </c>
      <c r="H14" s="2">
        <f t="shared" si="1"/>
        <v>1</v>
      </c>
      <c r="I14" s="164"/>
      <c r="J14" s="2">
        <f>1-IF(I14&gt;0,VLOOKUP(I14,SurveyTripLengthsAndPassBy!D$3:H$15,5),0)</f>
        <v>1</v>
      </c>
    </row>
    <row r="15" spans="1:10" x14ac:dyDescent="0.25">
      <c r="A15">
        <v>170</v>
      </c>
      <c r="B15" t="s">
        <v>160</v>
      </c>
      <c r="C15" t="s">
        <v>110</v>
      </c>
      <c r="E15" s="2">
        <f>IF(D15&gt;0,VLOOKUP(D15,SurveyTripLengthsAndPassBy!D$3:F$15,3),0)+1</f>
        <v>1</v>
      </c>
      <c r="F15" s="2">
        <v>0.5</v>
      </c>
      <c r="G15" s="2">
        <f t="shared" si="0"/>
        <v>1</v>
      </c>
      <c r="H15" s="2">
        <f t="shared" si="1"/>
        <v>1</v>
      </c>
      <c r="I15" s="164"/>
      <c r="J15" s="2">
        <f>1-IF(I15&gt;0,VLOOKUP(I15,SurveyTripLengthsAndPassBy!D$3:H$15,5),0)</f>
        <v>1</v>
      </c>
    </row>
    <row r="16" spans="1:10" x14ac:dyDescent="0.25">
      <c r="A16" t="s">
        <v>162</v>
      </c>
      <c r="H16" s="2"/>
      <c r="I16" s="164"/>
      <c r="J16" s="2"/>
    </row>
    <row r="17" spans="1:10" x14ac:dyDescent="0.25">
      <c r="A17">
        <v>210</v>
      </c>
      <c r="B17" t="s">
        <v>163</v>
      </c>
      <c r="C17" t="s">
        <v>164</v>
      </c>
      <c r="E17" s="2">
        <f>IF(D17&gt;0,VLOOKUP(D17,SurveyTripLengthsAndPassBy!D$3:F$15,3),0)+1</f>
        <v>1</v>
      </c>
      <c r="F17" s="2">
        <v>0.5</v>
      </c>
      <c r="G17" s="2">
        <f t="shared" ref="G17:G30" si="2">(1-F17)+E17*F17</f>
        <v>1</v>
      </c>
      <c r="H17" s="2">
        <f t="shared" ref="H17:H30" si="3">G17</f>
        <v>1</v>
      </c>
      <c r="I17" s="164"/>
      <c r="J17" s="2">
        <f>1-IF(I17&gt;0,VLOOKUP(I17,SurveyTripLengthsAndPassBy!D$3:H$15,5),0)</f>
        <v>1</v>
      </c>
    </row>
    <row r="18" spans="1:10" x14ac:dyDescent="0.25">
      <c r="A18">
        <v>220</v>
      </c>
      <c r="B18" t="s">
        <v>167</v>
      </c>
      <c r="C18" t="s">
        <v>164</v>
      </c>
      <c r="E18" s="2">
        <f>IF(D18&gt;0,VLOOKUP(D18,SurveyTripLengthsAndPassBy!D$3:F$15,3),0)+1</f>
        <v>1</v>
      </c>
      <c r="F18" s="2">
        <v>0.5</v>
      </c>
      <c r="G18" s="2">
        <f t="shared" si="2"/>
        <v>1</v>
      </c>
      <c r="H18" s="2">
        <f t="shared" si="3"/>
        <v>1</v>
      </c>
      <c r="I18" s="164"/>
      <c r="J18" s="2">
        <f>1-IF(I18&gt;0,VLOOKUP(I18,SurveyTripLengthsAndPassBy!D$3:H$15,5),0)</f>
        <v>1</v>
      </c>
    </row>
    <row r="19" spans="1:10" x14ac:dyDescent="0.25">
      <c r="A19">
        <v>221</v>
      </c>
      <c r="B19" t="s">
        <v>168</v>
      </c>
      <c r="C19" t="s">
        <v>164</v>
      </c>
      <c r="E19" s="2">
        <f>IF(D19&gt;0,VLOOKUP(D19,SurveyTripLengthsAndPassBy!D$3:F$15,3),0)+1</f>
        <v>1</v>
      </c>
      <c r="F19" s="2">
        <v>0.5</v>
      </c>
      <c r="G19" s="2">
        <f t="shared" si="2"/>
        <v>1</v>
      </c>
      <c r="H19" s="2">
        <f t="shared" si="3"/>
        <v>1</v>
      </c>
      <c r="I19" s="164"/>
      <c r="J19" s="2">
        <f>1-IF(I19&gt;0,VLOOKUP(I19,SurveyTripLengthsAndPassBy!D$3:H$15,5),0)</f>
        <v>1</v>
      </c>
    </row>
    <row r="20" spans="1:10" x14ac:dyDescent="0.25">
      <c r="A20">
        <v>222</v>
      </c>
      <c r="B20" t="s">
        <v>171</v>
      </c>
      <c r="C20" t="s">
        <v>164</v>
      </c>
      <c r="E20" s="2">
        <f>IF(D20&gt;0,VLOOKUP(D20,SurveyTripLengthsAndPassBy!D$3:F$15,3),0)+1</f>
        <v>1</v>
      </c>
      <c r="F20" s="2">
        <v>0.5</v>
      </c>
      <c r="G20" s="2">
        <f t="shared" si="2"/>
        <v>1</v>
      </c>
      <c r="H20" s="2">
        <f t="shared" si="3"/>
        <v>1</v>
      </c>
      <c r="I20" s="164"/>
      <c r="J20" s="2">
        <f>1-IF(I20&gt;0,VLOOKUP(I20,SurveyTripLengthsAndPassBy!D$3:H$15,5),0)</f>
        <v>1</v>
      </c>
    </row>
    <row r="21" spans="1:10" x14ac:dyDescent="0.25">
      <c r="A21">
        <v>230</v>
      </c>
      <c r="B21" t="s">
        <v>179</v>
      </c>
      <c r="C21" t="s">
        <v>164</v>
      </c>
      <c r="E21" s="2">
        <f>IF(D21&gt;0,VLOOKUP(D21,SurveyTripLengthsAndPassBy!D$3:F$15,3),0)+1</f>
        <v>1</v>
      </c>
      <c r="F21" s="2">
        <v>0.5</v>
      </c>
      <c r="G21" s="2">
        <f t="shared" si="2"/>
        <v>1</v>
      </c>
      <c r="H21" s="2">
        <f t="shared" si="3"/>
        <v>1</v>
      </c>
      <c r="I21" s="164"/>
      <c r="J21" s="2">
        <f>1-IF(I21&gt;0,VLOOKUP(I21,SurveyTripLengthsAndPassBy!D$3:H$15,5),0)</f>
        <v>1</v>
      </c>
    </row>
    <row r="22" spans="1:10" x14ac:dyDescent="0.25">
      <c r="A22">
        <v>231</v>
      </c>
      <c r="B22" t="s">
        <v>436</v>
      </c>
      <c r="C22" t="s">
        <v>164</v>
      </c>
      <c r="E22" s="2">
        <f>IF(D22&gt;0,VLOOKUP(D22,SurveyTripLengthsAndPassBy!D$3:F$15,3),0)+1</f>
        <v>1</v>
      </c>
      <c r="F22" s="2">
        <v>0.5</v>
      </c>
      <c r="G22" s="2">
        <f t="shared" si="2"/>
        <v>1</v>
      </c>
      <c r="H22" s="2">
        <f t="shared" si="3"/>
        <v>1</v>
      </c>
      <c r="I22" s="164"/>
      <c r="J22" s="2">
        <f>1-IF(I22&gt;0,VLOOKUP(I22,SurveyTripLengthsAndPassBy!D$3:H$15,5),0)</f>
        <v>1</v>
      </c>
    </row>
    <row r="23" spans="1:10" x14ac:dyDescent="0.25">
      <c r="A23">
        <v>240</v>
      </c>
      <c r="B23" t="s">
        <v>178</v>
      </c>
      <c r="C23" t="s">
        <v>164</v>
      </c>
      <c r="E23" s="2">
        <f>IF(D23&gt;0,VLOOKUP(D23,SurveyTripLengthsAndPassBy!D$3:F$15,3),0)+1</f>
        <v>1</v>
      </c>
      <c r="F23" s="2">
        <v>0.5</v>
      </c>
      <c r="G23" s="2">
        <f t="shared" si="2"/>
        <v>1</v>
      </c>
      <c r="H23" s="2">
        <f t="shared" si="3"/>
        <v>1</v>
      </c>
      <c r="I23" s="164"/>
      <c r="J23" s="2">
        <f>1-IF(I23&gt;0,VLOOKUP(I23,SurveyTripLengthsAndPassBy!D$3:H$15,5),0)</f>
        <v>1</v>
      </c>
    </row>
    <row r="24" spans="1:10" x14ac:dyDescent="0.25">
      <c r="A24">
        <v>251</v>
      </c>
      <c r="B24" t="s">
        <v>181</v>
      </c>
      <c r="C24" t="s">
        <v>164</v>
      </c>
      <c r="E24" s="2">
        <f>IF(D24&gt;0,VLOOKUP(D24,SurveyTripLengthsAndPassBy!D$3:F$15,3),0)+1</f>
        <v>1</v>
      </c>
      <c r="F24" s="2">
        <v>0.5</v>
      </c>
      <c r="G24" s="2">
        <f t="shared" si="2"/>
        <v>1</v>
      </c>
      <c r="H24" s="2">
        <f t="shared" si="3"/>
        <v>1</v>
      </c>
      <c r="I24" s="164"/>
      <c r="J24" s="2">
        <f>1-IF(I24&gt;0,VLOOKUP(I24,SurveyTripLengthsAndPassBy!D$3:H$15,5),0)</f>
        <v>1</v>
      </c>
    </row>
    <row r="25" spans="1:10" x14ac:dyDescent="0.25">
      <c r="A25">
        <v>252</v>
      </c>
      <c r="B25" t="s">
        <v>184</v>
      </c>
      <c r="C25" t="s">
        <v>164</v>
      </c>
      <c r="E25" s="2">
        <f>IF(D25&gt;0,VLOOKUP(D25,SurveyTripLengthsAndPassBy!D$3:F$15,3),0)+1</f>
        <v>1</v>
      </c>
      <c r="F25" s="2">
        <v>0.5</v>
      </c>
      <c r="G25" s="2">
        <f t="shared" si="2"/>
        <v>1</v>
      </c>
      <c r="H25" s="2">
        <f t="shared" si="3"/>
        <v>1</v>
      </c>
      <c r="I25" s="164"/>
      <c r="J25" s="2">
        <f>1-IF(I25&gt;0,VLOOKUP(I25,SurveyTripLengthsAndPassBy!D$3:H$15,5),0)</f>
        <v>1</v>
      </c>
    </row>
    <row r="26" spans="1:10" x14ac:dyDescent="0.25">
      <c r="A26">
        <v>253</v>
      </c>
      <c r="B26" t="s">
        <v>187</v>
      </c>
      <c r="C26" t="s">
        <v>164</v>
      </c>
      <c r="E26" s="2">
        <f>IF(D26&gt;0,VLOOKUP(D26,SurveyTripLengthsAndPassBy!D$3:F$15,3),0)+1</f>
        <v>1</v>
      </c>
      <c r="F26" s="2">
        <v>0.5</v>
      </c>
      <c r="G26" s="2">
        <f t="shared" si="2"/>
        <v>1</v>
      </c>
      <c r="H26" s="2">
        <f t="shared" si="3"/>
        <v>1</v>
      </c>
      <c r="I26" s="164"/>
      <c r="J26" s="2">
        <f>1-IF(I26&gt;0,VLOOKUP(I26,SurveyTripLengthsAndPassBy!D$3:H$15,5),0)</f>
        <v>1</v>
      </c>
    </row>
    <row r="27" spans="1:10" x14ac:dyDescent="0.25">
      <c r="A27">
        <v>254</v>
      </c>
      <c r="B27" t="s">
        <v>190</v>
      </c>
      <c r="C27" t="s">
        <v>191</v>
      </c>
      <c r="E27" s="2">
        <f>IF(D27&gt;0,VLOOKUP(D27,SurveyTripLengthsAndPassBy!D$3:F$15,3),0)+1</f>
        <v>1</v>
      </c>
      <c r="F27" s="2">
        <v>0.5</v>
      </c>
      <c r="G27" s="2">
        <f t="shared" si="2"/>
        <v>1</v>
      </c>
      <c r="H27" s="2">
        <f t="shared" si="3"/>
        <v>1</v>
      </c>
      <c r="I27" s="164"/>
      <c r="J27" s="2">
        <f>1-IF(I27&gt;0,VLOOKUP(I27,SurveyTripLengthsAndPassBy!D$3:H$15,5),0)</f>
        <v>1</v>
      </c>
    </row>
    <row r="28" spans="1:10" x14ac:dyDescent="0.25">
      <c r="A28">
        <v>255</v>
      </c>
      <c r="B28" t="s">
        <v>193</v>
      </c>
      <c r="C28" t="s">
        <v>164</v>
      </c>
      <c r="E28" s="2">
        <f>IF(D28&gt;0,VLOOKUP(D28,SurveyTripLengthsAndPassBy!D$3:F$15,3),0)+1</f>
        <v>1</v>
      </c>
      <c r="F28" s="2">
        <v>0.5</v>
      </c>
      <c r="G28" s="2">
        <f t="shared" si="2"/>
        <v>1</v>
      </c>
      <c r="H28" s="2">
        <f t="shared" si="3"/>
        <v>1</v>
      </c>
      <c r="I28" s="164"/>
      <c r="J28" s="2">
        <f>1-IF(I28&gt;0,VLOOKUP(I28,SurveyTripLengthsAndPassBy!D$3:H$15,5),0)</f>
        <v>1</v>
      </c>
    </row>
    <row r="29" spans="1:10" x14ac:dyDescent="0.25">
      <c r="A29">
        <v>265</v>
      </c>
      <c r="B29" t="s">
        <v>195</v>
      </c>
      <c r="C29" t="s">
        <v>164</v>
      </c>
      <c r="E29" s="2">
        <f>IF(D29&gt;0,VLOOKUP(D29,SurveyTripLengthsAndPassBy!D$3:F$15,3),0)+1</f>
        <v>1</v>
      </c>
      <c r="F29" s="2">
        <v>0.5</v>
      </c>
      <c r="G29" s="2">
        <f t="shared" si="2"/>
        <v>1</v>
      </c>
      <c r="H29" s="2">
        <f t="shared" si="3"/>
        <v>1</v>
      </c>
      <c r="I29" s="164"/>
      <c r="J29" s="2">
        <f>1-IF(I29&gt;0,VLOOKUP(I29,SurveyTripLengthsAndPassBy!D$3:H$15,5),0)</f>
        <v>1</v>
      </c>
    </row>
    <row r="30" spans="1:10" x14ac:dyDescent="0.25">
      <c r="A30">
        <v>270</v>
      </c>
      <c r="B30" t="s">
        <v>197</v>
      </c>
      <c r="C30" t="s">
        <v>164</v>
      </c>
      <c r="E30" s="2">
        <f>IF(D30&gt;0,VLOOKUP(D30,SurveyTripLengthsAndPassBy!D$3:F$15,3),0)+1</f>
        <v>1</v>
      </c>
      <c r="F30" s="2">
        <v>0.5</v>
      </c>
      <c r="G30" s="2">
        <f t="shared" si="2"/>
        <v>1</v>
      </c>
      <c r="H30" s="2">
        <f t="shared" si="3"/>
        <v>1</v>
      </c>
      <c r="I30" s="164"/>
      <c r="J30" s="2">
        <f>1-IF(I30&gt;0,VLOOKUP(I30,SurveyTripLengthsAndPassBy!D$3:H$15,5),0)</f>
        <v>1</v>
      </c>
    </row>
    <row r="31" spans="1:10" x14ac:dyDescent="0.25">
      <c r="A31" t="s">
        <v>198</v>
      </c>
      <c r="H31" s="2"/>
      <c r="I31" s="164"/>
      <c r="J31" s="2"/>
    </row>
    <row r="32" spans="1:10" x14ac:dyDescent="0.25">
      <c r="A32">
        <v>310</v>
      </c>
      <c r="B32" t="s">
        <v>199</v>
      </c>
      <c r="C32" t="s">
        <v>200</v>
      </c>
      <c r="E32" s="2">
        <f>IF(D32&gt;0,VLOOKUP(D32,SurveyTripLengthsAndPassBy!D$3:F$15,3),0)+1</f>
        <v>1</v>
      </c>
      <c r="F32" s="2">
        <v>0.5</v>
      </c>
      <c r="G32" s="2">
        <f>(1-F32)+E32*F32</f>
        <v>1</v>
      </c>
      <c r="H32" s="2">
        <f>G32</f>
        <v>1</v>
      </c>
      <c r="I32" s="164"/>
      <c r="J32" s="2">
        <f>1-IF(I32&gt;0,VLOOKUP(I32,SurveyTripLengthsAndPassBy!D$3:H$15,5),0)</f>
        <v>1</v>
      </c>
    </row>
    <row r="33" spans="1:10" x14ac:dyDescent="0.25">
      <c r="A33">
        <v>311</v>
      </c>
      <c r="B33" t="s">
        <v>201</v>
      </c>
      <c r="C33" t="s">
        <v>200</v>
      </c>
      <c r="E33" s="2">
        <f>IF(D33&gt;0,VLOOKUP(D33,SurveyTripLengthsAndPassBy!D$3:F$15,3),0)+1</f>
        <v>1</v>
      </c>
      <c r="F33" s="2">
        <v>0.5</v>
      </c>
      <c r="G33" s="2">
        <f>(1-F33)+E33*F33</f>
        <v>1</v>
      </c>
      <c r="H33" s="2">
        <f>G33</f>
        <v>1</v>
      </c>
      <c r="I33" s="164"/>
      <c r="J33" s="2">
        <f>1-IF(I33&gt;0,VLOOKUP(I33,SurveyTripLengthsAndPassBy!D$3:H$15,5),0)</f>
        <v>1</v>
      </c>
    </row>
    <row r="34" spans="1:10" x14ac:dyDescent="0.25">
      <c r="A34">
        <v>320</v>
      </c>
      <c r="B34" t="s">
        <v>203</v>
      </c>
      <c r="C34" t="s">
        <v>200</v>
      </c>
      <c r="E34" s="2">
        <f>IF(D34&gt;0,VLOOKUP(D34,SurveyTripLengthsAndPassBy!D$3:F$15,3),0)+1</f>
        <v>1</v>
      </c>
      <c r="F34" s="2">
        <v>0.5</v>
      </c>
      <c r="G34" s="2">
        <f>(1-F34)+E34*F34</f>
        <v>1</v>
      </c>
      <c r="H34" s="2">
        <f>G34</f>
        <v>1</v>
      </c>
      <c r="I34" s="164"/>
      <c r="J34" s="2">
        <f>1-IF(I34&gt;0,VLOOKUP(I34,SurveyTripLengthsAndPassBy!D$3:H$15,5),0)</f>
        <v>1</v>
      </c>
    </row>
    <row r="35" spans="1:10" x14ac:dyDescent="0.25">
      <c r="A35">
        <v>312</v>
      </c>
      <c r="B35" t="s">
        <v>206</v>
      </c>
      <c r="C35" t="s">
        <v>200</v>
      </c>
      <c r="E35" s="2">
        <f>IF(D35&gt;0,VLOOKUP(D35,SurveyTripLengthsAndPassBy!D$3:F$15,3),0)+1</f>
        <v>1</v>
      </c>
      <c r="F35" s="2">
        <v>0.5</v>
      </c>
      <c r="G35" s="2">
        <f>(1-F35)+E35*F35</f>
        <v>1</v>
      </c>
      <c r="H35" s="2">
        <f>G35</f>
        <v>1</v>
      </c>
      <c r="I35" s="164"/>
      <c r="J35" s="2">
        <f>1-IF(I35&gt;0,VLOOKUP(I35,SurveyTripLengthsAndPassBy!D$3:H$15,5),0)</f>
        <v>1</v>
      </c>
    </row>
    <row r="36" spans="1:10" x14ac:dyDescent="0.25">
      <c r="A36" t="s">
        <v>205</v>
      </c>
      <c r="H36" s="2"/>
      <c r="I36" s="164"/>
      <c r="J36" s="2"/>
    </row>
    <row r="37" spans="1:10" x14ac:dyDescent="0.25">
      <c r="A37">
        <v>420</v>
      </c>
      <c r="B37" t="s">
        <v>207</v>
      </c>
      <c r="C37" t="s">
        <v>210</v>
      </c>
      <c r="D37">
        <v>9</v>
      </c>
      <c r="E37" s="2">
        <f>IF(D37&gt;0,VLOOKUP(D37,SurveyTripLengthsAndPassBy!D$3:F$15,3),0)+1</f>
        <v>0.37833111107752604</v>
      </c>
      <c r="F37" s="2">
        <v>0.9</v>
      </c>
      <c r="G37" s="2">
        <f t="shared" ref="G37:G45" si="4">(1-F37)+E37*F37</f>
        <v>0.4404979999697734</v>
      </c>
      <c r="H37" s="2">
        <f t="shared" ref="H37:H45" si="5">G37</f>
        <v>0.4404979999697734</v>
      </c>
      <c r="I37" s="164"/>
      <c r="J37" s="2">
        <f>1-IF(I37&gt;0,VLOOKUP(I37,SurveyTripLengthsAndPassBy!D$3:H$15,5),0)</f>
        <v>1</v>
      </c>
    </row>
    <row r="38" spans="1:10" x14ac:dyDescent="0.25">
      <c r="A38">
        <v>430</v>
      </c>
      <c r="B38" t="s">
        <v>209</v>
      </c>
      <c r="C38" t="s">
        <v>213</v>
      </c>
      <c r="D38">
        <v>9</v>
      </c>
      <c r="E38" s="2">
        <f>IF(D38&gt;0,VLOOKUP(D38,SurveyTripLengthsAndPassBy!D$3:F$15,3),0)+1</f>
        <v>0.37833111107752604</v>
      </c>
      <c r="F38" s="2">
        <v>0.9</v>
      </c>
      <c r="G38" s="2">
        <f t="shared" si="4"/>
        <v>0.4404979999697734</v>
      </c>
      <c r="H38" s="2">
        <f t="shared" si="5"/>
        <v>0.4404979999697734</v>
      </c>
      <c r="I38" s="164"/>
      <c r="J38" s="2">
        <f>1-IF(I38&gt;0,VLOOKUP(I38,SurveyTripLengthsAndPassBy!D$3:H$15,5),0)</f>
        <v>1</v>
      </c>
    </row>
    <row r="39" spans="1:10" x14ac:dyDescent="0.25">
      <c r="A39">
        <v>444</v>
      </c>
      <c r="B39" t="s">
        <v>216</v>
      </c>
      <c r="C39" t="s">
        <v>110</v>
      </c>
      <c r="D39">
        <v>9</v>
      </c>
      <c r="E39" s="2">
        <f>IF(D39&gt;0,VLOOKUP(D39,SurveyTripLengthsAndPassBy!D$3:F$15,3),0)+1</f>
        <v>0.37833111107752604</v>
      </c>
      <c r="F39" s="2">
        <v>0.9</v>
      </c>
      <c r="G39" s="2">
        <f t="shared" si="4"/>
        <v>0.4404979999697734</v>
      </c>
      <c r="H39" s="2">
        <f t="shared" si="5"/>
        <v>0.4404979999697734</v>
      </c>
      <c r="I39" s="164"/>
      <c r="J39" s="2">
        <f>1-IF(I39&gt;0,VLOOKUP(I39,SurveyTripLengthsAndPassBy!D$3:H$15,5),0)</f>
        <v>1</v>
      </c>
    </row>
    <row r="40" spans="1:10" x14ac:dyDescent="0.25">
      <c r="A40">
        <v>444</v>
      </c>
      <c r="B40" t="s">
        <v>216</v>
      </c>
      <c r="C40" t="s">
        <v>219</v>
      </c>
      <c r="D40">
        <v>9</v>
      </c>
      <c r="E40" s="2">
        <f>IF(D40&gt;0,VLOOKUP(D40,SurveyTripLengthsAndPassBy!D$3:F$15,3),0)+1</f>
        <v>0.37833111107752604</v>
      </c>
      <c r="F40" s="2">
        <v>0.9</v>
      </c>
      <c r="G40" s="2">
        <f t="shared" si="4"/>
        <v>0.4404979999697734</v>
      </c>
      <c r="H40" s="2">
        <f t="shared" si="5"/>
        <v>0.4404979999697734</v>
      </c>
      <c r="I40" s="164"/>
      <c r="J40" s="2">
        <f>1-IF(I40&gt;0,VLOOKUP(I40,SurveyTripLengthsAndPassBy!D$3:H$15,5),0)</f>
        <v>1</v>
      </c>
    </row>
    <row r="41" spans="1:10" x14ac:dyDescent="0.25">
      <c r="A41">
        <v>480</v>
      </c>
      <c r="B41" t="s">
        <v>211</v>
      </c>
      <c r="C41" t="s">
        <v>222</v>
      </c>
      <c r="D41">
        <v>9</v>
      </c>
      <c r="E41" s="2">
        <f>IF(D41&gt;0,VLOOKUP(D41,SurveyTripLengthsAndPassBy!D$3:F$15,3),0)+1</f>
        <v>0.37833111107752604</v>
      </c>
      <c r="F41" s="2">
        <v>0.9</v>
      </c>
      <c r="G41" s="2">
        <f t="shared" si="4"/>
        <v>0.4404979999697734</v>
      </c>
      <c r="H41" s="2">
        <f t="shared" si="5"/>
        <v>0.4404979999697734</v>
      </c>
      <c r="I41" s="164"/>
      <c r="J41" s="2">
        <f>1-IF(I41&gt;0,VLOOKUP(I41,SurveyTripLengthsAndPassBy!D$3:H$15,5),0)</f>
        <v>1</v>
      </c>
    </row>
    <row r="42" spans="1:10" x14ac:dyDescent="0.25">
      <c r="A42">
        <v>490</v>
      </c>
      <c r="B42" t="s">
        <v>224</v>
      </c>
      <c r="C42" t="s">
        <v>225</v>
      </c>
      <c r="D42">
        <v>9</v>
      </c>
      <c r="E42" s="2">
        <f>IF(D42&gt;0,VLOOKUP(D42,SurveyTripLengthsAndPassBy!D$3:F$15,3),0)+1</f>
        <v>0.37833111107752604</v>
      </c>
      <c r="F42" s="2">
        <v>0.9</v>
      </c>
      <c r="G42" s="2">
        <f t="shared" si="4"/>
        <v>0.4404979999697734</v>
      </c>
      <c r="H42" s="2">
        <f t="shared" si="5"/>
        <v>0.4404979999697734</v>
      </c>
      <c r="I42" s="164"/>
      <c r="J42" s="2">
        <f>1-IF(I42&gt;0,VLOOKUP(I42,SurveyTripLengthsAndPassBy!D$3:H$15,5),0)</f>
        <v>1</v>
      </c>
    </row>
    <row r="43" spans="1:10" x14ac:dyDescent="0.25">
      <c r="A43">
        <v>491</v>
      </c>
      <c r="B43" t="s">
        <v>217</v>
      </c>
      <c r="C43" t="s">
        <v>225</v>
      </c>
      <c r="D43">
        <v>9</v>
      </c>
      <c r="E43" s="2">
        <f>IF(D43&gt;0,VLOOKUP(D43,SurveyTripLengthsAndPassBy!D$3:F$15,3),0)+1</f>
        <v>0.37833111107752604</v>
      </c>
      <c r="F43" s="2">
        <v>0.9</v>
      </c>
      <c r="G43" s="2">
        <f t="shared" si="4"/>
        <v>0.4404979999697734</v>
      </c>
      <c r="H43" s="2">
        <f t="shared" si="5"/>
        <v>0.4404979999697734</v>
      </c>
      <c r="I43" s="164"/>
      <c r="J43" s="2">
        <f>1-IF(I43&gt;0,VLOOKUP(I43,SurveyTripLengthsAndPassBy!D$3:H$15,5),0)</f>
        <v>1</v>
      </c>
    </row>
    <row r="44" spans="1:10" x14ac:dyDescent="0.25">
      <c r="A44">
        <v>492</v>
      </c>
      <c r="B44" t="s">
        <v>220</v>
      </c>
      <c r="C44" t="s">
        <v>110</v>
      </c>
      <c r="D44">
        <v>9</v>
      </c>
      <c r="E44" s="2">
        <f>IF(D44&gt;0,VLOOKUP(D44,SurveyTripLengthsAndPassBy!D$3:F$15,3),0)+1</f>
        <v>0.37833111107752604</v>
      </c>
      <c r="F44" s="2">
        <v>0.9</v>
      </c>
      <c r="G44" s="2">
        <f t="shared" si="4"/>
        <v>0.4404979999697734</v>
      </c>
      <c r="H44" s="2">
        <f t="shared" si="5"/>
        <v>0.4404979999697734</v>
      </c>
      <c r="I44" s="164"/>
      <c r="J44" s="2">
        <f>1-IF(I44&gt;0,VLOOKUP(I44,SurveyTripLengthsAndPassBy!D$3:H$15,5),0)</f>
        <v>1</v>
      </c>
    </row>
    <row r="45" spans="1:10" x14ac:dyDescent="0.25">
      <c r="A45">
        <v>495</v>
      </c>
      <c r="B45" t="s">
        <v>228</v>
      </c>
      <c r="C45" t="s">
        <v>110</v>
      </c>
      <c r="D45">
        <v>9</v>
      </c>
      <c r="E45" s="2">
        <f>IF(D45&gt;0,VLOOKUP(D45,SurveyTripLengthsAndPassBy!D$3:F$15,3),0)+1</f>
        <v>0.37833111107752604</v>
      </c>
      <c r="F45" s="2">
        <v>0.9</v>
      </c>
      <c r="G45" s="2">
        <f t="shared" si="4"/>
        <v>0.4404979999697734</v>
      </c>
      <c r="H45" s="2">
        <f t="shared" si="5"/>
        <v>0.4404979999697734</v>
      </c>
      <c r="I45" s="164"/>
      <c r="J45" s="2">
        <f>1-IF(I45&gt;0,VLOOKUP(I45,SurveyTripLengthsAndPassBy!D$3:H$15,5),0)</f>
        <v>1</v>
      </c>
    </row>
    <row r="46" spans="1:10" x14ac:dyDescent="0.25">
      <c r="A46" t="s">
        <v>223</v>
      </c>
      <c r="H46" s="2"/>
      <c r="I46" s="164"/>
      <c r="J46" s="2"/>
    </row>
    <row r="47" spans="1:10" x14ac:dyDescent="0.25">
      <c r="A47">
        <v>520</v>
      </c>
      <c r="B47" t="s">
        <v>231</v>
      </c>
      <c r="C47" t="s">
        <v>232</v>
      </c>
      <c r="E47" s="2">
        <f>IF(D47&gt;0,VLOOKUP(D47,SurveyTripLengthsAndPassBy!D$3:F$15,3),0)+1</f>
        <v>1</v>
      </c>
      <c r="F47" s="2">
        <v>0.5</v>
      </c>
      <c r="G47" s="2">
        <f t="shared" ref="G47:G55" si="6">(1-F47)+E47*F47</f>
        <v>1</v>
      </c>
      <c r="H47" s="2">
        <f t="shared" ref="H47:H55" si="7">G47</f>
        <v>1</v>
      </c>
      <c r="I47" s="164"/>
      <c r="J47" s="2">
        <f>1-IF(I47&gt;0,VLOOKUP(I47,SurveyTripLengthsAndPassBy!D$3:H$15,5),0)</f>
        <v>1</v>
      </c>
    </row>
    <row r="48" spans="1:10" x14ac:dyDescent="0.25">
      <c r="A48">
        <v>530</v>
      </c>
      <c r="B48" t="s">
        <v>235</v>
      </c>
      <c r="C48" t="s">
        <v>232</v>
      </c>
      <c r="E48" s="2">
        <f>IF(D48&gt;0,VLOOKUP(D48,SurveyTripLengthsAndPassBy!D$3:F$15,3),0)+1</f>
        <v>1</v>
      </c>
      <c r="F48" s="2">
        <v>0.5</v>
      </c>
      <c r="G48" s="2">
        <f t="shared" si="6"/>
        <v>1</v>
      </c>
      <c r="H48" s="2">
        <f t="shared" si="7"/>
        <v>1</v>
      </c>
      <c r="I48" s="164"/>
      <c r="J48" s="2">
        <f>1-IF(I48&gt;0,VLOOKUP(I48,SurveyTripLengthsAndPassBy!D$3:H$15,5),0)</f>
        <v>1</v>
      </c>
    </row>
    <row r="49" spans="1:10" x14ac:dyDescent="0.25">
      <c r="A49">
        <v>534</v>
      </c>
      <c r="B49" t="s">
        <v>238</v>
      </c>
      <c r="C49" t="s">
        <v>232</v>
      </c>
      <c r="D49">
        <v>3</v>
      </c>
      <c r="E49" s="2">
        <f>IF(D49&gt;0,VLOOKUP(D49,SurveyTripLengthsAndPassBy!D$3:F$15,3),0)+1</f>
        <v>0.46047296885427769</v>
      </c>
      <c r="F49" s="2">
        <v>0.9</v>
      </c>
      <c r="G49" s="2">
        <f t="shared" si="6"/>
        <v>0.51442567196884992</v>
      </c>
      <c r="H49" s="2">
        <f t="shared" si="7"/>
        <v>0.51442567196884992</v>
      </c>
      <c r="I49" s="164"/>
      <c r="J49" s="2">
        <f>1-IF(I49&gt;0,VLOOKUP(I49,SurveyTripLengthsAndPassBy!D$3:H$15,5),0)</f>
        <v>1</v>
      </c>
    </row>
    <row r="50" spans="1:10" x14ac:dyDescent="0.25">
      <c r="A50">
        <v>536</v>
      </c>
      <c r="B50" t="s">
        <v>241</v>
      </c>
      <c r="C50" t="s">
        <v>232</v>
      </c>
      <c r="D50">
        <v>3</v>
      </c>
      <c r="E50" s="2">
        <f>IF(D50&gt;0,VLOOKUP(D50,SurveyTripLengthsAndPassBy!D$3:F$15,3),0)+1</f>
        <v>0.46047296885427769</v>
      </c>
      <c r="F50" s="2">
        <v>0.9</v>
      </c>
      <c r="G50" s="2">
        <f t="shared" si="6"/>
        <v>0.51442567196884992</v>
      </c>
      <c r="H50" s="2">
        <f t="shared" si="7"/>
        <v>0.51442567196884992</v>
      </c>
      <c r="I50" s="164"/>
      <c r="J50" s="2">
        <f>1-IF(I50&gt;0,VLOOKUP(I50,SurveyTripLengthsAndPassBy!D$3:H$15,5),0)</f>
        <v>1</v>
      </c>
    </row>
    <row r="51" spans="1:10" x14ac:dyDescent="0.25">
      <c r="A51">
        <v>537</v>
      </c>
      <c r="B51" t="s">
        <v>243</v>
      </c>
      <c r="C51" t="s">
        <v>232</v>
      </c>
      <c r="E51" s="2">
        <f>IF(D51&gt;0,VLOOKUP(D51,SurveyTripLengthsAndPassBy!D$3:F$15,3),0)+1</f>
        <v>1</v>
      </c>
      <c r="F51" s="2">
        <v>0.5</v>
      </c>
      <c r="G51" s="2">
        <f t="shared" si="6"/>
        <v>1</v>
      </c>
      <c r="H51" s="2">
        <f t="shared" si="7"/>
        <v>1</v>
      </c>
      <c r="I51" s="164"/>
      <c r="J51" s="2">
        <f>1-IF(I51&gt;0,VLOOKUP(I51,SurveyTripLengthsAndPassBy!D$3:H$15,5),0)</f>
        <v>1</v>
      </c>
    </row>
    <row r="52" spans="1:10" x14ac:dyDescent="0.25">
      <c r="A52">
        <v>540</v>
      </c>
      <c r="B52" t="s">
        <v>246</v>
      </c>
      <c r="C52" t="s">
        <v>232</v>
      </c>
      <c r="D52">
        <v>3</v>
      </c>
      <c r="E52" s="2">
        <f>IF(D52&gt;0,VLOOKUP(D52,SurveyTripLengthsAndPassBy!D$3:F$15,3),0)+1</f>
        <v>0.46047296885427769</v>
      </c>
      <c r="F52" s="2">
        <v>0.9</v>
      </c>
      <c r="G52" s="2">
        <f t="shared" si="6"/>
        <v>0.51442567196884992</v>
      </c>
      <c r="H52" s="2">
        <f t="shared" si="7"/>
        <v>0.51442567196884992</v>
      </c>
      <c r="I52" s="164"/>
      <c r="J52" s="2">
        <f>1-IF(I52&gt;0,VLOOKUP(I52,SurveyTripLengthsAndPassBy!D$3:H$15,5),0)</f>
        <v>1</v>
      </c>
    </row>
    <row r="53" spans="1:10" x14ac:dyDescent="0.25">
      <c r="A53">
        <v>550</v>
      </c>
      <c r="B53" t="s">
        <v>249</v>
      </c>
      <c r="C53" t="s">
        <v>232</v>
      </c>
      <c r="D53">
        <v>3</v>
      </c>
      <c r="E53" s="2">
        <f>IF(D53&gt;0,VLOOKUP(D53,SurveyTripLengthsAndPassBy!D$3:F$15,3),0)+1</f>
        <v>0.46047296885427769</v>
      </c>
      <c r="F53" s="2">
        <v>0.9</v>
      </c>
      <c r="G53" s="2">
        <f t="shared" si="6"/>
        <v>0.51442567196884992</v>
      </c>
      <c r="H53" s="2">
        <f t="shared" si="7"/>
        <v>0.51442567196884992</v>
      </c>
      <c r="I53" s="164"/>
      <c r="J53" s="2">
        <f>1-IF(I53&gt;0,VLOOKUP(I53,SurveyTripLengthsAndPassBy!D$3:H$15,5),0)</f>
        <v>1</v>
      </c>
    </row>
    <row r="54" spans="1:10" x14ac:dyDescent="0.25">
      <c r="A54">
        <v>560</v>
      </c>
      <c r="B54" t="s">
        <v>252</v>
      </c>
      <c r="C54" t="s">
        <v>110</v>
      </c>
      <c r="D54">
        <v>12</v>
      </c>
      <c r="E54" s="2">
        <f>IF(D54&gt;0,VLOOKUP(D54,SurveyTripLengthsAndPassBy!D$3:F$15,3),0)+1</f>
        <v>0.37333480096975291</v>
      </c>
      <c r="F54" s="2">
        <v>0.9</v>
      </c>
      <c r="G54" s="2">
        <f t="shared" si="6"/>
        <v>0.4360013208727776</v>
      </c>
      <c r="H54" s="2">
        <f t="shared" si="7"/>
        <v>0.4360013208727776</v>
      </c>
      <c r="I54" s="164"/>
      <c r="J54" s="2">
        <f>1-IF(I54&gt;0,VLOOKUP(I54,SurveyTripLengthsAndPassBy!D$3:H$15,5),0)</f>
        <v>1</v>
      </c>
    </row>
    <row r="55" spans="1:10" x14ac:dyDescent="0.25">
      <c r="A55">
        <v>565</v>
      </c>
      <c r="B55" t="s">
        <v>239</v>
      </c>
      <c r="C55" t="s">
        <v>110</v>
      </c>
      <c r="E55" s="2">
        <f>IF(D55&gt;0,VLOOKUP(D55,SurveyTripLengthsAndPassBy!D$3:F$15,3),0)+1</f>
        <v>1</v>
      </c>
      <c r="F55" s="2">
        <v>0.5</v>
      </c>
      <c r="G55" s="2">
        <f t="shared" si="6"/>
        <v>1</v>
      </c>
      <c r="H55" s="2">
        <f t="shared" si="7"/>
        <v>1</v>
      </c>
      <c r="I55" s="164"/>
      <c r="J55" s="2">
        <f>1-IF(I55&gt;0,VLOOKUP(I55,SurveyTripLengthsAndPassBy!D$3:H$15,5),0)</f>
        <v>1</v>
      </c>
    </row>
    <row r="56" spans="1:10" x14ac:dyDescent="0.25">
      <c r="A56" t="s">
        <v>242</v>
      </c>
      <c r="H56" s="2"/>
      <c r="I56" s="164"/>
      <c r="J56" s="2"/>
    </row>
    <row r="57" spans="1:10" x14ac:dyDescent="0.25">
      <c r="A57">
        <v>610</v>
      </c>
      <c r="B57" t="s">
        <v>244</v>
      </c>
      <c r="C57" t="s">
        <v>110</v>
      </c>
      <c r="E57" s="2">
        <f>IF(D57&gt;0,VLOOKUP(D57,SurveyTripLengthsAndPassBy!D$3:F$15,3),0)+1</f>
        <v>1</v>
      </c>
      <c r="F57" s="2">
        <v>0.9</v>
      </c>
      <c r="G57" s="2">
        <f>(1-F57)+E57*F57</f>
        <v>1</v>
      </c>
      <c r="H57" s="2">
        <f>G57</f>
        <v>1</v>
      </c>
      <c r="I57" s="164"/>
      <c r="J57" s="2">
        <f>1-IF(I57&gt;0,VLOOKUP(I57,SurveyTripLengthsAndPassBy!D$3:H$15,5),0)</f>
        <v>1</v>
      </c>
    </row>
    <row r="58" spans="1:10" x14ac:dyDescent="0.25">
      <c r="A58">
        <v>620</v>
      </c>
      <c r="B58" t="s">
        <v>247</v>
      </c>
      <c r="C58" t="s">
        <v>191</v>
      </c>
      <c r="E58" s="2">
        <f>IF(D58&gt;0,VLOOKUP(D58,SurveyTripLengthsAndPassBy!D$3:F$15,3),0)+1</f>
        <v>1</v>
      </c>
      <c r="F58" s="2">
        <v>0.9</v>
      </c>
      <c r="G58" s="2">
        <f>(1-F58)+E58*F58</f>
        <v>1</v>
      </c>
      <c r="H58" s="2">
        <f>G58</f>
        <v>1</v>
      </c>
      <c r="I58" s="164"/>
      <c r="J58" s="2">
        <f>1-IF(I58&gt;0,VLOOKUP(I58,SurveyTripLengthsAndPassBy!D$3:H$15,5),0)</f>
        <v>1</v>
      </c>
    </row>
    <row r="59" spans="1:10" x14ac:dyDescent="0.25">
      <c r="A59">
        <v>630</v>
      </c>
      <c r="B59" t="s">
        <v>250</v>
      </c>
      <c r="C59" t="s">
        <v>110</v>
      </c>
      <c r="D59">
        <v>7</v>
      </c>
      <c r="E59" s="2">
        <f>IF(D59&gt;0,VLOOKUP(D59,SurveyTripLengthsAndPassBy!D$3:F$15,3),0)+1</f>
        <v>0.31625407464565269</v>
      </c>
      <c r="F59" s="2">
        <v>0.9</v>
      </c>
      <c r="G59" s="2">
        <f>(1-F59)+E59*F59</f>
        <v>0.3846286671810874</v>
      </c>
      <c r="H59" s="2">
        <f>G59</f>
        <v>0.3846286671810874</v>
      </c>
      <c r="I59" s="164"/>
      <c r="J59" s="2">
        <f>1-IF(I59&gt;0,VLOOKUP(I59,SurveyTripLengthsAndPassBy!D$3:H$15,5),0)</f>
        <v>1</v>
      </c>
    </row>
    <row r="60" spans="1:10" x14ac:dyDescent="0.25">
      <c r="A60">
        <v>640</v>
      </c>
      <c r="B60" t="s">
        <v>261</v>
      </c>
      <c r="C60" t="s">
        <v>110</v>
      </c>
      <c r="D60">
        <v>7</v>
      </c>
      <c r="E60" s="2">
        <f>IF(D60&gt;0,VLOOKUP(D60,SurveyTripLengthsAndPassBy!D$3:F$15,3),0)+1</f>
        <v>0.31625407464565269</v>
      </c>
      <c r="F60" s="2">
        <v>0.9</v>
      </c>
      <c r="G60" s="2">
        <f>(1-F60)+E60*F60</f>
        <v>0.3846286671810874</v>
      </c>
      <c r="H60" s="2">
        <f>G60</f>
        <v>0.3846286671810874</v>
      </c>
      <c r="I60" s="164"/>
      <c r="J60" s="2">
        <f>1-IF(I60&gt;0,VLOOKUP(I60,SurveyTripLengthsAndPassBy!D$3:H$15,5),0)</f>
        <v>1</v>
      </c>
    </row>
    <row r="61" spans="1:10" x14ac:dyDescent="0.25">
      <c r="A61">
        <v>650</v>
      </c>
      <c r="B61" t="s">
        <v>264</v>
      </c>
      <c r="C61" t="s">
        <v>110</v>
      </c>
      <c r="D61">
        <v>7</v>
      </c>
      <c r="E61" s="2">
        <f>IF(D61&gt;0,VLOOKUP(D61,SurveyTripLengthsAndPassBy!D$3:F$15,3),0)+1</f>
        <v>0.31625407464565269</v>
      </c>
      <c r="F61" s="2">
        <v>0.9</v>
      </c>
      <c r="G61" s="2">
        <f>(1-F61)+E61*F61</f>
        <v>0.3846286671810874</v>
      </c>
      <c r="H61" s="2">
        <f>G61</f>
        <v>0.3846286671810874</v>
      </c>
      <c r="I61" s="164"/>
      <c r="J61" s="2">
        <f>1-IF(I61&gt;0,VLOOKUP(I61,SurveyTripLengthsAndPassBy!D$3:H$15,5),0)</f>
        <v>1</v>
      </c>
    </row>
    <row r="62" spans="1:10" x14ac:dyDescent="0.25">
      <c r="A62" t="s">
        <v>253</v>
      </c>
      <c r="H62" s="2"/>
      <c r="I62" s="164"/>
      <c r="J62" s="2"/>
    </row>
    <row r="63" spans="1:10" x14ac:dyDescent="0.25">
      <c r="A63">
        <v>710</v>
      </c>
      <c r="B63" t="s">
        <v>268</v>
      </c>
      <c r="C63" t="s">
        <v>110</v>
      </c>
      <c r="D63">
        <v>1</v>
      </c>
      <c r="E63" s="2">
        <f>IF(D63&gt;0,VLOOKUP(D63,SurveyTripLengthsAndPassBy!D$3:F$15,3),0)+1</f>
        <v>1.6418728351264782</v>
      </c>
      <c r="F63" s="2">
        <v>0.5</v>
      </c>
      <c r="G63" s="2">
        <f t="shared" ref="G63:G82" si="8">(1-F63)+E63*F63</f>
        <v>1.3209364175632392</v>
      </c>
      <c r="H63" s="2">
        <f t="shared" ref="H63:H82" si="9">G63</f>
        <v>1.3209364175632392</v>
      </c>
      <c r="I63" s="164"/>
      <c r="J63" s="2">
        <f>1-IF(I63&gt;0,VLOOKUP(I63,SurveyTripLengthsAndPassBy!D$3:H$15,5),0)</f>
        <v>1</v>
      </c>
    </row>
    <row r="64" spans="1:10" x14ac:dyDescent="0.25">
      <c r="A64">
        <v>710</v>
      </c>
      <c r="B64" t="s">
        <v>271</v>
      </c>
      <c r="C64" t="s">
        <v>110</v>
      </c>
      <c r="D64">
        <v>1</v>
      </c>
      <c r="E64" s="2">
        <f>IF(D64&gt;0,VLOOKUP(D64,SurveyTripLengthsAndPassBy!D$3:F$15,3),0)+1</f>
        <v>1.6418728351264782</v>
      </c>
      <c r="F64" s="2">
        <v>0.5</v>
      </c>
      <c r="G64" s="2">
        <f t="shared" si="8"/>
        <v>1.3209364175632392</v>
      </c>
      <c r="H64" s="2">
        <f t="shared" si="9"/>
        <v>1.3209364175632392</v>
      </c>
      <c r="I64" s="164"/>
      <c r="J64" s="2">
        <f>1-IF(I64&gt;0,VLOOKUP(I64,SurveyTripLengthsAndPassBy!D$3:H$15,5),0)</f>
        <v>1</v>
      </c>
    </row>
    <row r="65" spans="1:10" x14ac:dyDescent="0.25">
      <c r="A65">
        <v>710</v>
      </c>
      <c r="B65" t="s">
        <v>274</v>
      </c>
      <c r="C65" t="s">
        <v>110</v>
      </c>
      <c r="D65">
        <v>1</v>
      </c>
      <c r="E65" s="2">
        <f>IF(D65&gt;0,VLOOKUP(D65,SurveyTripLengthsAndPassBy!D$3:F$15,3),0)+1</f>
        <v>1.6418728351264782</v>
      </c>
      <c r="F65" s="2">
        <v>0.5</v>
      </c>
      <c r="G65" s="2">
        <f t="shared" si="8"/>
        <v>1.3209364175632392</v>
      </c>
      <c r="H65" s="2">
        <f t="shared" si="9"/>
        <v>1.3209364175632392</v>
      </c>
      <c r="I65" s="164"/>
      <c r="J65" s="2">
        <f>1-IF(I65&gt;0,VLOOKUP(I65,SurveyTripLengthsAndPassBy!D$3:H$15,5),0)</f>
        <v>1</v>
      </c>
    </row>
    <row r="66" spans="1:10" x14ac:dyDescent="0.25">
      <c r="A66">
        <v>710</v>
      </c>
      <c r="B66" t="s">
        <v>277</v>
      </c>
      <c r="C66" t="s">
        <v>110</v>
      </c>
      <c r="D66">
        <v>1</v>
      </c>
      <c r="E66" s="2">
        <f>IF(D66&gt;0,VLOOKUP(D66,SurveyTripLengthsAndPassBy!D$3:F$15,3),0)+1</f>
        <v>1.6418728351264782</v>
      </c>
      <c r="F66" s="2">
        <v>0.5</v>
      </c>
      <c r="G66" s="2">
        <f t="shared" si="8"/>
        <v>1.3209364175632392</v>
      </c>
      <c r="H66" s="2">
        <f t="shared" si="9"/>
        <v>1.3209364175632392</v>
      </c>
      <c r="I66" s="164"/>
      <c r="J66" s="2">
        <f>1-IF(I66&gt;0,VLOOKUP(I66,SurveyTripLengthsAndPassBy!D$3:H$15,5),0)</f>
        <v>1</v>
      </c>
    </row>
    <row r="67" spans="1:10" x14ac:dyDescent="0.25">
      <c r="A67">
        <v>710</v>
      </c>
      <c r="B67" t="s">
        <v>280</v>
      </c>
      <c r="C67" t="s">
        <v>110</v>
      </c>
      <c r="D67">
        <v>1</v>
      </c>
      <c r="E67" s="2">
        <f>IF(D67&gt;0,VLOOKUP(D67,SurveyTripLengthsAndPassBy!D$3:F$15,3),0)+1</f>
        <v>1.6418728351264782</v>
      </c>
      <c r="F67" s="2">
        <v>0.5</v>
      </c>
      <c r="G67" s="2">
        <f t="shared" si="8"/>
        <v>1.3209364175632392</v>
      </c>
      <c r="H67" s="2">
        <f t="shared" si="9"/>
        <v>1.3209364175632392</v>
      </c>
      <c r="I67" s="164"/>
      <c r="J67" s="2">
        <f>1-IF(I67&gt;0,VLOOKUP(I67,SurveyTripLengthsAndPassBy!D$3:H$15,5),0)</f>
        <v>1</v>
      </c>
    </row>
    <row r="68" spans="1:10" x14ac:dyDescent="0.25">
      <c r="A68">
        <v>710</v>
      </c>
      <c r="B68" t="s">
        <v>283</v>
      </c>
      <c r="C68" t="s">
        <v>110</v>
      </c>
      <c r="D68">
        <v>1</v>
      </c>
      <c r="E68" s="2">
        <f>IF(D68&gt;0,VLOOKUP(D68,SurveyTripLengthsAndPassBy!D$3:F$15,3),0)+1</f>
        <v>1.6418728351264782</v>
      </c>
      <c r="F68" s="2">
        <v>0.5</v>
      </c>
      <c r="G68" s="2">
        <f t="shared" si="8"/>
        <v>1.3209364175632392</v>
      </c>
      <c r="H68" s="2">
        <f t="shared" si="9"/>
        <v>1.3209364175632392</v>
      </c>
      <c r="I68" s="164"/>
      <c r="J68" s="2">
        <f>1-IF(I68&gt;0,VLOOKUP(I68,SurveyTripLengthsAndPassBy!D$3:H$15,5),0)</f>
        <v>1</v>
      </c>
    </row>
    <row r="69" spans="1:10" x14ac:dyDescent="0.25">
      <c r="A69">
        <v>710</v>
      </c>
      <c r="B69" t="s">
        <v>286</v>
      </c>
      <c r="C69" t="s">
        <v>110</v>
      </c>
      <c r="D69">
        <v>1</v>
      </c>
      <c r="E69" s="2">
        <f>IF(D69&gt;0,VLOOKUP(D69,SurveyTripLengthsAndPassBy!D$3:F$15,3),0)+1</f>
        <v>1.6418728351264782</v>
      </c>
      <c r="F69" s="2">
        <v>0.5</v>
      </c>
      <c r="G69" s="2">
        <f t="shared" si="8"/>
        <v>1.3209364175632392</v>
      </c>
      <c r="H69" s="2">
        <f t="shared" si="9"/>
        <v>1.3209364175632392</v>
      </c>
      <c r="I69" s="164"/>
      <c r="J69" s="2">
        <f>1-IF(I69&gt;0,VLOOKUP(I69,SurveyTripLengthsAndPassBy!D$3:H$15,5),0)</f>
        <v>1</v>
      </c>
    </row>
    <row r="70" spans="1:10" x14ac:dyDescent="0.25">
      <c r="A70">
        <v>710</v>
      </c>
      <c r="B70" t="s">
        <v>288</v>
      </c>
      <c r="C70" t="s">
        <v>110</v>
      </c>
      <c r="D70">
        <v>1</v>
      </c>
      <c r="E70" s="2">
        <f>IF(D70&gt;0,VLOOKUP(D70,SurveyTripLengthsAndPassBy!D$3:F$15,3),0)+1</f>
        <v>1.6418728351264782</v>
      </c>
      <c r="F70" s="2">
        <v>0.5</v>
      </c>
      <c r="G70" s="2">
        <f t="shared" si="8"/>
        <v>1.3209364175632392</v>
      </c>
      <c r="H70" s="2">
        <f t="shared" si="9"/>
        <v>1.3209364175632392</v>
      </c>
      <c r="I70" s="164"/>
      <c r="J70" s="2">
        <f>1-IF(I70&gt;0,VLOOKUP(I70,SurveyTripLengthsAndPassBy!D$3:H$15,5),0)</f>
        <v>1</v>
      </c>
    </row>
    <row r="71" spans="1:10" x14ac:dyDescent="0.25">
      <c r="A71">
        <v>710</v>
      </c>
      <c r="B71" t="s">
        <v>291</v>
      </c>
      <c r="C71" t="s">
        <v>110</v>
      </c>
      <c r="D71">
        <v>1</v>
      </c>
      <c r="E71" s="2">
        <f>IF(D71&gt;0,VLOOKUP(D71,SurveyTripLengthsAndPassBy!D$3:F$15,3),0)+1</f>
        <v>1.6418728351264782</v>
      </c>
      <c r="F71" s="2">
        <v>0.5</v>
      </c>
      <c r="G71" s="2">
        <f t="shared" si="8"/>
        <v>1.3209364175632392</v>
      </c>
      <c r="H71" s="2">
        <f t="shared" si="9"/>
        <v>1.3209364175632392</v>
      </c>
      <c r="I71" s="164"/>
      <c r="J71" s="2">
        <f>1-IF(I71&gt;0,VLOOKUP(I71,SurveyTripLengthsAndPassBy!D$3:H$15,5),0)</f>
        <v>1</v>
      </c>
    </row>
    <row r="72" spans="1:10" x14ac:dyDescent="0.25">
      <c r="A72">
        <v>710</v>
      </c>
      <c r="B72" t="s">
        <v>294</v>
      </c>
      <c r="C72" t="s">
        <v>110</v>
      </c>
      <c r="D72">
        <v>1</v>
      </c>
      <c r="E72" s="2">
        <f>IF(D72&gt;0,VLOOKUP(D72,SurveyTripLengthsAndPassBy!D$3:F$15,3),0)+1</f>
        <v>1.6418728351264782</v>
      </c>
      <c r="F72" s="2">
        <v>0.5</v>
      </c>
      <c r="G72" s="2">
        <f t="shared" si="8"/>
        <v>1.3209364175632392</v>
      </c>
      <c r="H72" s="2">
        <f t="shared" si="9"/>
        <v>1.3209364175632392</v>
      </c>
      <c r="I72" s="164"/>
      <c r="J72" s="2">
        <f>1-IF(I72&gt;0,VLOOKUP(I72,SurveyTripLengthsAndPassBy!D$3:H$15,5),0)</f>
        <v>1</v>
      </c>
    </row>
    <row r="73" spans="1:10" x14ac:dyDescent="0.25">
      <c r="A73">
        <v>712</v>
      </c>
      <c r="B73" t="s">
        <v>297</v>
      </c>
      <c r="C73" t="s">
        <v>110</v>
      </c>
      <c r="D73">
        <v>1</v>
      </c>
      <c r="E73" s="2">
        <f>IF(D73&gt;0,VLOOKUP(D73,SurveyTripLengthsAndPassBy!D$3:F$15,3),0)+1</f>
        <v>1.6418728351264782</v>
      </c>
      <c r="F73" s="2">
        <v>0.5</v>
      </c>
      <c r="G73" s="2">
        <f t="shared" si="8"/>
        <v>1.3209364175632392</v>
      </c>
      <c r="H73" s="2">
        <f t="shared" si="9"/>
        <v>1.3209364175632392</v>
      </c>
      <c r="I73" s="164"/>
      <c r="J73" s="2">
        <f>1-IF(I73&gt;0,VLOOKUP(I73,SurveyTripLengthsAndPassBy!D$3:H$15,5),0)</f>
        <v>1</v>
      </c>
    </row>
    <row r="74" spans="1:10" x14ac:dyDescent="0.25">
      <c r="A74">
        <v>714</v>
      </c>
      <c r="B74" t="s">
        <v>437</v>
      </c>
      <c r="C74" t="s">
        <v>110</v>
      </c>
      <c r="D74">
        <v>1</v>
      </c>
      <c r="E74" s="2">
        <f>IF(D74&gt;0,VLOOKUP(D74,SurveyTripLengthsAndPassBy!D$3:F$15,3),0)+1</f>
        <v>1.6418728351264782</v>
      </c>
      <c r="F74" s="2">
        <v>0.5</v>
      </c>
      <c r="G74" s="2">
        <f t="shared" si="8"/>
        <v>1.3209364175632392</v>
      </c>
      <c r="H74" s="2">
        <f t="shared" si="9"/>
        <v>1.3209364175632392</v>
      </c>
      <c r="I74" s="164"/>
      <c r="J74" s="2">
        <f>1-IF(I74&gt;0,VLOOKUP(I74,SurveyTripLengthsAndPassBy!D$3:H$15,5),0)</f>
        <v>1</v>
      </c>
    </row>
    <row r="75" spans="1:10" x14ac:dyDescent="0.25">
      <c r="A75">
        <v>715</v>
      </c>
      <c r="B75" t="s">
        <v>302</v>
      </c>
      <c r="C75" t="s">
        <v>110</v>
      </c>
      <c r="D75">
        <v>1</v>
      </c>
      <c r="E75" s="2">
        <f>IF(D75&gt;0,VLOOKUP(D75,SurveyTripLengthsAndPassBy!D$3:F$15,3),0)+1</f>
        <v>1.6418728351264782</v>
      </c>
      <c r="F75" s="2">
        <v>0.5</v>
      </c>
      <c r="G75" s="2">
        <f t="shared" si="8"/>
        <v>1.3209364175632392</v>
      </c>
      <c r="H75" s="2">
        <f t="shared" si="9"/>
        <v>1.3209364175632392</v>
      </c>
      <c r="I75" s="164"/>
      <c r="J75" s="2">
        <f>1-IF(I75&gt;0,VLOOKUP(I75,SurveyTripLengthsAndPassBy!D$3:H$15,5),0)</f>
        <v>1</v>
      </c>
    </row>
    <row r="76" spans="1:10" x14ac:dyDescent="0.25">
      <c r="A76">
        <v>720</v>
      </c>
      <c r="B76" t="s">
        <v>275</v>
      </c>
      <c r="C76" t="s">
        <v>110</v>
      </c>
      <c r="D76">
        <v>7</v>
      </c>
      <c r="E76" s="2">
        <f>IF(D76&gt;0,VLOOKUP(D76,SurveyTripLengthsAndPassBy!D$3:F$15,3),0)+1</f>
        <v>0.31625407464565269</v>
      </c>
      <c r="F76" s="2">
        <v>0.9</v>
      </c>
      <c r="G76" s="2">
        <f t="shared" si="8"/>
        <v>0.3846286671810874</v>
      </c>
      <c r="H76" s="2">
        <f t="shared" si="9"/>
        <v>0.3846286671810874</v>
      </c>
      <c r="I76" s="164"/>
      <c r="J76" s="2">
        <f>1-IF(I76&gt;0,VLOOKUP(I76,SurveyTripLengthsAndPassBy!D$3:H$15,5),0)</f>
        <v>1</v>
      </c>
    </row>
    <row r="77" spans="1:10" x14ac:dyDescent="0.25">
      <c r="A77">
        <v>730</v>
      </c>
      <c r="B77" t="s">
        <v>306</v>
      </c>
      <c r="C77" t="s">
        <v>110</v>
      </c>
      <c r="D77">
        <v>1</v>
      </c>
      <c r="E77" s="2">
        <f>IF(D77&gt;0,VLOOKUP(D77,SurveyTripLengthsAndPassBy!D$3:F$15,3),0)+1</f>
        <v>1.6418728351264782</v>
      </c>
      <c r="F77" s="2">
        <v>0.5</v>
      </c>
      <c r="G77" s="2">
        <f t="shared" si="8"/>
        <v>1.3209364175632392</v>
      </c>
      <c r="H77" s="2">
        <f t="shared" si="9"/>
        <v>1.3209364175632392</v>
      </c>
      <c r="I77" s="164"/>
      <c r="J77" s="2">
        <f>1-IF(I77&gt;0,VLOOKUP(I77,SurveyTripLengthsAndPassBy!D$3:H$15,5),0)</f>
        <v>1</v>
      </c>
    </row>
    <row r="78" spans="1:10" x14ac:dyDescent="0.25">
      <c r="A78">
        <v>731</v>
      </c>
      <c r="B78" t="s">
        <v>308</v>
      </c>
      <c r="C78" t="s">
        <v>110</v>
      </c>
      <c r="D78">
        <v>7</v>
      </c>
      <c r="E78" s="2">
        <f>IF(D78&gt;0,VLOOKUP(D78,SurveyTripLengthsAndPassBy!D$3:F$15,3),0)+1</f>
        <v>0.31625407464565269</v>
      </c>
      <c r="F78" s="2">
        <v>0.9</v>
      </c>
      <c r="G78" s="2">
        <f t="shared" si="8"/>
        <v>0.3846286671810874</v>
      </c>
      <c r="H78" s="2">
        <f t="shared" si="9"/>
        <v>0.3846286671810874</v>
      </c>
      <c r="I78" s="164"/>
      <c r="J78" s="2">
        <f>1-IF(I78&gt;0,VLOOKUP(I78,SurveyTripLengthsAndPassBy!D$3:H$15,5),0)</f>
        <v>1</v>
      </c>
    </row>
    <row r="79" spans="1:10" x14ac:dyDescent="0.25">
      <c r="A79">
        <v>733</v>
      </c>
      <c r="B79" t="s">
        <v>310</v>
      </c>
      <c r="C79" t="s">
        <v>110</v>
      </c>
      <c r="D79">
        <v>1</v>
      </c>
      <c r="E79" s="2">
        <f>IF(D79&gt;0,VLOOKUP(D79,SurveyTripLengthsAndPassBy!D$3:F$15,3),0)+1</f>
        <v>1.6418728351264782</v>
      </c>
      <c r="F79" s="2">
        <v>0.5</v>
      </c>
      <c r="G79" s="2">
        <f t="shared" si="8"/>
        <v>1.3209364175632392</v>
      </c>
      <c r="H79" s="2">
        <f t="shared" si="9"/>
        <v>1.3209364175632392</v>
      </c>
      <c r="I79" s="164"/>
      <c r="J79" s="2">
        <f>1-IF(I79&gt;0,VLOOKUP(I79,SurveyTripLengthsAndPassBy!D$3:H$15,5),0)</f>
        <v>1</v>
      </c>
    </row>
    <row r="80" spans="1:10" x14ac:dyDescent="0.25">
      <c r="A80">
        <v>750</v>
      </c>
      <c r="B80" t="s">
        <v>312</v>
      </c>
      <c r="C80" t="s">
        <v>110</v>
      </c>
      <c r="D80">
        <v>1</v>
      </c>
      <c r="E80" s="2">
        <f>IF(D80&gt;0,VLOOKUP(D80,SurveyTripLengthsAndPassBy!D$3:F$15,3),0)+1</f>
        <v>1.6418728351264782</v>
      </c>
      <c r="F80" s="2">
        <v>0.5</v>
      </c>
      <c r="G80" s="2">
        <f t="shared" si="8"/>
        <v>1.3209364175632392</v>
      </c>
      <c r="H80" s="2">
        <f t="shared" si="9"/>
        <v>1.3209364175632392</v>
      </c>
      <c r="I80" s="164"/>
      <c r="J80" s="2">
        <f>1-IF(I80&gt;0,VLOOKUP(I80,SurveyTripLengthsAndPassBy!D$3:H$15,5),0)</f>
        <v>1</v>
      </c>
    </row>
    <row r="81" spans="1:10" x14ac:dyDescent="0.25">
      <c r="A81">
        <v>760</v>
      </c>
      <c r="B81" t="s">
        <v>281</v>
      </c>
      <c r="C81" t="s">
        <v>110</v>
      </c>
      <c r="D81">
        <v>1</v>
      </c>
      <c r="E81" s="2">
        <f>IF(D81&gt;0,VLOOKUP(D81,SurveyTripLengthsAndPassBy!D$3:F$15,3),0)+1</f>
        <v>1.6418728351264782</v>
      </c>
      <c r="F81" s="2">
        <v>0.5</v>
      </c>
      <c r="G81" s="2">
        <f t="shared" si="8"/>
        <v>1.3209364175632392</v>
      </c>
      <c r="H81" s="2">
        <f t="shared" si="9"/>
        <v>1.3209364175632392</v>
      </c>
      <c r="I81" s="164"/>
      <c r="J81" s="2">
        <f>1-IF(I81&gt;0,VLOOKUP(I81,SurveyTripLengthsAndPassBy!D$3:H$15,5),0)</f>
        <v>1</v>
      </c>
    </row>
    <row r="82" spans="1:10" x14ac:dyDescent="0.25">
      <c r="A82">
        <v>770</v>
      </c>
      <c r="B82" t="s">
        <v>284</v>
      </c>
      <c r="C82" t="s">
        <v>110</v>
      </c>
      <c r="D82">
        <v>1</v>
      </c>
      <c r="E82" s="2">
        <f>IF(D82&gt;0,VLOOKUP(D82,SurveyTripLengthsAndPassBy!D$3:F$15,3),0)+1</f>
        <v>1.6418728351264782</v>
      </c>
      <c r="F82" s="2">
        <v>0.5</v>
      </c>
      <c r="G82" s="2">
        <f t="shared" si="8"/>
        <v>1.3209364175632392</v>
      </c>
      <c r="H82" s="2">
        <f t="shared" si="9"/>
        <v>1.3209364175632392</v>
      </c>
      <c r="I82" s="164"/>
      <c r="J82" s="2">
        <f>1-IF(I82&gt;0,VLOOKUP(I82,SurveyTripLengthsAndPassBy!D$3:H$15,5),0)</f>
        <v>1</v>
      </c>
    </row>
    <row r="83" spans="1:10" x14ac:dyDescent="0.25">
      <c r="A83" t="s">
        <v>287</v>
      </c>
      <c r="H83" s="2"/>
      <c r="I83" s="164"/>
      <c r="J83" s="2"/>
    </row>
    <row r="84" spans="1:10" x14ac:dyDescent="0.25">
      <c r="A84">
        <v>812</v>
      </c>
      <c r="B84" t="s">
        <v>317</v>
      </c>
      <c r="C84" t="s">
        <v>110</v>
      </c>
      <c r="D84">
        <v>6</v>
      </c>
      <c r="E84" s="2">
        <f>IF(D84&gt;0,VLOOKUP(D84,SurveyTripLengthsAndPassBy!D$3:F$15,3),0)+1</f>
        <v>0.40998884594659679</v>
      </c>
      <c r="F84" s="2">
        <v>0.9</v>
      </c>
      <c r="G84" s="2">
        <f t="shared" ref="G84:G121" si="10">(1-F84)+E84*F84</f>
        <v>0.4689899613519371</v>
      </c>
      <c r="H84" s="2">
        <f t="shared" ref="H84:H121" si="11">G84</f>
        <v>0.4689899613519371</v>
      </c>
      <c r="I84" s="164"/>
      <c r="J84" s="2">
        <f>1-IF(I84&gt;0,VLOOKUP(I84,SurveyTripLengthsAndPassBy!D$3:H$15,5),0)</f>
        <v>1</v>
      </c>
    </row>
    <row r="85" spans="1:10" x14ac:dyDescent="0.25">
      <c r="A85">
        <v>813</v>
      </c>
      <c r="B85" t="s">
        <v>320</v>
      </c>
      <c r="C85" t="s">
        <v>110</v>
      </c>
      <c r="D85">
        <v>6</v>
      </c>
      <c r="E85" s="2">
        <f>IF(D85&gt;0,VLOOKUP(D85,SurveyTripLengthsAndPassBy!D$3:F$15,3),0)+1</f>
        <v>0.40998884594659679</v>
      </c>
      <c r="F85" s="2">
        <v>0.9</v>
      </c>
      <c r="G85" s="2">
        <f t="shared" si="10"/>
        <v>0.4689899613519371</v>
      </c>
      <c r="H85" s="2">
        <f t="shared" si="11"/>
        <v>0.4689899613519371</v>
      </c>
      <c r="I85" s="164"/>
      <c r="J85" s="2">
        <f>1-IF(I85&gt;0,VLOOKUP(I85,SurveyTripLengthsAndPassBy!D$3:H$15,5),0)</f>
        <v>1</v>
      </c>
    </row>
    <row r="86" spans="1:10" x14ac:dyDescent="0.25">
      <c r="A86">
        <v>816</v>
      </c>
      <c r="B86" t="s">
        <v>323</v>
      </c>
      <c r="C86" t="s">
        <v>110</v>
      </c>
      <c r="D86">
        <v>6</v>
      </c>
      <c r="E86" s="2">
        <f>IF(D86&gt;0,VLOOKUP(D86,SurveyTripLengthsAndPassBy!D$3:F$15,3),0)+1</f>
        <v>0.40998884594659679</v>
      </c>
      <c r="F86" s="2">
        <v>0.9</v>
      </c>
      <c r="G86" s="2">
        <f t="shared" si="10"/>
        <v>0.4689899613519371</v>
      </c>
      <c r="H86" s="2">
        <f t="shared" si="11"/>
        <v>0.4689899613519371</v>
      </c>
      <c r="I86" s="164"/>
      <c r="J86" s="2">
        <f>1-IF(I86&gt;0,VLOOKUP(I86,SurveyTripLengthsAndPassBy!D$3:H$15,5),0)</f>
        <v>1</v>
      </c>
    </row>
    <row r="87" spans="1:10" x14ac:dyDescent="0.25">
      <c r="A87">
        <v>817</v>
      </c>
      <c r="B87" t="s">
        <v>325</v>
      </c>
      <c r="C87" t="s">
        <v>110</v>
      </c>
      <c r="D87">
        <v>6</v>
      </c>
      <c r="E87" s="2">
        <f>IF(D87&gt;0,VLOOKUP(D87,SurveyTripLengthsAndPassBy!D$3:F$15,3),0)+1</f>
        <v>0.40998884594659679</v>
      </c>
      <c r="F87" s="2">
        <v>0.9</v>
      </c>
      <c r="G87" s="2">
        <f t="shared" si="10"/>
        <v>0.4689899613519371</v>
      </c>
      <c r="H87" s="2">
        <f t="shared" si="11"/>
        <v>0.4689899613519371</v>
      </c>
      <c r="I87" s="164"/>
      <c r="J87" s="2">
        <f>1-IF(I87&gt;0,VLOOKUP(I87,SurveyTripLengthsAndPassBy!D$3:H$15,5),0)</f>
        <v>1</v>
      </c>
    </row>
    <row r="88" spans="1:10" x14ac:dyDescent="0.25">
      <c r="A88">
        <v>820</v>
      </c>
      <c r="B88" t="s">
        <v>328</v>
      </c>
      <c r="C88" t="s">
        <v>110</v>
      </c>
      <c r="D88">
        <v>6</v>
      </c>
      <c r="E88" s="2">
        <f>IF(D88&gt;0,VLOOKUP(D88,SurveyTripLengthsAndPassBy!D$3:F$15,3),0)+1</f>
        <v>0.40998884594659679</v>
      </c>
      <c r="F88" s="2">
        <v>0.9</v>
      </c>
      <c r="G88" s="2">
        <f t="shared" si="10"/>
        <v>0.4689899613519371</v>
      </c>
      <c r="H88" s="2">
        <f t="shared" si="11"/>
        <v>0.4689899613519371</v>
      </c>
      <c r="I88" s="164"/>
      <c r="J88" s="2">
        <f>1-IF(I88&gt;0,VLOOKUP(I88,SurveyTripLengthsAndPassBy!D$3:H$15,5),0)</f>
        <v>1</v>
      </c>
    </row>
    <row r="89" spans="1:10" x14ac:dyDescent="0.25">
      <c r="A89">
        <v>820</v>
      </c>
      <c r="B89" t="s">
        <v>331</v>
      </c>
      <c r="C89" t="s">
        <v>110</v>
      </c>
      <c r="D89">
        <v>7</v>
      </c>
      <c r="E89" s="2">
        <f>IF(D89&gt;0,VLOOKUP(D89,SurveyTripLengthsAndPassBy!D$3:F$15,3),0)+1</f>
        <v>0.31625407464565269</v>
      </c>
      <c r="F89" s="2">
        <v>0.9</v>
      </c>
      <c r="G89" s="2">
        <f t="shared" si="10"/>
        <v>0.3846286671810874</v>
      </c>
      <c r="H89" s="2">
        <f t="shared" si="11"/>
        <v>0.3846286671810874</v>
      </c>
      <c r="I89" s="164">
        <v>7</v>
      </c>
      <c r="J89" s="2">
        <f>1-IF(I89&gt;0,VLOOKUP(I89,SurveyTripLengthsAndPassBy!D$3:H$15,5),0)</f>
        <v>0.28494260634706281</v>
      </c>
    </row>
    <row r="90" spans="1:10" x14ac:dyDescent="0.25">
      <c r="A90">
        <v>820</v>
      </c>
      <c r="B90" t="s">
        <v>334</v>
      </c>
      <c r="C90" t="s">
        <v>110</v>
      </c>
      <c r="D90">
        <v>7</v>
      </c>
      <c r="E90" s="2">
        <f>IF(D90&gt;0,VLOOKUP(D90,SurveyTripLengthsAndPassBy!D$3:F$15,3),0)+1</f>
        <v>0.31625407464565269</v>
      </c>
      <c r="F90" s="2">
        <v>0.9</v>
      </c>
      <c r="G90" s="2">
        <f t="shared" si="10"/>
        <v>0.3846286671810874</v>
      </c>
      <c r="H90" s="2">
        <f t="shared" si="11"/>
        <v>0.3846286671810874</v>
      </c>
      <c r="I90" s="164">
        <v>6</v>
      </c>
      <c r="J90" s="2">
        <f>1-IF(I90&gt;0,VLOOKUP(I90,SurveyTripLengthsAndPassBy!D$3:H$15,5),0)</f>
        <v>0.26984126984126988</v>
      </c>
    </row>
    <row r="91" spans="1:10" x14ac:dyDescent="0.25">
      <c r="A91">
        <v>820</v>
      </c>
      <c r="B91" t="s">
        <v>271</v>
      </c>
      <c r="C91" t="s">
        <v>110</v>
      </c>
      <c r="D91">
        <v>7</v>
      </c>
      <c r="E91" s="2">
        <f>IF(D91&gt;0,VLOOKUP(D91,SurveyTripLengthsAndPassBy!D$3:F$15,3),0)+1</f>
        <v>0.31625407464565269</v>
      </c>
      <c r="F91" s="2">
        <v>0.9</v>
      </c>
      <c r="G91" s="2">
        <f t="shared" si="10"/>
        <v>0.3846286671810874</v>
      </c>
      <c r="H91" s="2">
        <f t="shared" si="11"/>
        <v>0.3846286671810874</v>
      </c>
      <c r="I91" s="164">
        <v>6</v>
      </c>
      <c r="J91" s="2">
        <f>1-IF(I91&gt;0,VLOOKUP(I91,SurveyTripLengthsAndPassBy!D$3:H$15,5),0)</f>
        <v>0.26984126984126988</v>
      </c>
    </row>
    <row r="92" spans="1:10" x14ac:dyDescent="0.25">
      <c r="A92">
        <v>820</v>
      </c>
      <c r="B92" t="s">
        <v>338</v>
      </c>
      <c r="C92" t="s">
        <v>110</v>
      </c>
      <c r="D92">
        <v>6</v>
      </c>
      <c r="E92" s="2">
        <f>IF(D92&gt;0,VLOOKUP(D92,SurveyTripLengthsAndPassBy!D$3:F$15,3),0)+1</f>
        <v>0.40998884594659679</v>
      </c>
      <c r="F92" s="2">
        <v>0.9</v>
      </c>
      <c r="G92" s="2">
        <f t="shared" si="10"/>
        <v>0.4689899613519371</v>
      </c>
      <c r="H92" s="2">
        <f t="shared" si="11"/>
        <v>0.4689899613519371</v>
      </c>
      <c r="I92" s="164"/>
      <c r="J92" s="2">
        <f>1-IF(I92&gt;0,VLOOKUP(I92,SurveyTripLengthsAndPassBy!D$3:H$15,5),0)</f>
        <v>1</v>
      </c>
    </row>
    <row r="93" spans="1:10" x14ac:dyDescent="0.25">
      <c r="A93">
        <v>820</v>
      </c>
      <c r="B93" t="s">
        <v>280</v>
      </c>
      <c r="C93" t="s">
        <v>110</v>
      </c>
      <c r="D93">
        <v>6</v>
      </c>
      <c r="E93" s="2">
        <f>IF(D93&gt;0,VLOOKUP(D93,SurveyTripLengthsAndPassBy!D$3:F$15,3),0)+1</f>
        <v>0.40998884594659679</v>
      </c>
      <c r="F93" s="2">
        <v>0.9</v>
      </c>
      <c r="G93" s="2">
        <f t="shared" si="10"/>
        <v>0.4689899613519371</v>
      </c>
      <c r="H93" s="2">
        <f t="shared" si="11"/>
        <v>0.4689899613519371</v>
      </c>
      <c r="I93" s="164"/>
      <c r="J93" s="2">
        <f>1-IF(I93&gt;0,VLOOKUP(I93,SurveyTripLengthsAndPassBy!D$3:H$15,5),0)</f>
        <v>1</v>
      </c>
    </row>
    <row r="94" spans="1:10" x14ac:dyDescent="0.25">
      <c r="A94">
        <v>820</v>
      </c>
      <c r="B94" t="s">
        <v>283</v>
      </c>
      <c r="C94" t="s">
        <v>110</v>
      </c>
      <c r="D94">
        <v>6</v>
      </c>
      <c r="E94" s="2">
        <f>IF(D94&gt;0,VLOOKUP(D94,SurveyTripLengthsAndPassBy!D$3:F$15,3),0)+1</f>
        <v>0.40998884594659679</v>
      </c>
      <c r="F94" s="2">
        <v>0.9</v>
      </c>
      <c r="G94" s="2">
        <f t="shared" si="10"/>
        <v>0.4689899613519371</v>
      </c>
      <c r="H94" s="2">
        <f t="shared" si="11"/>
        <v>0.4689899613519371</v>
      </c>
      <c r="I94" s="164"/>
      <c r="J94" s="2">
        <f>1-IF(I94&gt;0,VLOOKUP(I94,SurveyTripLengthsAndPassBy!D$3:H$15,5),0)</f>
        <v>1</v>
      </c>
    </row>
    <row r="95" spans="1:10" x14ac:dyDescent="0.25">
      <c r="A95">
        <v>820</v>
      </c>
      <c r="B95" t="s">
        <v>286</v>
      </c>
      <c r="C95" t="s">
        <v>110</v>
      </c>
      <c r="D95">
        <v>6</v>
      </c>
      <c r="E95" s="2">
        <f>IF(D95&gt;0,VLOOKUP(D95,SurveyTripLengthsAndPassBy!D$3:F$15,3),0)+1</f>
        <v>0.40998884594659679</v>
      </c>
      <c r="F95" s="2">
        <v>0.9</v>
      </c>
      <c r="G95" s="2">
        <f t="shared" si="10"/>
        <v>0.4689899613519371</v>
      </c>
      <c r="H95" s="2">
        <f t="shared" si="11"/>
        <v>0.4689899613519371</v>
      </c>
      <c r="I95" s="164"/>
      <c r="J95" s="2">
        <f>1-IF(I95&gt;0,VLOOKUP(I95,SurveyTripLengthsAndPassBy!D$3:H$15,5),0)</f>
        <v>1</v>
      </c>
    </row>
    <row r="96" spans="1:10" x14ac:dyDescent="0.25">
      <c r="A96">
        <v>820</v>
      </c>
      <c r="B96" t="s">
        <v>288</v>
      </c>
      <c r="C96" t="s">
        <v>110</v>
      </c>
      <c r="D96">
        <v>6</v>
      </c>
      <c r="E96" s="2">
        <f>IF(D96&gt;0,VLOOKUP(D96,SurveyTripLengthsAndPassBy!D$3:F$15,3),0)+1</f>
        <v>0.40998884594659679</v>
      </c>
      <c r="F96" s="2">
        <v>0.9</v>
      </c>
      <c r="G96" s="2">
        <f t="shared" si="10"/>
        <v>0.4689899613519371</v>
      </c>
      <c r="H96" s="2">
        <f t="shared" si="11"/>
        <v>0.4689899613519371</v>
      </c>
      <c r="I96" s="164"/>
      <c r="J96" s="2">
        <f>1-IF(I96&gt;0,VLOOKUP(I96,SurveyTripLengthsAndPassBy!D$3:H$15,5),0)</f>
        <v>1</v>
      </c>
    </row>
    <row r="97" spans="1:10" x14ac:dyDescent="0.25">
      <c r="A97">
        <v>820</v>
      </c>
      <c r="B97" t="s">
        <v>349</v>
      </c>
      <c r="C97" t="s">
        <v>110</v>
      </c>
      <c r="D97">
        <v>6</v>
      </c>
      <c r="E97" s="2">
        <f>IF(D97&gt;0,VLOOKUP(D97,SurveyTripLengthsAndPassBy!D$3:F$15,3),0)+1</f>
        <v>0.40998884594659679</v>
      </c>
      <c r="F97" s="2">
        <v>0.9</v>
      </c>
      <c r="G97" s="2">
        <f t="shared" si="10"/>
        <v>0.4689899613519371</v>
      </c>
      <c r="H97" s="2">
        <f t="shared" si="11"/>
        <v>0.4689899613519371</v>
      </c>
      <c r="I97" s="164"/>
      <c r="J97" s="2">
        <f>1-IF(I97&gt;0,VLOOKUP(I97,SurveyTripLengthsAndPassBy!D$3:H$15,5),0)</f>
        <v>1</v>
      </c>
    </row>
    <row r="98" spans="1:10" x14ac:dyDescent="0.25">
      <c r="A98">
        <v>820</v>
      </c>
      <c r="B98" t="s">
        <v>352</v>
      </c>
      <c r="C98" t="s">
        <v>110</v>
      </c>
      <c r="D98">
        <v>6</v>
      </c>
      <c r="E98" s="2">
        <f>IF(D98&gt;0,VLOOKUP(D98,SurveyTripLengthsAndPassBy!D$3:F$15,3),0)+1</f>
        <v>0.40998884594659679</v>
      </c>
      <c r="F98" s="2">
        <v>0.9</v>
      </c>
      <c r="G98" s="2">
        <f t="shared" si="10"/>
        <v>0.4689899613519371</v>
      </c>
      <c r="H98" s="2">
        <f t="shared" si="11"/>
        <v>0.4689899613519371</v>
      </c>
      <c r="I98" s="164"/>
      <c r="J98" s="2">
        <f>1-IF(I98&gt;0,VLOOKUP(I98,SurveyTripLengthsAndPassBy!D$3:H$15,5),0)</f>
        <v>1</v>
      </c>
    </row>
    <row r="99" spans="1:10" x14ac:dyDescent="0.25">
      <c r="A99">
        <v>820</v>
      </c>
      <c r="B99" t="s">
        <v>354</v>
      </c>
      <c r="C99" t="s">
        <v>110</v>
      </c>
      <c r="D99">
        <v>6</v>
      </c>
      <c r="E99" s="2">
        <f>IF(D99&gt;0,VLOOKUP(D99,SurveyTripLengthsAndPassBy!D$3:F$15,3),0)+1</f>
        <v>0.40998884594659679</v>
      </c>
      <c r="F99" s="2">
        <v>0.9</v>
      </c>
      <c r="G99" s="2">
        <f t="shared" si="10"/>
        <v>0.4689899613519371</v>
      </c>
      <c r="H99" s="2">
        <f t="shared" si="11"/>
        <v>0.4689899613519371</v>
      </c>
      <c r="I99" s="164"/>
      <c r="J99" s="2">
        <f>1-IF(I99&gt;0,VLOOKUP(I99,SurveyTripLengthsAndPassBy!D$3:H$15,5),0)</f>
        <v>1</v>
      </c>
    </row>
    <row r="100" spans="1:10" x14ac:dyDescent="0.25">
      <c r="A100">
        <v>820</v>
      </c>
      <c r="B100" t="s">
        <v>357</v>
      </c>
      <c r="C100" t="s">
        <v>110</v>
      </c>
      <c r="D100">
        <v>6</v>
      </c>
      <c r="E100" s="2">
        <f>IF(D100&gt;0,VLOOKUP(D100,SurveyTripLengthsAndPassBy!D$3:F$15,3),0)+1</f>
        <v>0.40998884594659679</v>
      </c>
      <c r="F100" s="2">
        <v>0.9</v>
      </c>
      <c r="G100" s="2">
        <f t="shared" si="10"/>
        <v>0.4689899613519371</v>
      </c>
      <c r="H100" s="2">
        <f t="shared" si="11"/>
        <v>0.4689899613519371</v>
      </c>
      <c r="I100" s="164"/>
      <c r="J100" s="2">
        <f>1-IF(I100&gt;0,VLOOKUP(I100,SurveyTripLengthsAndPassBy!D$3:H$15,5),0)</f>
        <v>1</v>
      </c>
    </row>
    <row r="101" spans="1:10" x14ac:dyDescent="0.25">
      <c r="A101">
        <v>823</v>
      </c>
      <c r="B101" t="s">
        <v>360</v>
      </c>
      <c r="C101" t="s">
        <v>110</v>
      </c>
      <c r="D101">
        <v>6</v>
      </c>
      <c r="E101" s="2">
        <f>IF(D101&gt;0,VLOOKUP(D101,SurveyTripLengthsAndPassBy!D$3:F$15,3),0)+1</f>
        <v>0.40998884594659679</v>
      </c>
      <c r="F101" s="2">
        <v>0.9</v>
      </c>
      <c r="G101" s="2">
        <f t="shared" si="10"/>
        <v>0.4689899613519371</v>
      </c>
      <c r="H101" s="2">
        <f t="shared" si="11"/>
        <v>0.4689899613519371</v>
      </c>
      <c r="I101" s="164"/>
      <c r="J101" s="2">
        <f>1-IF(I101&gt;0,VLOOKUP(I101,SurveyTripLengthsAndPassBy!D$3:H$15,5),0)</f>
        <v>1</v>
      </c>
    </row>
    <row r="102" spans="1:10" x14ac:dyDescent="0.25">
      <c r="A102">
        <v>840</v>
      </c>
      <c r="B102" t="s">
        <v>363</v>
      </c>
      <c r="C102" t="s">
        <v>110</v>
      </c>
      <c r="D102">
        <v>6</v>
      </c>
      <c r="E102" s="2">
        <f>IF(D102&gt;0,VLOOKUP(D102,SurveyTripLengthsAndPassBy!D$3:F$15,3),0)+1</f>
        <v>0.40998884594659679</v>
      </c>
      <c r="F102" s="2">
        <v>0.9</v>
      </c>
      <c r="G102" s="2">
        <f t="shared" si="10"/>
        <v>0.4689899613519371</v>
      </c>
      <c r="H102" s="2">
        <f t="shared" si="11"/>
        <v>0.4689899613519371</v>
      </c>
      <c r="I102" s="164"/>
      <c r="J102" s="2">
        <f>1-IF(I102&gt;0,VLOOKUP(I102,SurveyTripLengthsAndPassBy!D$3:H$15,5),0)</f>
        <v>1</v>
      </c>
    </row>
    <row r="103" spans="1:10" x14ac:dyDescent="0.25">
      <c r="A103">
        <v>843</v>
      </c>
      <c r="B103" t="s">
        <v>438</v>
      </c>
      <c r="C103" t="s">
        <v>110</v>
      </c>
      <c r="D103">
        <v>6</v>
      </c>
      <c r="E103" s="2">
        <f>IF(D103&gt;0,VLOOKUP(D103,SurveyTripLengthsAndPassBy!D$3:F$15,3),0)+1</f>
        <v>0.40998884594659679</v>
      </c>
      <c r="F103" s="2">
        <v>0.9</v>
      </c>
      <c r="G103" s="2">
        <f t="shared" si="10"/>
        <v>0.4689899613519371</v>
      </c>
      <c r="H103" s="2">
        <f t="shared" si="11"/>
        <v>0.4689899613519371</v>
      </c>
      <c r="I103" s="164"/>
      <c r="J103" s="2">
        <f>1-IF(I103&gt;0,VLOOKUP(I103,SurveyTripLengthsAndPassBy!D$3:H$15,5),0)</f>
        <v>1</v>
      </c>
    </row>
    <row r="104" spans="1:10" x14ac:dyDescent="0.25">
      <c r="A104">
        <v>848</v>
      </c>
      <c r="B104" t="s">
        <v>368</v>
      </c>
      <c r="C104" t="s">
        <v>110</v>
      </c>
      <c r="D104">
        <v>6</v>
      </c>
      <c r="E104" s="2">
        <f>IF(D104&gt;0,VLOOKUP(D104,SurveyTripLengthsAndPassBy!D$3:F$15,3),0)+1</f>
        <v>0.40998884594659679</v>
      </c>
      <c r="F104" s="2">
        <v>0.9</v>
      </c>
      <c r="G104" s="2">
        <f t="shared" si="10"/>
        <v>0.4689899613519371</v>
      </c>
      <c r="H104" s="2">
        <f t="shared" si="11"/>
        <v>0.4689899613519371</v>
      </c>
      <c r="I104" s="164"/>
      <c r="J104" s="2">
        <f>1-IF(I104&gt;0,VLOOKUP(I104,SurveyTripLengthsAndPassBy!D$3:H$15,5),0)</f>
        <v>1</v>
      </c>
    </row>
    <row r="105" spans="1:10" x14ac:dyDescent="0.25">
      <c r="A105">
        <v>850</v>
      </c>
      <c r="B105" t="s">
        <v>335</v>
      </c>
      <c r="C105" t="s">
        <v>110</v>
      </c>
      <c r="D105">
        <v>7</v>
      </c>
      <c r="E105" s="2">
        <f>IF(D105&gt;0,VLOOKUP(D105,SurveyTripLengthsAndPassBy!D$3:F$15,3),0)+1</f>
        <v>0.31625407464565269</v>
      </c>
      <c r="F105" s="2">
        <v>0.9</v>
      </c>
      <c r="G105" s="2">
        <f t="shared" si="10"/>
        <v>0.3846286671810874</v>
      </c>
      <c r="H105" s="2">
        <f t="shared" si="11"/>
        <v>0.3846286671810874</v>
      </c>
      <c r="I105" s="164">
        <v>6</v>
      </c>
      <c r="J105" s="2">
        <f>1-IF(I105&gt;0,VLOOKUP(I105,SurveyTripLengthsAndPassBy!D$3:H$15,5),0)</f>
        <v>0.26984126984126988</v>
      </c>
    </row>
    <row r="106" spans="1:10" x14ac:dyDescent="0.25">
      <c r="A106">
        <v>851</v>
      </c>
      <c r="B106" t="s">
        <v>373</v>
      </c>
      <c r="C106" t="s">
        <v>110</v>
      </c>
      <c r="D106">
        <v>7</v>
      </c>
      <c r="E106" s="2">
        <f>IF(D106&gt;0,VLOOKUP(D106,SurveyTripLengthsAndPassBy!D$3:F$15,3),0)+1</f>
        <v>0.31625407464565269</v>
      </c>
      <c r="F106" s="2">
        <v>0.9</v>
      </c>
      <c r="G106" s="2">
        <f t="shared" si="10"/>
        <v>0.3846286671810874</v>
      </c>
      <c r="H106" s="2">
        <f t="shared" si="11"/>
        <v>0.3846286671810874</v>
      </c>
      <c r="I106" s="164">
        <v>7</v>
      </c>
      <c r="J106" s="2">
        <f>1-IF(I106&gt;0,VLOOKUP(I106,SurveyTripLengthsAndPassBy!D$3:H$15,5),0)</f>
        <v>0.28494260634706281</v>
      </c>
    </row>
    <row r="107" spans="1:10" x14ac:dyDescent="0.25">
      <c r="A107">
        <v>853</v>
      </c>
      <c r="B107" t="s">
        <v>376</v>
      </c>
      <c r="C107" t="s">
        <v>110</v>
      </c>
      <c r="D107">
        <v>7</v>
      </c>
      <c r="E107" s="2">
        <f>IF(D107&gt;0,VLOOKUP(D107,SurveyTripLengthsAndPassBy!D$3:F$15,3),0)+1</f>
        <v>0.31625407464565269</v>
      </c>
      <c r="F107" s="2">
        <v>0.9</v>
      </c>
      <c r="G107" s="2">
        <f t="shared" si="10"/>
        <v>0.3846286671810874</v>
      </c>
      <c r="H107" s="2">
        <f t="shared" si="11"/>
        <v>0.3846286671810874</v>
      </c>
      <c r="I107" s="164">
        <v>7</v>
      </c>
      <c r="J107" s="2">
        <f>1-IF(I107&gt;0,VLOOKUP(I107,SurveyTripLengthsAndPassBy!D$3:H$15,5),0)</f>
        <v>0.28494260634706281</v>
      </c>
    </row>
    <row r="108" spans="1:10" x14ac:dyDescent="0.25">
      <c r="A108">
        <v>857</v>
      </c>
      <c r="B108" t="s">
        <v>379</v>
      </c>
      <c r="C108" t="s">
        <v>110</v>
      </c>
      <c r="D108">
        <v>6</v>
      </c>
      <c r="E108" s="2">
        <f>IF(D108&gt;0,VLOOKUP(D108,SurveyTripLengthsAndPassBy!D$3:F$15,3),0)+1</f>
        <v>0.40998884594659679</v>
      </c>
      <c r="F108" s="2">
        <v>0.9</v>
      </c>
      <c r="G108" s="2">
        <f t="shared" si="10"/>
        <v>0.4689899613519371</v>
      </c>
      <c r="H108" s="2">
        <f t="shared" si="11"/>
        <v>0.4689899613519371</v>
      </c>
      <c r="I108" s="164"/>
      <c r="J108" s="2">
        <f>1-IF(I108&gt;0,VLOOKUP(I108,SurveyTripLengthsAndPassBy!D$3:H$15,5),0)</f>
        <v>1</v>
      </c>
    </row>
    <row r="109" spans="1:10" x14ac:dyDescent="0.25">
      <c r="A109">
        <v>861</v>
      </c>
      <c r="B109" t="s">
        <v>382</v>
      </c>
      <c r="C109" t="s">
        <v>110</v>
      </c>
      <c r="D109">
        <v>6</v>
      </c>
      <c r="E109" s="2">
        <f>IF(D109&gt;0,VLOOKUP(D109,SurveyTripLengthsAndPassBy!D$3:F$15,3),0)+1</f>
        <v>0.40998884594659679</v>
      </c>
      <c r="F109" s="2">
        <v>0.9</v>
      </c>
      <c r="G109" s="2">
        <f t="shared" si="10"/>
        <v>0.4689899613519371</v>
      </c>
      <c r="H109" s="2">
        <f t="shared" si="11"/>
        <v>0.4689899613519371</v>
      </c>
      <c r="I109" s="164"/>
      <c r="J109" s="2">
        <f>1-IF(I109&gt;0,VLOOKUP(I109,SurveyTripLengthsAndPassBy!D$3:H$15,5),0)</f>
        <v>1</v>
      </c>
    </row>
    <row r="110" spans="1:10" x14ac:dyDescent="0.25">
      <c r="A110">
        <v>862</v>
      </c>
      <c r="B110" t="s">
        <v>383</v>
      </c>
      <c r="C110" t="s">
        <v>110</v>
      </c>
      <c r="D110">
        <v>6</v>
      </c>
      <c r="E110" s="2">
        <f>IF(D110&gt;0,VLOOKUP(D110,SurveyTripLengthsAndPassBy!D$3:F$15,3),0)+1</f>
        <v>0.40998884594659679</v>
      </c>
      <c r="F110" s="2">
        <v>0.9</v>
      </c>
      <c r="G110" s="2">
        <f t="shared" si="10"/>
        <v>0.4689899613519371</v>
      </c>
      <c r="H110" s="2">
        <f t="shared" si="11"/>
        <v>0.4689899613519371</v>
      </c>
      <c r="I110" s="164"/>
      <c r="J110" s="2">
        <f>1-IF(I110&gt;0,VLOOKUP(I110,SurveyTripLengthsAndPassBy!D$3:H$15,5),0)</f>
        <v>1</v>
      </c>
    </row>
    <row r="111" spans="1:10" x14ac:dyDescent="0.25">
      <c r="A111">
        <v>863</v>
      </c>
      <c r="B111" t="s">
        <v>384</v>
      </c>
      <c r="C111" t="s">
        <v>110</v>
      </c>
      <c r="D111">
        <v>6</v>
      </c>
      <c r="E111" s="2">
        <f>IF(D111&gt;0,VLOOKUP(D111,SurveyTripLengthsAndPassBy!D$3:F$15,3),0)+1</f>
        <v>0.40998884594659679</v>
      </c>
      <c r="F111" s="2">
        <v>0.9</v>
      </c>
      <c r="G111" s="2">
        <f t="shared" si="10"/>
        <v>0.4689899613519371</v>
      </c>
      <c r="H111" s="2">
        <f t="shared" si="11"/>
        <v>0.4689899613519371</v>
      </c>
      <c r="I111" s="164"/>
      <c r="J111" s="2">
        <f>1-IF(I111&gt;0,VLOOKUP(I111,SurveyTripLengthsAndPassBy!D$3:H$15,5),0)</f>
        <v>1</v>
      </c>
    </row>
    <row r="112" spans="1:10" x14ac:dyDescent="0.25">
      <c r="A112">
        <v>868</v>
      </c>
      <c r="B112" t="s">
        <v>385</v>
      </c>
      <c r="C112" t="s">
        <v>110</v>
      </c>
      <c r="D112">
        <v>6</v>
      </c>
      <c r="E112" s="2">
        <f>IF(D112&gt;0,VLOOKUP(D112,SurveyTripLengthsAndPassBy!D$3:F$15,3),0)+1</f>
        <v>0.40998884594659679</v>
      </c>
      <c r="F112" s="2">
        <v>0.9</v>
      </c>
      <c r="G112" s="2">
        <f t="shared" si="10"/>
        <v>0.4689899613519371</v>
      </c>
      <c r="H112" s="2">
        <f t="shared" si="11"/>
        <v>0.4689899613519371</v>
      </c>
      <c r="I112" s="164"/>
      <c r="J112" s="2">
        <f>1-IF(I112&gt;0,VLOOKUP(I112,SurveyTripLengthsAndPassBy!D$3:H$15,5),0)</f>
        <v>1</v>
      </c>
    </row>
    <row r="113" spans="1:10" x14ac:dyDescent="0.25">
      <c r="A113">
        <v>869</v>
      </c>
      <c r="B113" t="s">
        <v>386</v>
      </c>
      <c r="C113" t="s">
        <v>110</v>
      </c>
      <c r="D113">
        <v>6</v>
      </c>
      <c r="E113" s="2">
        <f>IF(D113&gt;0,VLOOKUP(D113,SurveyTripLengthsAndPassBy!D$3:F$15,3),0)+1</f>
        <v>0.40998884594659679</v>
      </c>
      <c r="F113" s="2">
        <v>0.9</v>
      </c>
      <c r="G113" s="2">
        <f t="shared" si="10"/>
        <v>0.4689899613519371</v>
      </c>
      <c r="H113" s="2">
        <f t="shared" si="11"/>
        <v>0.4689899613519371</v>
      </c>
      <c r="I113" s="164"/>
      <c r="J113" s="2">
        <f>1-IF(I113&gt;0,VLOOKUP(I113,SurveyTripLengthsAndPassBy!D$3:H$15,5),0)</f>
        <v>1</v>
      </c>
    </row>
    <row r="114" spans="1:10" x14ac:dyDescent="0.25">
      <c r="A114">
        <v>875</v>
      </c>
      <c r="B114" t="s">
        <v>343</v>
      </c>
      <c r="C114" t="s">
        <v>110</v>
      </c>
      <c r="D114">
        <v>6</v>
      </c>
      <c r="E114" s="2">
        <f>IF(D114&gt;0,VLOOKUP(D114,SurveyTripLengthsAndPassBy!D$3:F$15,3),0)+1</f>
        <v>0.40998884594659679</v>
      </c>
      <c r="F114" s="2">
        <v>0.9</v>
      </c>
      <c r="G114" s="2">
        <f t="shared" si="10"/>
        <v>0.4689899613519371</v>
      </c>
      <c r="H114" s="2">
        <f t="shared" si="11"/>
        <v>0.4689899613519371</v>
      </c>
      <c r="I114" s="164"/>
      <c r="J114" s="2">
        <f>1-IF(I114&gt;0,VLOOKUP(I114,SurveyTripLengthsAndPassBy!D$3:H$15,5),0)</f>
        <v>1</v>
      </c>
    </row>
    <row r="115" spans="1:10" x14ac:dyDescent="0.25">
      <c r="A115">
        <v>876</v>
      </c>
      <c r="B115" t="s">
        <v>387</v>
      </c>
      <c r="C115" t="s">
        <v>110</v>
      </c>
      <c r="D115">
        <v>6</v>
      </c>
      <c r="E115" s="2">
        <f>IF(D115&gt;0,VLOOKUP(D115,SurveyTripLengthsAndPassBy!D$3:F$15,3),0)+1</f>
        <v>0.40998884594659679</v>
      </c>
      <c r="F115" s="2">
        <v>0.9</v>
      </c>
      <c r="G115" s="2">
        <f t="shared" si="10"/>
        <v>0.4689899613519371</v>
      </c>
      <c r="H115" s="2">
        <f t="shared" si="11"/>
        <v>0.4689899613519371</v>
      </c>
      <c r="I115" s="164"/>
      <c r="J115" s="2">
        <f>1-IF(I115&gt;0,VLOOKUP(I115,SurveyTripLengthsAndPassBy!D$3:H$15,5),0)</f>
        <v>1</v>
      </c>
    </row>
    <row r="116" spans="1:10" x14ac:dyDescent="0.25">
      <c r="A116">
        <v>879</v>
      </c>
      <c r="B116" t="s">
        <v>388</v>
      </c>
      <c r="C116" t="s">
        <v>110</v>
      </c>
      <c r="D116">
        <v>6</v>
      </c>
      <c r="E116" s="2">
        <f>IF(D116&gt;0,VLOOKUP(D116,SurveyTripLengthsAndPassBy!D$3:F$15,3),0)+1</f>
        <v>0.40998884594659679</v>
      </c>
      <c r="F116" s="2">
        <v>0.9</v>
      </c>
      <c r="G116" s="2">
        <f t="shared" si="10"/>
        <v>0.4689899613519371</v>
      </c>
      <c r="H116" s="2">
        <f t="shared" si="11"/>
        <v>0.4689899613519371</v>
      </c>
      <c r="I116" s="164"/>
      <c r="J116" s="2">
        <f>1-IF(I116&gt;0,VLOOKUP(I116,SurveyTripLengthsAndPassBy!D$3:H$15,5),0)</f>
        <v>1</v>
      </c>
    </row>
    <row r="117" spans="1:10" x14ac:dyDescent="0.25">
      <c r="A117">
        <v>880</v>
      </c>
      <c r="B117" t="s">
        <v>389</v>
      </c>
      <c r="C117" t="s">
        <v>110</v>
      </c>
      <c r="D117">
        <v>7</v>
      </c>
      <c r="E117" s="2">
        <f>IF(D117&gt;0,VLOOKUP(D117,SurveyTripLengthsAndPassBy!D$3:F$15,3),0)+1</f>
        <v>0.31625407464565269</v>
      </c>
      <c r="F117" s="2">
        <v>0.9</v>
      </c>
      <c r="G117" s="2">
        <f t="shared" si="10"/>
        <v>0.3846286671810874</v>
      </c>
      <c r="H117" s="2">
        <f t="shared" si="11"/>
        <v>0.3846286671810874</v>
      </c>
      <c r="I117" s="164">
        <v>7</v>
      </c>
      <c r="J117" s="2">
        <f>1-IF(I117&gt;0,VLOOKUP(I117,SurveyTripLengthsAndPassBy!D$3:H$15,5),0)</f>
        <v>0.28494260634706281</v>
      </c>
    </row>
    <row r="118" spans="1:10" x14ac:dyDescent="0.25">
      <c r="A118">
        <v>881</v>
      </c>
      <c r="B118" t="s">
        <v>390</v>
      </c>
      <c r="C118" t="s">
        <v>110</v>
      </c>
      <c r="D118">
        <v>7</v>
      </c>
      <c r="E118" s="2">
        <f>IF(D118&gt;0,VLOOKUP(D118,SurveyTripLengthsAndPassBy!D$3:F$15,3),0)+1</f>
        <v>0.31625407464565269</v>
      </c>
      <c r="F118" s="2">
        <v>0.9</v>
      </c>
      <c r="G118" s="2">
        <f t="shared" si="10"/>
        <v>0.3846286671810874</v>
      </c>
      <c r="H118" s="2">
        <f t="shared" si="11"/>
        <v>0.3846286671810874</v>
      </c>
      <c r="I118" s="164">
        <v>7</v>
      </c>
      <c r="J118" s="2">
        <f>1-IF(I118&gt;0,VLOOKUP(I118,SurveyTripLengthsAndPassBy!D$3:H$15,5),0)</f>
        <v>0.28494260634706281</v>
      </c>
    </row>
    <row r="119" spans="1:10" x14ac:dyDescent="0.25">
      <c r="A119">
        <v>882</v>
      </c>
      <c r="B119" t="s">
        <v>391</v>
      </c>
      <c r="C119" t="s">
        <v>110</v>
      </c>
      <c r="D119">
        <v>6</v>
      </c>
      <c r="E119" s="2">
        <f>IF(D119&gt;0,VLOOKUP(D119,SurveyTripLengthsAndPassBy!D$3:F$15,3),0)+1</f>
        <v>0.40998884594659679</v>
      </c>
      <c r="F119" s="2">
        <v>0.9</v>
      </c>
      <c r="G119" s="2">
        <f t="shared" si="10"/>
        <v>0.4689899613519371</v>
      </c>
      <c r="H119" s="2">
        <f t="shared" si="11"/>
        <v>0.4689899613519371</v>
      </c>
      <c r="I119" s="164"/>
      <c r="J119" s="2">
        <f>1-IF(I119&gt;0,VLOOKUP(I119,SurveyTripLengthsAndPassBy!D$3:H$15,5),0)</f>
        <v>1</v>
      </c>
    </row>
    <row r="120" spans="1:10" x14ac:dyDescent="0.25">
      <c r="A120">
        <v>890</v>
      </c>
      <c r="B120" t="s">
        <v>350</v>
      </c>
      <c r="C120" t="s">
        <v>110</v>
      </c>
      <c r="D120">
        <v>6</v>
      </c>
      <c r="E120" s="2">
        <f>IF(D120&gt;0,VLOOKUP(D120,SurveyTripLengthsAndPassBy!D$3:F$15,3),0)+1</f>
        <v>0.40998884594659679</v>
      </c>
      <c r="F120" s="2">
        <v>0.9</v>
      </c>
      <c r="G120" s="2">
        <f t="shared" si="10"/>
        <v>0.4689899613519371</v>
      </c>
      <c r="H120" s="2">
        <f t="shared" si="11"/>
        <v>0.4689899613519371</v>
      </c>
      <c r="I120" s="164"/>
      <c r="J120" s="2">
        <f>1-IF(I120&gt;0,VLOOKUP(I120,SurveyTripLengthsAndPassBy!D$3:H$15,5),0)</f>
        <v>1</v>
      </c>
    </row>
    <row r="121" spans="1:10" x14ac:dyDescent="0.25">
      <c r="A121">
        <v>899</v>
      </c>
      <c r="B121" t="s">
        <v>392</v>
      </c>
      <c r="C121" t="s">
        <v>110</v>
      </c>
      <c r="D121">
        <v>7</v>
      </c>
      <c r="E121" s="2">
        <f>IF(D121&gt;0,VLOOKUP(D121,SurveyTripLengthsAndPassBy!D$3:F$15,3),0)+1</f>
        <v>0.31625407464565269</v>
      </c>
      <c r="F121" s="2">
        <v>0.9</v>
      </c>
      <c r="G121" s="2">
        <f t="shared" si="10"/>
        <v>0.3846286671810874</v>
      </c>
      <c r="H121" s="2">
        <f t="shared" si="11"/>
        <v>0.3846286671810874</v>
      </c>
      <c r="I121" s="164"/>
      <c r="J121" s="2">
        <f>1-IF(I121&gt;0,VLOOKUP(I121,SurveyTripLengthsAndPassBy!D$3:H$15,5),0)</f>
        <v>1</v>
      </c>
    </row>
    <row r="122" spans="1:10" x14ac:dyDescent="0.25">
      <c r="A122" t="s">
        <v>353</v>
      </c>
      <c r="H122" s="2"/>
      <c r="I122" s="164"/>
      <c r="J122" s="2"/>
    </row>
    <row r="123" spans="1:10" x14ac:dyDescent="0.25">
      <c r="A123">
        <v>911</v>
      </c>
      <c r="B123" t="s">
        <v>355</v>
      </c>
      <c r="C123" t="s">
        <v>110</v>
      </c>
      <c r="D123">
        <v>7</v>
      </c>
      <c r="E123" s="2">
        <f>IF(D123&gt;0,VLOOKUP(D123,SurveyTripLengthsAndPassBy!D$3:F$15,3),0)+1</f>
        <v>0.31625407464565269</v>
      </c>
      <c r="F123" s="2">
        <v>0.9</v>
      </c>
      <c r="G123" s="2">
        <f t="shared" ref="G123:G132" si="12">(1-F123)+E123*F123</f>
        <v>0.3846286671810874</v>
      </c>
      <c r="H123" s="2">
        <f t="shared" ref="H123:H132" si="13">G123</f>
        <v>0.3846286671810874</v>
      </c>
      <c r="I123" s="164">
        <v>7</v>
      </c>
      <c r="J123" s="2">
        <f>1-IF(I123&gt;0,VLOOKUP(I123,SurveyTripLengthsAndPassBy!D$3:H$15,5),0)</f>
        <v>0.28494260634706281</v>
      </c>
    </row>
    <row r="124" spans="1:10" x14ac:dyDescent="0.25">
      <c r="A124">
        <v>912</v>
      </c>
      <c r="B124" t="s">
        <v>358</v>
      </c>
      <c r="C124" t="s">
        <v>110</v>
      </c>
      <c r="D124">
        <v>7</v>
      </c>
      <c r="E124" s="2">
        <f>IF(D124&gt;0,VLOOKUP(D124,SurveyTripLengthsAndPassBy!D$3:F$15,3),0)+1</f>
        <v>0.31625407464565269</v>
      </c>
      <c r="F124" s="2">
        <v>0.9</v>
      </c>
      <c r="G124" s="2">
        <f t="shared" si="12"/>
        <v>0.3846286671810874</v>
      </c>
      <c r="H124" s="2">
        <f t="shared" si="13"/>
        <v>0.3846286671810874</v>
      </c>
      <c r="I124" s="164">
        <v>7</v>
      </c>
      <c r="J124" s="2">
        <f>1-IF(I124&gt;0,VLOOKUP(I124,SurveyTripLengthsAndPassBy!D$3:H$15,5),0)</f>
        <v>0.28494260634706281</v>
      </c>
    </row>
    <row r="125" spans="1:10" x14ac:dyDescent="0.25">
      <c r="A125">
        <v>931</v>
      </c>
      <c r="B125" t="s">
        <v>361</v>
      </c>
      <c r="C125" t="s">
        <v>110</v>
      </c>
      <c r="D125">
        <v>7</v>
      </c>
      <c r="E125" s="2">
        <f>IF(D125&gt;0,VLOOKUP(D125,SurveyTripLengthsAndPassBy!D$3:F$15,3),0)+1</f>
        <v>0.31625407464565269</v>
      </c>
      <c r="F125" s="2">
        <v>0.9</v>
      </c>
      <c r="G125" s="2">
        <f t="shared" si="12"/>
        <v>0.3846286671810874</v>
      </c>
      <c r="H125" s="2">
        <f t="shared" si="13"/>
        <v>0.3846286671810874</v>
      </c>
      <c r="I125" s="164"/>
      <c r="J125" s="2">
        <f>1-IF(I125&gt;0,VLOOKUP(I125,SurveyTripLengthsAndPassBy!D$3:H$15,5),0)</f>
        <v>1</v>
      </c>
    </row>
    <row r="126" spans="1:10" x14ac:dyDescent="0.25">
      <c r="A126">
        <v>931</v>
      </c>
      <c r="B126" t="s">
        <v>393</v>
      </c>
      <c r="C126" t="s">
        <v>394</v>
      </c>
      <c r="D126">
        <v>7</v>
      </c>
      <c r="E126" s="2">
        <f>IF(D126&gt;0,VLOOKUP(D126,SurveyTripLengthsAndPassBy!D$3:F$15,3),0)+1</f>
        <v>0.31625407464565269</v>
      </c>
      <c r="F126" s="2">
        <v>0.9</v>
      </c>
      <c r="G126" s="2">
        <f t="shared" si="12"/>
        <v>0.3846286671810874</v>
      </c>
      <c r="H126" s="2">
        <f t="shared" si="13"/>
        <v>0.3846286671810874</v>
      </c>
      <c r="I126" s="164"/>
      <c r="J126" s="2">
        <f>1-IF(I126&gt;0,VLOOKUP(I126,SurveyTripLengthsAndPassBy!D$3:H$15,5),0)</f>
        <v>1</v>
      </c>
    </row>
    <row r="127" spans="1:10" x14ac:dyDescent="0.25">
      <c r="A127">
        <v>932</v>
      </c>
      <c r="B127" t="s">
        <v>395</v>
      </c>
      <c r="C127" t="s">
        <v>110</v>
      </c>
      <c r="D127">
        <v>7</v>
      </c>
      <c r="E127" s="2">
        <f>IF(D127&gt;0,VLOOKUP(D127,SurveyTripLengthsAndPassBy!D$3:F$15,3),0)+1</f>
        <v>0.31625407464565269</v>
      </c>
      <c r="F127" s="2">
        <v>0.9</v>
      </c>
      <c r="G127" s="2">
        <f t="shared" si="12"/>
        <v>0.3846286671810874</v>
      </c>
      <c r="H127" s="2">
        <f t="shared" si="13"/>
        <v>0.3846286671810874</v>
      </c>
      <c r="I127" s="164">
        <v>7</v>
      </c>
      <c r="J127" s="2">
        <f>1-IF(I127&gt;0,VLOOKUP(I127,SurveyTripLengthsAndPassBy!D$3:H$15,5),0)</f>
        <v>0.28494260634706281</v>
      </c>
    </row>
    <row r="128" spans="1:10" x14ac:dyDescent="0.25">
      <c r="A128">
        <v>932</v>
      </c>
      <c r="B128" t="s">
        <v>395</v>
      </c>
      <c r="C128" t="s">
        <v>394</v>
      </c>
      <c r="D128">
        <v>7</v>
      </c>
      <c r="E128" s="2">
        <f>IF(D128&gt;0,VLOOKUP(D128,SurveyTripLengthsAndPassBy!D$3:F$15,3),0)+1</f>
        <v>0.31625407464565269</v>
      </c>
      <c r="F128" s="2">
        <v>0.9</v>
      </c>
      <c r="G128" s="2">
        <f t="shared" si="12"/>
        <v>0.3846286671810874</v>
      </c>
      <c r="H128" s="2">
        <f t="shared" si="13"/>
        <v>0.3846286671810874</v>
      </c>
      <c r="I128" s="164">
        <v>7</v>
      </c>
      <c r="J128" s="2">
        <f>1-IF(I128&gt;0,VLOOKUP(I128,SurveyTripLengthsAndPassBy!D$3:H$15,5),0)</f>
        <v>0.28494260634706281</v>
      </c>
    </row>
    <row r="129" spans="1:10" x14ac:dyDescent="0.25">
      <c r="A129">
        <v>933</v>
      </c>
      <c r="B129" t="s">
        <v>396</v>
      </c>
      <c r="C129" t="s">
        <v>110</v>
      </c>
      <c r="D129">
        <v>7</v>
      </c>
      <c r="E129" s="2">
        <f>IF(D129&gt;0,VLOOKUP(D129,SurveyTripLengthsAndPassBy!D$3:F$15,3),0)+1</f>
        <v>0.31625407464565269</v>
      </c>
      <c r="F129" s="2">
        <v>0.9</v>
      </c>
      <c r="G129" s="2">
        <f t="shared" si="12"/>
        <v>0.3846286671810874</v>
      </c>
      <c r="H129" s="2">
        <f t="shared" si="13"/>
        <v>0.3846286671810874</v>
      </c>
      <c r="I129" s="164">
        <v>6</v>
      </c>
      <c r="J129" s="2">
        <f>1-IF(I129&gt;0,VLOOKUP(I129,SurveyTripLengthsAndPassBy!D$3:H$15,5),0)</f>
        <v>0.26984126984126988</v>
      </c>
    </row>
    <row r="130" spans="1:10" x14ac:dyDescent="0.25">
      <c r="A130">
        <v>934</v>
      </c>
      <c r="B130" t="s">
        <v>397</v>
      </c>
      <c r="C130" t="s">
        <v>110</v>
      </c>
      <c r="D130">
        <v>7</v>
      </c>
      <c r="E130" s="2">
        <f>IF(D130&gt;0,VLOOKUP(D130,SurveyTripLengthsAndPassBy!D$3:F$15,3),0)+1</f>
        <v>0.31625407464565269</v>
      </c>
      <c r="F130" s="2">
        <v>0.9</v>
      </c>
      <c r="G130" s="2">
        <f t="shared" si="12"/>
        <v>0.3846286671810874</v>
      </c>
      <c r="H130" s="2">
        <f t="shared" si="13"/>
        <v>0.3846286671810874</v>
      </c>
      <c r="I130" s="164">
        <v>6</v>
      </c>
      <c r="J130" s="2">
        <f>1-IF(I130&gt;0,VLOOKUP(I130,SurveyTripLengthsAndPassBy!D$3:H$15,5),0)</f>
        <v>0.26984126984126988</v>
      </c>
    </row>
    <row r="131" spans="1:10" x14ac:dyDescent="0.25">
      <c r="A131">
        <v>937</v>
      </c>
      <c r="B131" t="s">
        <v>398</v>
      </c>
      <c r="C131" t="s">
        <v>110</v>
      </c>
      <c r="D131">
        <v>7</v>
      </c>
      <c r="E131" s="2">
        <f>IF(D131&gt;0,VLOOKUP(D131,SurveyTripLengthsAndPassBy!D$3:F$15,3),0)+1</f>
        <v>0.31625407464565269</v>
      </c>
      <c r="F131" s="2">
        <v>0.9</v>
      </c>
      <c r="G131" s="2">
        <f t="shared" si="12"/>
        <v>0.3846286671810874</v>
      </c>
      <c r="H131" s="2">
        <f t="shared" si="13"/>
        <v>0.3846286671810874</v>
      </c>
      <c r="I131" s="164">
        <v>6</v>
      </c>
      <c r="J131" s="2">
        <f>1-IF(I131&gt;0,VLOOKUP(I131,SurveyTripLengthsAndPassBy!D$3:H$15,5),0)</f>
        <v>0.26984126984126988</v>
      </c>
    </row>
    <row r="132" spans="1:10" x14ac:dyDescent="0.25">
      <c r="A132">
        <v>944</v>
      </c>
      <c r="B132" t="s">
        <v>399</v>
      </c>
      <c r="C132" t="s">
        <v>400</v>
      </c>
      <c r="D132">
        <v>7</v>
      </c>
      <c r="E132" s="2">
        <f>IF(D132&gt;0,VLOOKUP(D132,SurveyTripLengthsAndPassBy!D$3:F$15,3),0)+1</f>
        <v>0.31625407464565269</v>
      </c>
      <c r="F132" s="2">
        <v>0.9</v>
      </c>
      <c r="G132" s="2">
        <f t="shared" si="12"/>
        <v>0.3846286671810874</v>
      </c>
      <c r="H132" s="2">
        <f t="shared" si="13"/>
        <v>0.3846286671810874</v>
      </c>
      <c r="I132" s="164">
        <v>6</v>
      </c>
      <c r="J132" s="2">
        <f>1-IF(I132&gt;0,VLOOKUP(I132,SurveyTripLengthsAndPassBy!D$3:H$15,5),0)</f>
        <v>0.26984126984126988</v>
      </c>
    </row>
    <row r="133" spans="1:10" x14ac:dyDescent="0.25">
      <c r="I133" s="165"/>
    </row>
    <row r="134" spans="1:10" x14ac:dyDescent="0.25">
      <c r="I134" s="165"/>
    </row>
    <row r="135" spans="1:10" x14ac:dyDescent="0.25">
      <c r="I135" s="165"/>
    </row>
    <row r="136" spans="1:10" x14ac:dyDescent="0.25">
      <c r="I136" s="165"/>
    </row>
    <row r="137" spans="1:10" x14ac:dyDescent="0.25">
      <c r="I137" s="165"/>
    </row>
    <row r="138" spans="1:10" x14ac:dyDescent="0.25">
      <c r="I138" s="165"/>
    </row>
    <row r="139" spans="1:10" x14ac:dyDescent="0.25">
      <c r="I139" s="165"/>
    </row>
    <row r="140" spans="1:10" x14ac:dyDescent="0.25">
      <c r="I140" s="165"/>
    </row>
    <row r="141" spans="1:10" x14ac:dyDescent="0.25">
      <c r="I141" s="165"/>
    </row>
    <row r="142" spans="1:10" x14ac:dyDescent="0.25">
      <c r="I142" s="165"/>
    </row>
    <row r="143" spans="1:10" x14ac:dyDescent="0.25">
      <c r="I143" s="165"/>
    </row>
    <row r="144" spans="1:10" x14ac:dyDescent="0.25">
      <c r="I144" s="165"/>
    </row>
    <row r="145" spans="9:9" x14ac:dyDescent="0.25">
      <c r="I145" s="165"/>
    </row>
    <row r="146" spans="9:9" x14ac:dyDescent="0.25">
      <c r="I146" s="16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3E7AA-DA15-4A8B-BE46-21109083B1F8}">
  <sheetPr>
    <tabColor theme="5" tint="0.39997558519241921"/>
  </sheetPr>
  <dimension ref="A1:H18"/>
  <sheetViews>
    <sheetView workbookViewId="0">
      <selection activeCell="A7" sqref="A7"/>
    </sheetView>
  </sheetViews>
  <sheetFormatPr defaultColWidth="9" defaultRowHeight="15.75" x14ac:dyDescent="0.25"/>
  <cols>
    <col min="1" max="1" width="101.42578125" style="467" customWidth="1"/>
    <col min="2" max="4" width="13.140625" style="155" customWidth="1"/>
    <col min="5" max="16384" width="9" style="467"/>
  </cols>
  <sheetData>
    <row r="1" spans="1:8" ht="18" x14ac:dyDescent="0.25">
      <c r="A1" s="627" t="s">
        <v>439</v>
      </c>
      <c r="E1" s="467" t="s">
        <v>440</v>
      </c>
      <c r="H1" s="467" t="s">
        <v>441</v>
      </c>
    </row>
    <row r="2" spans="1:8" ht="66" x14ac:dyDescent="0.3">
      <c r="A2" s="628" t="s">
        <v>442</v>
      </c>
      <c r="B2" s="629" t="s">
        <v>443</v>
      </c>
      <c r="C2" s="629" t="s">
        <v>444</v>
      </c>
      <c r="D2" s="467" t="s">
        <v>445</v>
      </c>
      <c r="E2" s="467" t="s">
        <v>446</v>
      </c>
      <c r="F2" s="467" t="s">
        <v>447</v>
      </c>
      <c r="H2" s="467" t="s">
        <v>448</v>
      </c>
    </row>
    <row r="3" spans="1:8" x14ac:dyDescent="0.25">
      <c r="A3" s="467" t="s">
        <v>449</v>
      </c>
      <c r="B3" s="155">
        <v>24.049835734141979</v>
      </c>
      <c r="C3" s="155">
        <v>24.599359889477348</v>
      </c>
      <c r="D3" s="467">
        <v>1</v>
      </c>
      <c r="E3" s="630">
        <f>(B3+C3)/2</f>
        <v>24.324597811809664</v>
      </c>
      <c r="F3" s="2">
        <f>E3/E$18-1</f>
        <v>0.64187283512647819</v>
      </c>
    </row>
    <row r="4" spans="1:8" x14ac:dyDescent="0.25">
      <c r="A4" s="467" t="s">
        <v>450</v>
      </c>
      <c r="B4" s="155">
        <v>12.8600371106693</v>
      </c>
      <c r="C4" s="155">
        <v>10.323481003785187</v>
      </c>
      <c r="D4" s="467">
        <v>2</v>
      </c>
      <c r="E4" s="630">
        <f t="shared" ref="E4:E18" si="0">(B4+C4)/2</f>
        <v>11.591759057227243</v>
      </c>
      <c r="F4" s="2">
        <f t="shared" ref="F4:F18" si="1">E4/E$18-1</f>
        <v>-0.21757414224737814</v>
      </c>
    </row>
    <row r="5" spans="1:8" x14ac:dyDescent="0.25">
      <c r="A5" s="467" t="s">
        <v>451</v>
      </c>
      <c r="B5" s="155">
        <v>6.7912707182320418</v>
      </c>
      <c r="C5" s="155">
        <v>6.8526845637583937</v>
      </c>
      <c r="D5" s="467">
        <v>3</v>
      </c>
      <c r="E5" s="630">
        <f t="shared" si="0"/>
        <v>6.8219776409952182</v>
      </c>
      <c r="F5" s="2">
        <f t="shared" si="1"/>
        <v>-0.53952703114572231</v>
      </c>
    </row>
    <row r="6" spans="1:8" x14ac:dyDescent="0.25">
      <c r="A6" s="467" t="s">
        <v>452</v>
      </c>
      <c r="B6" s="155">
        <v>14.547863247863248</v>
      </c>
      <c r="C6" s="155">
        <v>24.700578512396685</v>
      </c>
      <c r="D6" s="467">
        <v>4</v>
      </c>
      <c r="E6" s="630">
        <f t="shared" si="0"/>
        <v>19.624220880129968</v>
      </c>
      <c r="F6" s="2">
        <f t="shared" si="1"/>
        <v>0.32460464188904647</v>
      </c>
      <c r="H6" s="2">
        <v>0.5950413223140496</v>
      </c>
    </row>
    <row r="7" spans="1:8" x14ac:dyDescent="0.25">
      <c r="A7" s="467" t="s">
        <v>453</v>
      </c>
      <c r="B7" s="155">
        <v>8.2757482656094972</v>
      </c>
      <c r="C7" s="155">
        <v>7.4651332675222095</v>
      </c>
      <c r="D7" s="467">
        <v>5</v>
      </c>
      <c r="E7" s="630">
        <f t="shared" si="0"/>
        <v>7.8704407665658529</v>
      </c>
      <c r="F7" s="2">
        <f t="shared" si="1"/>
        <v>-0.46875738727229055</v>
      </c>
      <c r="H7" s="2">
        <v>0.67917077986179664</v>
      </c>
    </row>
    <row r="8" spans="1:8" x14ac:dyDescent="0.25">
      <c r="A8" s="467" t="s">
        <v>454</v>
      </c>
      <c r="B8" s="155">
        <v>6.4279365079365149</v>
      </c>
      <c r="C8" s="155">
        <v>5.7201587301587331</v>
      </c>
      <c r="D8" s="467">
        <v>6</v>
      </c>
      <c r="E8" s="630">
        <f t="shared" si="0"/>
        <v>6.074047619047624</v>
      </c>
      <c r="F8" s="2">
        <f t="shared" si="1"/>
        <v>-0.59001115405340321</v>
      </c>
      <c r="H8" s="2">
        <v>0.73015873015873012</v>
      </c>
    </row>
    <row r="9" spans="1:8" x14ac:dyDescent="0.25">
      <c r="A9" s="467" t="s">
        <v>455</v>
      </c>
      <c r="B9" s="155">
        <v>5.1458571428571407</v>
      </c>
      <c r="C9" s="155">
        <v>4.2248480756245801</v>
      </c>
      <c r="D9" s="467">
        <v>7</v>
      </c>
      <c r="E9" s="630">
        <f t="shared" si="0"/>
        <v>4.6853526092408604</v>
      </c>
      <c r="F9" s="2">
        <f t="shared" si="1"/>
        <v>-0.68374592535434731</v>
      </c>
      <c r="H9" s="2">
        <v>0.71505739365293719</v>
      </c>
    </row>
    <row r="10" spans="1:8" x14ac:dyDescent="0.25">
      <c r="A10" s="467" t="s">
        <v>456</v>
      </c>
      <c r="B10" s="155">
        <v>7.4181622911694554</v>
      </c>
      <c r="C10" s="155">
        <v>18.796215053763451</v>
      </c>
      <c r="D10" s="467">
        <v>8</v>
      </c>
      <c r="E10" s="630">
        <f t="shared" si="0"/>
        <v>13.107188672466453</v>
      </c>
      <c r="F10" s="2">
        <f t="shared" si="1"/>
        <v>-0.11528498054952552</v>
      </c>
      <c r="H10" s="2">
        <v>0.6172043010752688</v>
      </c>
    </row>
    <row r="11" spans="1:8" x14ac:dyDescent="0.25">
      <c r="A11" s="467" t="s">
        <v>457</v>
      </c>
      <c r="B11" s="155">
        <v>4.6011516853932592</v>
      </c>
      <c r="C11" s="155">
        <v>6.6089151599443623</v>
      </c>
      <c r="D11" s="467">
        <v>9</v>
      </c>
      <c r="E11" s="630">
        <f t="shared" si="0"/>
        <v>5.6050334226688108</v>
      </c>
      <c r="F11" s="2">
        <f t="shared" si="1"/>
        <v>-0.62166888892247396</v>
      </c>
      <c r="H11" s="2">
        <v>0.44089012517385257</v>
      </c>
    </row>
    <row r="12" spans="1:8" x14ac:dyDescent="0.25">
      <c r="A12" s="467" t="s">
        <v>458</v>
      </c>
      <c r="B12" s="155">
        <v>6.0632142857142854</v>
      </c>
      <c r="C12" s="155">
        <v>7.7213274336283177</v>
      </c>
      <c r="D12" s="467">
        <v>10</v>
      </c>
      <c r="E12" s="630">
        <f t="shared" si="0"/>
        <v>6.8922708596713012</v>
      </c>
      <c r="F12" s="2">
        <f t="shared" si="1"/>
        <v>-0.5347823473022002</v>
      </c>
      <c r="H12" s="2">
        <v>0.5663716814159292</v>
      </c>
    </row>
    <row r="13" spans="1:8" x14ac:dyDescent="0.25">
      <c r="A13" s="467" t="s">
        <v>459</v>
      </c>
      <c r="B13" s="155">
        <v>9.0856865127582047</v>
      </c>
      <c r="C13" s="155">
        <v>5.5451030303030304</v>
      </c>
      <c r="D13" s="467">
        <v>11</v>
      </c>
      <c r="E13" s="630">
        <f t="shared" si="0"/>
        <v>7.3153947715306176</v>
      </c>
      <c r="F13" s="2">
        <f t="shared" si="1"/>
        <v>-0.50622213585907516</v>
      </c>
      <c r="H13" s="2">
        <v>0.57212121212121214</v>
      </c>
    </row>
    <row r="14" spans="1:8" x14ac:dyDescent="0.25">
      <c r="A14" s="467" t="s">
        <v>460</v>
      </c>
      <c r="B14" s="155">
        <v>5.3588202247190999</v>
      </c>
      <c r="C14" s="155">
        <v>5.7032044198895004</v>
      </c>
      <c r="D14" s="467">
        <v>12</v>
      </c>
      <c r="E14" s="630">
        <f t="shared" si="0"/>
        <v>5.5310123223043002</v>
      </c>
      <c r="F14" s="2">
        <f t="shared" si="1"/>
        <v>-0.62666519903024709</v>
      </c>
      <c r="H14" s="2">
        <v>0.50276243093922657</v>
      </c>
    </row>
    <row r="15" spans="1:8" x14ac:dyDescent="0.25">
      <c r="A15" s="467" t="s">
        <v>461</v>
      </c>
      <c r="B15" s="155">
        <v>16.935617879053435</v>
      </c>
      <c r="C15" s="155">
        <v>14.947120418848193</v>
      </c>
      <c r="D15" s="467">
        <v>13</v>
      </c>
      <c r="E15" s="630">
        <f t="shared" si="0"/>
        <v>15.941369148950814</v>
      </c>
      <c r="F15" s="2">
        <f t="shared" si="1"/>
        <v>7.6017830300085576E-2</v>
      </c>
    </row>
    <row r="16" spans="1:8" x14ac:dyDescent="0.25">
      <c r="A16" s="467" t="s">
        <v>462</v>
      </c>
      <c r="B16" s="155">
        <v>38.619108606557404</v>
      </c>
      <c r="C16" s="155">
        <v>45.643009174311949</v>
      </c>
      <c r="D16" s="467"/>
      <c r="E16" s="630">
        <f t="shared" si="0"/>
        <v>42.131058890434673</v>
      </c>
      <c r="F16" s="2">
        <f t="shared" si="1"/>
        <v>1.8437814940452784</v>
      </c>
    </row>
    <row r="17" spans="1:6" x14ac:dyDescent="0.25">
      <c r="A17" s="467" t="s">
        <v>463</v>
      </c>
      <c r="B17" s="155">
        <v>10.068358974358974</v>
      </c>
      <c r="C17" s="155">
        <v>47.513333333333328</v>
      </c>
      <c r="E17" s="630">
        <f t="shared" si="0"/>
        <v>28.79084615384615</v>
      </c>
      <c r="F17" s="2">
        <f t="shared" si="1"/>
        <v>0.94333770967244823</v>
      </c>
    </row>
    <row r="18" spans="1:6" x14ac:dyDescent="0.25">
      <c r="A18" s="467" t="s">
        <v>464</v>
      </c>
      <c r="B18" s="155">
        <v>14.815153336729544</v>
      </c>
      <c r="C18" s="155">
        <v>14.815153336729574</v>
      </c>
      <c r="E18" s="630">
        <f t="shared" si="0"/>
        <v>14.815153336729558</v>
      </c>
      <c r="F18" s="2">
        <f t="shared" si="1"/>
        <v>0</v>
      </c>
    </row>
  </sheetData>
  <conditionalFormatting sqref="B3:B18">
    <cfRule type="dataBar" priority="2">
      <dataBar>
        <cfvo type="min"/>
        <cfvo type="max"/>
        <color rgb="FF638EC6"/>
      </dataBar>
      <extLst>
        <ext xmlns:x14="http://schemas.microsoft.com/office/spreadsheetml/2009/9/main" uri="{B025F937-C7B1-47D3-B67F-A62EFF666E3E}">
          <x14:id>{AE91D41D-A356-4D4F-B031-06B00861E45D}</x14:id>
        </ext>
      </extLst>
    </cfRule>
  </conditionalFormatting>
  <conditionalFormatting sqref="C17:D18 C3:C16">
    <cfRule type="dataBar" priority="1">
      <dataBar>
        <cfvo type="min"/>
        <cfvo type="max"/>
        <color rgb="FF638EC6"/>
      </dataBar>
      <extLst>
        <ext xmlns:x14="http://schemas.microsoft.com/office/spreadsheetml/2009/9/main" uri="{B025F937-C7B1-47D3-B67F-A62EFF666E3E}">
          <x14:id>{483C092D-EFBE-44FC-AD4F-C091F9DF1916}</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AE91D41D-A356-4D4F-B031-06B00861E45D}">
            <x14:dataBar minLength="0" maxLength="100" border="1" negativeBarBorderColorSameAsPositive="0">
              <x14:cfvo type="autoMin"/>
              <x14:cfvo type="autoMax"/>
              <x14:borderColor rgb="FF638EC6"/>
              <x14:negativeFillColor rgb="FFFF0000"/>
              <x14:negativeBorderColor rgb="FFFF0000"/>
              <x14:axisColor rgb="FF000000"/>
            </x14:dataBar>
          </x14:cfRule>
          <xm:sqref>B3:B18</xm:sqref>
        </x14:conditionalFormatting>
        <x14:conditionalFormatting xmlns:xm="http://schemas.microsoft.com/office/excel/2006/main">
          <x14:cfRule type="dataBar" id="{483C092D-EFBE-44FC-AD4F-C091F9DF1916}">
            <x14:dataBar minLength="0" maxLength="100" border="1" negativeBarBorderColorSameAsPositive="0">
              <x14:cfvo type="autoMin"/>
              <x14:cfvo type="autoMax"/>
              <x14:borderColor rgb="FF638EC6"/>
              <x14:negativeFillColor rgb="FFFF0000"/>
              <x14:negativeBorderColor rgb="FFFF0000"/>
              <x14:axisColor rgb="FF000000"/>
            </x14:dataBar>
          </x14:cfRule>
          <xm:sqref>C17:D18 C3:C16</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83840-9973-4A6E-832A-292B1D9BC32E}">
  <sheetPr>
    <tabColor theme="5" tint="0.39997558519241921"/>
  </sheetPr>
  <dimension ref="A1:T48"/>
  <sheetViews>
    <sheetView workbookViewId="0">
      <selection activeCell="E42" sqref="E42"/>
    </sheetView>
  </sheetViews>
  <sheetFormatPr defaultColWidth="11.5703125" defaultRowHeight="16.5" x14ac:dyDescent="0.3"/>
  <cols>
    <col min="1" max="1" width="11.85546875" style="631" bestFit="1" customWidth="1"/>
    <col min="2" max="2" width="12.140625" style="631" bestFit="1" customWidth="1"/>
    <col min="3" max="3" width="11.5703125" style="631"/>
    <col min="4" max="8" width="11.85546875" style="631" bestFit="1" customWidth="1"/>
    <col min="9" max="9" width="14.5703125" style="631" bestFit="1" customWidth="1"/>
    <col min="10" max="20" width="11.85546875" style="631" bestFit="1" customWidth="1"/>
    <col min="21" max="16384" width="11.5703125" style="631"/>
  </cols>
  <sheetData>
    <row r="1" spans="1:20" ht="25.5" x14ac:dyDescent="0.35">
      <c r="A1" s="636" t="s">
        <v>465</v>
      </c>
    </row>
    <row r="2" spans="1:20" x14ac:dyDescent="0.3">
      <c r="E2" s="632" t="s">
        <v>466</v>
      </c>
      <c r="F2" s="632"/>
      <c r="G2" s="632"/>
      <c r="H2" s="632"/>
      <c r="I2" s="632"/>
      <c r="J2" s="632"/>
      <c r="K2" s="632"/>
      <c r="L2" s="632"/>
    </row>
    <row r="3" spans="1:20" x14ac:dyDescent="0.3">
      <c r="E3" s="632"/>
      <c r="F3" s="632"/>
      <c r="G3" s="632"/>
      <c r="H3" s="632"/>
      <c r="I3" s="632"/>
      <c r="J3" s="632"/>
      <c r="K3" s="632"/>
      <c r="L3" s="632"/>
    </row>
    <row r="4" spans="1:20" x14ac:dyDescent="0.3">
      <c r="E4" s="632"/>
      <c r="F4" s="632"/>
      <c r="G4" s="632"/>
      <c r="H4" s="632"/>
      <c r="I4" s="632"/>
      <c r="J4" s="632"/>
      <c r="K4" s="632"/>
      <c r="L4" s="632"/>
    </row>
    <row r="5" spans="1:20" x14ac:dyDescent="0.3">
      <c r="A5" s="631" t="s">
        <v>53</v>
      </c>
      <c r="B5" s="631" t="s">
        <v>413</v>
      </c>
      <c r="C5" s="631" t="s">
        <v>414</v>
      </c>
      <c r="D5" s="631" t="s">
        <v>467</v>
      </c>
      <c r="E5" s="632" t="s">
        <v>468</v>
      </c>
      <c r="F5" s="632" t="s">
        <v>469</v>
      </c>
      <c r="G5" s="632" t="s">
        <v>470</v>
      </c>
      <c r="H5" s="632" t="s">
        <v>471</v>
      </c>
      <c r="I5" s="632" t="s">
        <v>472</v>
      </c>
      <c r="J5" s="632" t="s">
        <v>473</v>
      </c>
      <c r="K5" s="632" t="s">
        <v>474</v>
      </c>
      <c r="L5" s="632" t="s">
        <v>475</v>
      </c>
      <c r="M5" s="631" t="s">
        <v>476</v>
      </c>
      <c r="N5" s="631" t="s">
        <v>477</v>
      </c>
      <c r="O5" s="631" t="s">
        <v>478</v>
      </c>
      <c r="P5" s="631" t="s">
        <v>479</v>
      </c>
      <c r="Q5" s="631" t="s">
        <v>480</v>
      </c>
      <c r="R5" s="631" t="s">
        <v>481</v>
      </c>
      <c r="S5" s="631" t="s">
        <v>482</v>
      </c>
      <c r="T5" s="631" t="s">
        <v>483</v>
      </c>
    </row>
    <row r="7" spans="1:20" x14ac:dyDescent="0.3">
      <c r="A7" s="631">
        <v>1</v>
      </c>
      <c r="B7" s="633" t="s">
        <v>484</v>
      </c>
      <c r="C7" s="631" t="s">
        <v>56</v>
      </c>
      <c r="D7" s="631">
        <v>2</v>
      </c>
      <c r="E7" s="632">
        <v>927756</v>
      </c>
      <c r="F7" s="632">
        <v>116220</v>
      </c>
      <c r="G7" s="632">
        <v>156440</v>
      </c>
      <c r="H7" s="632">
        <v>230960</v>
      </c>
      <c r="I7" s="632">
        <v>6760471.5599999996</v>
      </c>
      <c r="J7" s="632">
        <v>404774.40000000002</v>
      </c>
      <c r="K7" s="632">
        <v>937077.24</v>
      </c>
      <c r="L7" s="632">
        <v>205657.88</v>
      </c>
      <c r="M7" s="634">
        <f t="shared" ref="M7:M30" si="0">I7/E7</f>
        <v>7.2869068591310642</v>
      </c>
      <c r="N7" s="634">
        <f t="shared" ref="N7:N30" si="1">J7/F7</f>
        <v>3.4828291171915335</v>
      </c>
      <c r="O7" s="634">
        <f t="shared" ref="O7:O30" si="2">K7/G7</f>
        <v>5.9900104832523651</v>
      </c>
      <c r="P7" s="634">
        <f t="shared" ref="P7:P30" si="3">L7/H7</f>
        <v>0.89044804295116042</v>
      </c>
      <c r="Q7" s="635">
        <f t="shared" ref="Q7:Q30" si="4">E7/SUM($E7:$H7)</f>
        <v>0.64815673869060264</v>
      </c>
      <c r="R7" s="635">
        <f t="shared" ref="R7:R30" si="5">F7/SUM($E7:$H7)</f>
        <v>8.119459876370709E-2</v>
      </c>
      <c r="S7" s="635">
        <f t="shared" ref="S7:S30" si="6">G7/SUM($E7:$H7)</f>
        <v>0.1092934351281564</v>
      </c>
      <c r="T7" s="635">
        <f t="shared" ref="T7:T30" si="7">H7/SUM($E7:$H7)</f>
        <v>0.16135522741753389</v>
      </c>
    </row>
    <row r="8" spans="1:20" x14ac:dyDescent="0.3">
      <c r="A8" s="631">
        <v>1</v>
      </c>
      <c r="B8" s="633" t="s">
        <v>485</v>
      </c>
      <c r="C8" s="631" t="s">
        <v>56</v>
      </c>
      <c r="D8" s="631">
        <v>4</v>
      </c>
      <c r="E8" s="632">
        <v>169776</v>
      </c>
      <c r="F8" s="632">
        <v>13760</v>
      </c>
      <c r="G8" s="632">
        <v>20272</v>
      </c>
      <c r="H8" s="632">
        <v>69856</v>
      </c>
      <c r="I8" s="632">
        <v>1373151.16</v>
      </c>
      <c r="J8" s="632">
        <v>60136.639999999999</v>
      </c>
      <c r="K8" s="632">
        <v>151339.76</v>
      </c>
      <c r="L8" s="632">
        <v>47288.04</v>
      </c>
      <c r="M8" s="634">
        <f t="shared" ref="M8:M19" si="8">I8/E8</f>
        <v>8.0880169164075006</v>
      </c>
      <c r="N8" s="634">
        <f t="shared" si="1"/>
        <v>4.3703953488372091</v>
      </c>
      <c r="O8" s="634">
        <f t="shared" si="2"/>
        <v>7.4654577742699297</v>
      </c>
      <c r="P8" s="634">
        <f t="shared" si="3"/>
        <v>0.67693598259276222</v>
      </c>
      <c r="Q8" s="635">
        <f t="shared" ref="Q8:Q19" si="9">E8/SUM($E8:$H8)</f>
        <v>0.62038119738072961</v>
      </c>
      <c r="R8" s="635">
        <f t="shared" ref="R8:R19" si="10">F8/SUM($E8:$H8)</f>
        <v>5.0280636108512626E-2</v>
      </c>
      <c r="S8" s="635">
        <f t="shared" si="6"/>
        <v>7.407623947614593E-2</v>
      </c>
      <c r="T8" s="635">
        <f t="shared" si="7"/>
        <v>0.25526192703461181</v>
      </c>
    </row>
    <row r="9" spans="1:20" x14ac:dyDescent="0.3">
      <c r="A9" s="631">
        <v>2</v>
      </c>
      <c r="B9" s="633" t="s">
        <v>484</v>
      </c>
      <c r="C9" s="631" t="s">
        <v>56</v>
      </c>
      <c r="D9" s="631">
        <v>6</v>
      </c>
      <c r="E9" s="632">
        <v>339876</v>
      </c>
      <c r="F9" s="632">
        <v>15264</v>
      </c>
      <c r="G9" s="632">
        <v>29768</v>
      </c>
      <c r="H9" s="632">
        <v>15624</v>
      </c>
      <c r="I9" s="632">
        <v>2714790.04</v>
      </c>
      <c r="J9" s="632">
        <v>77528.600000000006</v>
      </c>
      <c r="K9" s="632">
        <v>167843.24</v>
      </c>
      <c r="L9" s="632">
        <v>15120.84</v>
      </c>
      <c r="M9" s="634">
        <f t="shared" si="8"/>
        <v>7.9875897091880566</v>
      </c>
      <c r="N9" s="634">
        <f t="shared" si="1"/>
        <v>5.0791797693920335</v>
      </c>
      <c r="O9" s="634">
        <f t="shared" si="2"/>
        <v>5.6383781241601714</v>
      </c>
      <c r="P9" s="634">
        <f t="shared" si="3"/>
        <v>0.96779569892473116</v>
      </c>
      <c r="Q9" s="635">
        <f t="shared" si="9"/>
        <v>0.84856141332028401</v>
      </c>
      <c r="R9" s="635">
        <f t="shared" si="10"/>
        <v>3.8109314611566615E-2</v>
      </c>
      <c r="S9" s="635">
        <f t="shared" si="6"/>
        <v>7.4321152866687307E-2</v>
      </c>
      <c r="T9" s="635">
        <f t="shared" si="7"/>
        <v>3.9008119201462056E-2</v>
      </c>
    </row>
    <row r="10" spans="1:20" x14ac:dyDescent="0.3">
      <c r="A10" s="631">
        <v>2</v>
      </c>
      <c r="B10" s="633" t="s">
        <v>486</v>
      </c>
      <c r="C10" s="631" t="s">
        <v>56</v>
      </c>
      <c r="D10" s="631">
        <v>8</v>
      </c>
      <c r="E10" s="632">
        <v>150824</v>
      </c>
      <c r="F10" s="632">
        <v>5860</v>
      </c>
      <c r="G10" s="632">
        <v>11720</v>
      </c>
      <c r="H10" s="632">
        <v>6008</v>
      </c>
      <c r="I10" s="632">
        <v>1152690.24</v>
      </c>
      <c r="J10" s="632">
        <v>28764.400000000001</v>
      </c>
      <c r="K10" s="632">
        <v>68844.12</v>
      </c>
      <c r="L10" s="632">
        <v>6255.88</v>
      </c>
      <c r="M10" s="634">
        <f t="shared" si="8"/>
        <v>7.6426181509574072</v>
      </c>
      <c r="N10" s="634">
        <f t="shared" si="1"/>
        <v>4.9086006825938568</v>
      </c>
      <c r="O10" s="634">
        <f t="shared" si="2"/>
        <v>5.8740716723549484</v>
      </c>
      <c r="P10" s="634">
        <f t="shared" si="3"/>
        <v>1.0412583222370173</v>
      </c>
      <c r="Q10" s="635">
        <f t="shared" si="9"/>
        <v>0.86475701213219269</v>
      </c>
      <c r="R10" s="635">
        <f t="shared" si="10"/>
        <v>3.3598605600532072E-2</v>
      </c>
      <c r="S10" s="635">
        <f t="shared" si="6"/>
        <v>6.7197211201064144E-2</v>
      </c>
      <c r="T10" s="635">
        <f t="shared" si="7"/>
        <v>3.4447171066211042E-2</v>
      </c>
    </row>
    <row r="11" spans="1:20" x14ac:dyDescent="0.3">
      <c r="A11" s="631">
        <v>2</v>
      </c>
      <c r="B11" s="633" t="s">
        <v>487</v>
      </c>
      <c r="C11" s="631" t="s">
        <v>56</v>
      </c>
      <c r="D11" s="631">
        <v>10</v>
      </c>
      <c r="E11" s="632">
        <v>424484</v>
      </c>
      <c r="F11" s="632">
        <v>23220</v>
      </c>
      <c r="G11" s="632">
        <v>36356</v>
      </c>
      <c r="H11" s="632">
        <v>19328</v>
      </c>
      <c r="I11" s="632">
        <v>3146402</v>
      </c>
      <c r="J11" s="632">
        <v>117203.32</v>
      </c>
      <c r="K11" s="632">
        <v>301072.84000000003</v>
      </c>
      <c r="L11" s="632">
        <v>20767.439999999999</v>
      </c>
      <c r="M11" s="634">
        <f t="shared" si="8"/>
        <v>7.412298225610388</v>
      </c>
      <c r="N11" s="634">
        <f t="shared" si="1"/>
        <v>5.0475159345391907</v>
      </c>
      <c r="O11" s="634">
        <f t="shared" si="2"/>
        <v>8.2812421608537807</v>
      </c>
      <c r="P11" s="634">
        <f t="shared" si="3"/>
        <v>1.0744743377483443</v>
      </c>
      <c r="Q11" s="635">
        <f t="shared" si="9"/>
        <v>0.84325411014962615</v>
      </c>
      <c r="R11" s="635">
        <f t="shared" si="10"/>
        <v>4.6127440463419864E-2</v>
      </c>
      <c r="S11" s="635">
        <f t="shared" si="6"/>
        <v>7.2222619530064286E-2</v>
      </c>
      <c r="T11" s="635">
        <f t="shared" si="7"/>
        <v>3.8395829856889718E-2</v>
      </c>
    </row>
    <row r="12" spans="1:20" x14ac:dyDescent="0.3">
      <c r="A12" s="631">
        <v>2</v>
      </c>
      <c r="B12" s="633" t="s">
        <v>488</v>
      </c>
      <c r="C12" s="631" t="s">
        <v>56</v>
      </c>
      <c r="D12" s="631">
        <v>12</v>
      </c>
      <c r="E12" s="632">
        <v>457388</v>
      </c>
      <c r="F12" s="632">
        <v>16268</v>
      </c>
      <c r="G12" s="632">
        <v>37008</v>
      </c>
      <c r="H12" s="632">
        <v>25464</v>
      </c>
      <c r="I12" s="632">
        <v>3369891.96</v>
      </c>
      <c r="J12" s="632">
        <v>78278.880000000005</v>
      </c>
      <c r="K12" s="632">
        <v>256547.92</v>
      </c>
      <c r="L12" s="632">
        <v>21800.04</v>
      </c>
      <c r="M12" s="634">
        <f t="shared" si="8"/>
        <v>7.367687739949452</v>
      </c>
      <c r="N12" s="634">
        <f t="shared" si="1"/>
        <v>4.8118318170641752</v>
      </c>
      <c r="O12" s="634">
        <f t="shared" si="2"/>
        <v>6.9322287073065283</v>
      </c>
      <c r="P12" s="634">
        <f t="shared" si="3"/>
        <v>0.85611215834118759</v>
      </c>
      <c r="Q12" s="635">
        <f t="shared" si="9"/>
        <v>0.85313208785961558</v>
      </c>
      <c r="R12" s="635">
        <f t="shared" si="10"/>
        <v>3.034350005968724E-2</v>
      </c>
      <c r="S12" s="635">
        <f t="shared" si="6"/>
        <v>6.9028291751223589E-2</v>
      </c>
      <c r="T12" s="635">
        <f t="shared" si="7"/>
        <v>4.7496120329473555E-2</v>
      </c>
    </row>
    <row r="13" spans="1:20" x14ac:dyDescent="0.3">
      <c r="A13" s="631">
        <v>3</v>
      </c>
      <c r="B13" s="633" t="s">
        <v>484</v>
      </c>
      <c r="C13" s="631" t="s">
        <v>56</v>
      </c>
      <c r="D13" s="631">
        <v>15</v>
      </c>
      <c r="E13" s="632">
        <v>505020</v>
      </c>
      <c r="F13" s="632">
        <v>13612</v>
      </c>
      <c r="G13" s="632">
        <v>30764</v>
      </c>
      <c r="H13" s="632">
        <v>23548</v>
      </c>
      <c r="I13" s="632">
        <v>3976104.44</v>
      </c>
      <c r="J13" s="632">
        <v>61386.6</v>
      </c>
      <c r="K13" s="632">
        <v>174820.8</v>
      </c>
      <c r="L13" s="632">
        <v>21552.080000000002</v>
      </c>
      <c r="M13" s="634">
        <f t="shared" si="8"/>
        <v>7.8731623302047442</v>
      </c>
      <c r="N13" s="634">
        <f t="shared" si="1"/>
        <v>4.5097414046429618</v>
      </c>
      <c r="O13" s="634">
        <f t="shared" si="2"/>
        <v>5.6826420491483551</v>
      </c>
      <c r="P13" s="634">
        <f t="shared" si="3"/>
        <v>0.9152403601155088</v>
      </c>
      <c r="Q13" s="635">
        <f t="shared" si="9"/>
        <v>0.88144740149124523</v>
      </c>
      <c r="R13" s="635">
        <f t="shared" si="10"/>
        <v>2.3757993800441229E-2</v>
      </c>
      <c r="S13" s="635">
        <f t="shared" si="6"/>
        <v>5.3694601915719509E-2</v>
      </c>
      <c r="T13" s="635">
        <f t="shared" si="7"/>
        <v>4.1100002792594043E-2</v>
      </c>
    </row>
    <row r="14" spans="1:20" x14ac:dyDescent="0.3">
      <c r="A14" s="631">
        <v>3</v>
      </c>
      <c r="B14" s="633" t="s">
        <v>487</v>
      </c>
      <c r="C14" s="631" t="s">
        <v>56</v>
      </c>
      <c r="D14" s="631">
        <v>18</v>
      </c>
      <c r="E14" s="632">
        <v>590156</v>
      </c>
      <c r="F14" s="632">
        <v>15616</v>
      </c>
      <c r="G14" s="632">
        <v>26752</v>
      </c>
      <c r="H14" s="632">
        <v>17384</v>
      </c>
      <c r="I14" s="632">
        <v>4675614.84</v>
      </c>
      <c r="J14" s="632">
        <v>81261.759999999995</v>
      </c>
      <c r="K14" s="632">
        <v>153882.84</v>
      </c>
      <c r="L14" s="632">
        <v>18317.16</v>
      </c>
      <c r="M14" s="634">
        <f t="shared" si="8"/>
        <v>7.9226761059787583</v>
      </c>
      <c r="N14" s="634">
        <f t="shared" si="1"/>
        <v>5.2037499999999994</v>
      </c>
      <c r="O14" s="634">
        <f t="shared" si="2"/>
        <v>5.7521994617224879</v>
      </c>
      <c r="P14" s="634">
        <f t="shared" si="3"/>
        <v>1.0536792452830188</v>
      </c>
      <c r="Q14" s="635">
        <f t="shared" si="9"/>
        <v>0.90806083322562581</v>
      </c>
      <c r="R14" s="635">
        <f t="shared" si="10"/>
        <v>2.4028016273072498E-2</v>
      </c>
      <c r="S14" s="635">
        <f t="shared" si="6"/>
        <v>4.1162749189115999E-2</v>
      </c>
      <c r="T14" s="635">
        <f t="shared" si="7"/>
        <v>2.6748401312185723E-2</v>
      </c>
    </row>
    <row r="15" spans="1:20" x14ac:dyDescent="0.3">
      <c r="A15" s="631">
        <v>3</v>
      </c>
      <c r="B15" s="633" t="s">
        <v>488</v>
      </c>
      <c r="C15" s="631" t="s">
        <v>56</v>
      </c>
      <c r="D15" s="631">
        <v>20</v>
      </c>
      <c r="E15" s="632">
        <v>597384</v>
      </c>
      <c r="F15" s="632">
        <v>13160</v>
      </c>
      <c r="G15" s="632">
        <v>30240</v>
      </c>
      <c r="H15" s="632">
        <v>22392</v>
      </c>
      <c r="I15" s="632">
        <v>4316008.32</v>
      </c>
      <c r="J15" s="632">
        <v>56294.720000000001</v>
      </c>
      <c r="K15" s="632">
        <v>201953.96</v>
      </c>
      <c r="L15" s="632">
        <v>19837.28</v>
      </c>
      <c r="M15" s="634">
        <f t="shared" si="8"/>
        <v>7.2248475352537067</v>
      </c>
      <c r="N15" s="634">
        <f t="shared" si="1"/>
        <v>4.2777142857142856</v>
      </c>
      <c r="O15" s="634">
        <f t="shared" si="2"/>
        <v>6.6783716931216928</v>
      </c>
      <c r="P15" s="634">
        <f t="shared" si="3"/>
        <v>0.88590925330475168</v>
      </c>
      <c r="Q15" s="635">
        <f t="shared" si="9"/>
        <v>0.90079254979070411</v>
      </c>
      <c r="R15" s="635">
        <f t="shared" si="10"/>
        <v>1.9843902674403176E-2</v>
      </c>
      <c r="S15" s="635">
        <f t="shared" si="6"/>
        <v>4.5598755081607295E-2</v>
      </c>
      <c r="T15" s="635">
        <f t="shared" si="7"/>
        <v>3.3764792453285404E-2</v>
      </c>
    </row>
    <row r="16" spans="1:20" x14ac:dyDescent="0.3">
      <c r="A16" s="631">
        <v>4</v>
      </c>
      <c r="B16" s="633" t="s">
        <v>488</v>
      </c>
      <c r="C16" s="631" t="s">
        <v>56</v>
      </c>
      <c r="D16" s="631">
        <v>23</v>
      </c>
      <c r="E16" s="632">
        <v>315848</v>
      </c>
      <c r="F16" s="632">
        <v>8568</v>
      </c>
      <c r="G16" s="632">
        <v>20324</v>
      </c>
      <c r="H16" s="632">
        <v>26088</v>
      </c>
      <c r="I16" s="632">
        <v>2207178.2799999998</v>
      </c>
      <c r="J16" s="632">
        <v>25826.400000000001</v>
      </c>
      <c r="K16" s="632">
        <v>163313.32</v>
      </c>
      <c r="L16" s="632">
        <v>22645.64</v>
      </c>
      <c r="M16" s="634">
        <f t="shared" si="8"/>
        <v>6.9881027582887967</v>
      </c>
      <c r="N16" s="634">
        <f t="shared" si="1"/>
        <v>3.0142857142857142</v>
      </c>
      <c r="O16" s="634">
        <f t="shared" si="2"/>
        <v>8.0354910450698682</v>
      </c>
      <c r="P16" s="634">
        <f t="shared" si="3"/>
        <v>0.86804814474087699</v>
      </c>
      <c r="Q16" s="635">
        <f t="shared" si="9"/>
        <v>0.85173719352368216</v>
      </c>
      <c r="R16" s="635">
        <f t="shared" si="10"/>
        <v>2.3105051398492022E-2</v>
      </c>
      <c r="S16" s="635">
        <f t="shared" si="6"/>
        <v>5.4807080371492983E-2</v>
      </c>
      <c r="T16" s="635">
        <f t="shared" si="7"/>
        <v>7.0350674706332855E-2</v>
      </c>
    </row>
    <row r="17" spans="1:20" x14ac:dyDescent="0.3">
      <c r="A17" s="631">
        <v>1</v>
      </c>
      <c r="B17" s="633" t="s">
        <v>484</v>
      </c>
      <c r="C17" s="631" t="s">
        <v>124</v>
      </c>
      <c r="D17" s="631">
        <v>1</v>
      </c>
      <c r="E17" s="632">
        <v>128152</v>
      </c>
      <c r="F17" s="632">
        <v>13184</v>
      </c>
      <c r="G17" s="632">
        <v>14256</v>
      </c>
      <c r="H17" s="632">
        <v>23816</v>
      </c>
      <c r="I17" s="632">
        <v>863236.6</v>
      </c>
      <c r="J17" s="632">
        <v>48873.760000000002</v>
      </c>
      <c r="K17" s="632">
        <v>67618.28</v>
      </c>
      <c r="L17" s="632">
        <v>19730.439999999999</v>
      </c>
      <c r="M17" s="634">
        <f t="shared" si="8"/>
        <v>6.7360368936887447</v>
      </c>
      <c r="N17" s="634">
        <f t="shared" si="1"/>
        <v>3.7070509708737864</v>
      </c>
      <c r="O17" s="634">
        <f t="shared" si="2"/>
        <v>4.7431453423120091</v>
      </c>
      <c r="P17" s="634">
        <f t="shared" si="3"/>
        <v>0.82845314074571708</v>
      </c>
      <c r="Q17" s="635">
        <f t="shared" si="9"/>
        <v>0.71430482475697854</v>
      </c>
      <c r="R17" s="635">
        <f t="shared" si="10"/>
        <v>7.3486132168019261E-2</v>
      </c>
      <c r="S17" s="635">
        <f t="shared" si="6"/>
        <v>7.9461339516632479E-2</v>
      </c>
      <c r="T17" s="635">
        <f t="shared" si="7"/>
        <v>0.13274770355836976</v>
      </c>
    </row>
    <row r="18" spans="1:20" x14ac:dyDescent="0.3">
      <c r="A18" s="631">
        <v>1</v>
      </c>
      <c r="B18" s="633" t="s">
        <v>485</v>
      </c>
      <c r="C18" s="631" t="s">
        <v>124</v>
      </c>
      <c r="D18" s="631">
        <v>3</v>
      </c>
      <c r="E18" s="632">
        <v>128884</v>
      </c>
      <c r="F18" s="632">
        <v>6444</v>
      </c>
      <c r="G18" s="632">
        <v>13920</v>
      </c>
      <c r="H18" s="632">
        <v>25900</v>
      </c>
      <c r="I18" s="632">
        <v>1210942.04</v>
      </c>
      <c r="J18" s="632">
        <v>30272.84</v>
      </c>
      <c r="K18" s="632">
        <v>94307.44</v>
      </c>
      <c r="L18" s="632">
        <v>21939.32</v>
      </c>
      <c r="M18" s="634">
        <f t="shared" si="8"/>
        <v>9.3955963502063877</v>
      </c>
      <c r="N18" s="634">
        <f t="shared" si="1"/>
        <v>4.6978336436995658</v>
      </c>
      <c r="O18" s="634">
        <f t="shared" si="2"/>
        <v>6.7749597701149424</v>
      </c>
      <c r="P18" s="634">
        <f t="shared" si="3"/>
        <v>0.8470779922779923</v>
      </c>
      <c r="Q18" s="635">
        <f t="shared" si="9"/>
        <v>0.73585767465229401</v>
      </c>
      <c r="R18" s="635">
        <f t="shared" si="10"/>
        <v>3.6791741841185742E-2</v>
      </c>
      <c r="S18" s="635">
        <f t="shared" si="6"/>
        <v>7.9475643455820227E-2</v>
      </c>
      <c r="T18" s="635">
        <f t="shared" si="7"/>
        <v>0.14787494005069998</v>
      </c>
    </row>
    <row r="19" spans="1:20" x14ac:dyDescent="0.3">
      <c r="A19" s="631">
        <v>2</v>
      </c>
      <c r="B19" s="633" t="s">
        <v>484</v>
      </c>
      <c r="C19" s="631" t="s">
        <v>124</v>
      </c>
      <c r="D19" s="631">
        <v>5</v>
      </c>
      <c r="E19" s="632">
        <v>325012</v>
      </c>
      <c r="F19" s="632">
        <v>13812</v>
      </c>
      <c r="G19" s="632">
        <v>25656</v>
      </c>
      <c r="H19" s="632">
        <v>13092</v>
      </c>
      <c r="I19" s="632">
        <v>2525212.92</v>
      </c>
      <c r="J19" s="632">
        <v>71481.240000000005</v>
      </c>
      <c r="K19" s="632">
        <v>136813.72</v>
      </c>
      <c r="L19" s="632">
        <v>12283.56</v>
      </c>
      <c r="M19" s="634">
        <f t="shared" si="8"/>
        <v>7.7695990301896547</v>
      </c>
      <c r="N19" s="634">
        <f t="shared" si="1"/>
        <v>5.1752997393570812</v>
      </c>
      <c r="O19" s="634">
        <f t="shared" si="2"/>
        <v>5.3326208294356094</v>
      </c>
      <c r="P19" s="634">
        <f t="shared" si="3"/>
        <v>0.93824931255728683</v>
      </c>
      <c r="Q19" s="635">
        <f t="shared" si="9"/>
        <v>0.8607947623234774</v>
      </c>
      <c r="R19" s="635">
        <f t="shared" si="10"/>
        <v>3.6581102412255144E-2</v>
      </c>
      <c r="S19" s="635">
        <f t="shared" si="6"/>
        <v>6.7949953916074279E-2</v>
      </c>
      <c r="T19" s="635">
        <f t="shared" si="7"/>
        <v>3.4674181348193195E-2</v>
      </c>
    </row>
    <row r="20" spans="1:20" x14ac:dyDescent="0.3">
      <c r="A20" s="631">
        <v>2</v>
      </c>
      <c r="B20" s="633" t="s">
        <v>486</v>
      </c>
      <c r="C20" s="631" t="s">
        <v>124</v>
      </c>
      <c r="D20" s="631">
        <v>7</v>
      </c>
      <c r="E20" s="632">
        <v>629216</v>
      </c>
      <c r="F20" s="632">
        <v>21372</v>
      </c>
      <c r="G20" s="632">
        <v>36052</v>
      </c>
      <c r="H20" s="632">
        <v>31220</v>
      </c>
      <c r="I20" s="632">
        <v>4722580.2</v>
      </c>
      <c r="J20" s="632">
        <v>106070.92</v>
      </c>
      <c r="K20" s="632">
        <v>185032.52</v>
      </c>
      <c r="L20" s="632">
        <v>29354.44</v>
      </c>
      <c r="M20" s="634">
        <f t="shared" si="0"/>
        <v>7.5054992244316736</v>
      </c>
      <c r="N20" s="634">
        <f t="shared" si="1"/>
        <v>4.963078794684634</v>
      </c>
      <c r="O20" s="634">
        <f t="shared" si="2"/>
        <v>5.1323787861977141</v>
      </c>
      <c r="P20" s="634">
        <f t="shared" si="3"/>
        <v>0.94024471492632922</v>
      </c>
      <c r="Q20" s="635">
        <f t="shared" si="4"/>
        <v>0.87651631237288608</v>
      </c>
      <c r="R20" s="635">
        <f t="shared" si="5"/>
        <v>2.9771821803694313E-2</v>
      </c>
      <c r="S20" s="635">
        <f t="shared" si="6"/>
        <v>5.0221491655754603E-2</v>
      </c>
      <c r="T20" s="635">
        <f t="shared" si="7"/>
        <v>4.3490374167665005E-2</v>
      </c>
    </row>
    <row r="21" spans="1:20" x14ac:dyDescent="0.3">
      <c r="A21" s="631">
        <v>2</v>
      </c>
      <c r="B21" s="633" t="s">
        <v>487</v>
      </c>
      <c r="C21" s="631" t="s">
        <v>124</v>
      </c>
      <c r="D21" s="631">
        <v>9</v>
      </c>
      <c r="E21" s="632">
        <v>41440</v>
      </c>
      <c r="F21" s="632">
        <v>1344</v>
      </c>
      <c r="G21" s="632">
        <v>2100</v>
      </c>
      <c r="H21" s="632">
        <v>1148</v>
      </c>
      <c r="I21" s="632">
        <v>334647.76</v>
      </c>
      <c r="J21" s="632">
        <v>7341.32</v>
      </c>
      <c r="K21" s="632">
        <v>11104.52</v>
      </c>
      <c r="L21" s="632">
        <v>1219.96</v>
      </c>
      <c r="M21" s="634">
        <f t="shared" si="0"/>
        <v>8.0754768339768344</v>
      </c>
      <c r="N21" s="634">
        <f t="shared" si="1"/>
        <v>5.4622916666666663</v>
      </c>
      <c r="O21" s="634">
        <f t="shared" si="2"/>
        <v>5.2878666666666669</v>
      </c>
      <c r="P21" s="634">
        <f t="shared" si="3"/>
        <v>1.0626829268292683</v>
      </c>
      <c r="Q21" s="635">
        <f t="shared" si="4"/>
        <v>0.9002433090024331</v>
      </c>
      <c r="R21" s="635">
        <f t="shared" si="5"/>
        <v>2.9197080291970802E-2</v>
      </c>
      <c r="S21" s="635">
        <f t="shared" si="6"/>
        <v>4.5620437956204379E-2</v>
      </c>
      <c r="T21" s="635">
        <f t="shared" si="7"/>
        <v>2.4939172749391728E-2</v>
      </c>
    </row>
    <row r="22" spans="1:20" x14ac:dyDescent="0.3">
      <c r="A22" s="631">
        <v>2</v>
      </c>
      <c r="B22" s="633" t="s">
        <v>488</v>
      </c>
      <c r="C22" s="631" t="s">
        <v>124</v>
      </c>
      <c r="D22" s="631">
        <v>11</v>
      </c>
      <c r="E22" s="632">
        <v>499828</v>
      </c>
      <c r="F22" s="632">
        <v>23888</v>
      </c>
      <c r="G22" s="632">
        <v>31456</v>
      </c>
      <c r="H22" s="632">
        <v>31224</v>
      </c>
      <c r="I22" s="632">
        <v>3597041.72</v>
      </c>
      <c r="J22" s="632">
        <v>105888.2</v>
      </c>
      <c r="K22" s="632">
        <v>183558.39999999999</v>
      </c>
      <c r="L22" s="632">
        <v>29243.68</v>
      </c>
      <c r="M22" s="634">
        <f t="shared" si="0"/>
        <v>7.1965590563153725</v>
      </c>
      <c r="N22" s="634">
        <f t="shared" si="1"/>
        <v>4.4326942397856666</v>
      </c>
      <c r="O22" s="634">
        <f t="shared" si="2"/>
        <v>5.8354018311291957</v>
      </c>
      <c r="P22" s="634">
        <f t="shared" si="3"/>
        <v>0.93657699205739176</v>
      </c>
      <c r="Q22" s="635">
        <f t="shared" si="4"/>
        <v>0.85237279926875353</v>
      </c>
      <c r="R22" s="635">
        <f t="shared" si="5"/>
        <v>4.0736976377737912E-2</v>
      </c>
      <c r="S22" s="635">
        <f t="shared" si="6"/>
        <v>5.3642930715762045E-2</v>
      </c>
      <c r="T22" s="635">
        <f t="shared" si="7"/>
        <v>5.3247293637746503E-2</v>
      </c>
    </row>
    <row r="23" spans="1:20" x14ac:dyDescent="0.3">
      <c r="A23" s="631">
        <v>2</v>
      </c>
      <c r="B23" s="633" t="s">
        <v>485</v>
      </c>
      <c r="C23" s="631" t="s">
        <v>124</v>
      </c>
      <c r="D23" s="631">
        <v>13</v>
      </c>
      <c r="E23" s="632">
        <v>118720</v>
      </c>
      <c r="F23" s="632">
        <v>5424</v>
      </c>
      <c r="G23" s="632">
        <v>14232</v>
      </c>
      <c r="H23" s="632">
        <v>14648</v>
      </c>
      <c r="I23" s="632">
        <v>1164648.8</v>
      </c>
      <c r="J23" s="632">
        <v>29785.919999999998</v>
      </c>
      <c r="K23" s="632">
        <v>100806.68</v>
      </c>
      <c r="L23" s="632">
        <v>14343.96</v>
      </c>
      <c r="M23" s="634">
        <f>I23/E23</f>
        <v>9.8100471698113214</v>
      </c>
      <c r="N23" s="634">
        <f>J23/F23</f>
        <v>5.4915044247787606</v>
      </c>
      <c r="O23" s="634">
        <f>K23/G23</f>
        <v>7.0831000562113546</v>
      </c>
      <c r="P23" s="634">
        <f>L23/H23</f>
        <v>0.97924358274167111</v>
      </c>
      <c r="Q23" s="635">
        <f>E23/SUM($E23:$H23)</f>
        <v>0.77582601421999164</v>
      </c>
      <c r="R23" s="635">
        <f>F23/SUM($E23:$H23)</f>
        <v>3.5445420326223338E-2</v>
      </c>
      <c r="S23" s="635">
        <f>G23/SUM($E23:$H23)</f>
        <v>9.3005018820577171E-2</v>
      </c>
      <c r="T23" s="635">
        <f>H23/SUM($E23:$H23)</f>
        <v>9.5723546633207868E-2</v>
      </c>
    </row>
    <row r="24" spans="1:20" x14ac:dyDescent="0.3">
      <c r="A24" s="631">
        <v>3</v>
      </c>
      <c r="B24" s="633" t="s">
        <v>484</v>
      </c>
      <c r="C24" s="631" t="s">
        <v>124</v>
      </c>
      <c r="D24" s="631">
        <v>14</v>
      </c>
      <c r="E24" s="632">
        <v>839376</v>
      </c>
      <c r="F24" s="632">
        <v>21548</v>
      </c>
      <c r="G24" s="632">
        <v>57984</v>
      </c>
      <c r="H24" s="632">
        <v>31784</v>
      </c>
      <c r="I24" s="632">
        <v>6877389.6399999997</v>
      </c>
      <c r="J24" s="632">
        <v>104436.36</v>
      </c>
      <c r="K24" s="632">
        <v>325373.64</v>
      </c>
      <c r="L24" s="632">
        <v>28588.639999999999</v>
      </c>
      <c r="M24" s="634">
        <f t="shared" si="0"/>
        <v>8.1934551857570384</v>
      </c>
      <c r="N24" s="634">
        <f t="shared" si="1"/>
        <v>4.8466846111007982</v>
      </c>
      <c r="O24" s="634">
        <f t="shared" si="2"/>
        <v>5.6114383278145699</v>
      </c>
      <c r="P24" s="634">
        <f t="shared" si="3"/>
        <v>0.89946639818776741</v>
      </c>
      <c r="Q24" s="635">
        <f t="shared" si="4"/>
        <v>0.88291055357571113</v>
      </c>
      <c r="R24" s="635">
        <f t="shared" si="5"/>
        <v>2.2665595166468214E-2</v>
      </c>
      <c r="S24" s="635">
        <f t="shared" si="6"/>
        <v>6.0991362081515357E-2</v>
      </c>
      <c r="T24" s="635">
        <f t="shared" si="7"/>
        <v>3.3432489176305258E-2</v>
      </c>
    </row>
    <row r="25" spans="1:20" x14ac:dyDescent="0.3">
      <c r="A25" s="631">
        <v>3</v>
      </c>
      <c r="B25" s="633" t="s">
        <v>486</v>
      </c>
      <c r="C25" s="631" t="s">
        <v>124</v>
      </c>
      <c r="D25" s="631">
        <v>16</v>
      </c>
      <c r="E25" s="632">
        <v>1022740</v>
      </c>
      <c r="F25" s="632">
        <v>21560</v>
      </c>
      <c r="G25" s="632">
        <v>52132</v>
      </c>
      <c r="H25" s="632">
        <v>40080</v>
      </c>
      <c r="I25" s="632">
        <v>8767548.8800000008</v>
      </c>
      <c r="J25" s="632">
        <v>94300.56</v>
      </c>
      <c r="K25" s="632">
        <v>274161.48</v>
      </c>
      <c r="L25" s="632">
        <v>37164.76</v>
      </c>
      <c r="M25" s="634">
        <f t="shared" si="0"/>
        <v>8.572607779103194</v>
      </c>
      <c r="N25" s="634">
        <f t="shared" si="1"/>
        <v>4.3738664192949903</v>
      </c>
      <c r="O25" s="634">
        <f t="shared" si="2"/>
        <v>5.258986419090002</v>
      </c>
      <c r="P25" s="634">
        <f t="shared" si="3"/>
        <v>0.92726447105788423</v>
      </c>
      <c r="Q25" s="635">
        <f t="shared" si="4"/>
        <v>0.89989370987723838</v>
      </c>
      <c r="R25" s="635">
        <f t="shared" si="5"/>
        <v>1.8970323234598491E-2</v>
      </c>
      <c r="S25" s="635">
        <f t="shared" si="6"/>
        <v>4.5870171190449373E-2</v>
      </c>
      <c r="T25" s="635">
        <f t="shared" si="7"/>
        <v>3.5265795697713709E-2</v>
      </c>
    </row>
    <row r="26" spans="1:20" x14ac:dyDescent="0.3">
      <c r="A26" s="631">
        <v>3</v>
      </c>
      <c r="B26" s="633" t="s">
        <v>487</v>
      </c>
      <c r="C26" s="631" t="s">
        <v>124</v>
      </c>
      <c r="D26" s="631">
        <v>17</v>
      </c>
      <c r="E26" s="632">
        <v>724896</v>
      </c>
      <c r="F26" s="632">
        <v>18380</v>
      </c>
      <c r="G26" s="632">
        <v>43392</v>
      </c>
      <c r="H26" s="632">
        <v>25024</v>
      </c>
      <c r="I26" s="632">
        <v>5707536</v>
      </c>
      <c r="J26" s="632">
        <v>91096.52</v>
      </c>
      <c r="K26" s="632">
        <v>234102.28</v>
      </c>
      <c r="L26" s="632">
        <v>23089.52</v>
      </c>
      <c r="M26" s="634">
        <f t="shared" si="0"/>
        <v>7.8735929016024366</v>
      </c>
      <c r="N26" s="634">
        <f t="shared" si="1"/>
        <v>4.9562850924918394</v>
      </c>
      <c r="O26" s="634">
        <f t="shared" si="2"/>
        <v>5.3950562315634221</v>
      </c>
      <c r="P26" s="634">
        <f t="shared" si="3"/>
        <v>0.92269501278772381</v>
      </c>
      <c r="Q26" s="635">
        <f t="shared" si="4"/>
        <v>0.89306781389985368</v>
      </c>
      <c r="R26" s="635">
        <f t="shared" si="5"/>
        <v>2.2644057105404514E-2</v>
      </c>
      <c r="S26" s="635">
        <f t="shared" si="6"/>
        <v>5.3458701083662276E-2</v>
      </c>
      <c r="T26" s="635">
        <f t="shared" si="7"/>
        <v>3.0829427911079572E-2</v>
      </c>
    </row>
    <row r="27" spans="1:20" x14ac:dyDescent="0.3">
      <c r="A27" s="631">
        <v>3</v>
      </c>
      <c r="B27" s="633" t="s">
        <v>488</v>
      </c>
      <c r="C27" s="631" t="s">
        <v>124</v>
      </c>
      <c r="D27" s="631">
        <v>19</v>
      </c>
      <c r="E27" s="632">
        <v>914044</v>
      </c>
      <c r="F27" s="632">
        <v>19396</v>
      </c>
      <c r="G27" s="632">
        <v>66692</v>
      </c>
      <c r="H27" s="632">
        <v>32516</v>
      </c>
      <c r="I27" s="632">
        <v>7363650.96</v>
      </c>
      <c r="J27" s="632">
        <v>84033.72</v>
      </c>
      <c r="K27" s="632">
        <v>418592.48</v>
      </c>
      <c r="L27" s="632">
        <v>27836.720000000001</v>
      </c>
      <c r="M27" s="634">
        <f t="shared" si="0"/>
        <v>8.0561230750379629</v>
      </c>
      <c r="N27" s="634">
        <f t="shared" si="1"/>
        <v>4.3325283563621362</v>
      </c>
      <c r="O27" s="634">
        <f t="shared" si="2"/>
        <v>6.2765021291909076</v>
      </c>
      <c r="P27" s="634">
        <f t="shared" si="3"/>
        <v>0.85609300036904912</v>
      </c>
      <c r="Q27" s="635">
        <f t="shared" si="4"/>
        <v>0.88514576118871091</v>
      </c>
      <c r="R27" s="635">
        <f t="shared" si="5"/>
        <v>1.8782779804928689E-2</v>
      </c>
      <c r="S27" s="635">
        <f t="shared" si="6"/>
        <v>6.4583478590962265E-2</v>
      </c>
      <c r="T27" s="635">
        <f t="shared" si="7"/>
        <v>3.1487980415398083E-2</v>
      </c>
    </row>
    <row r="28" spans="1:20" x14ac:dyDescent="0.3">
      <c r="A28" s="631">
        <v>3</v>
      </c>
      <c r="B28" s="633" t="s">
        <v>485</v>
      </c>
      <c r="C28" s="631" t="s">
        <v>124</v>
      </c>
      <c r="D28" s="631">
        <v>21</v>
      </c>
      <c r="E28" s="632">
        <v>84604</v>
      </c>
      <c r="F28" s="632">
        <v>3144</v>
      </c>
      <c r="G28" s="632">
        <v>8680</v>
      </c>
      <c r="H28" s="632">
        <v>13372</v>
      </c>
      <c r="I28" s="632">
        <v>718658</v>
      </c>
      <c r="J28" s="632">
        <v>13987.16</v>
      </c>
      <c r="K28" s="632">
        <v>60475.4</v>
      </c>
      <c r="L28" s="632">
        <v>8659.76</v>
      </c>
      <c r="M28" s="634">
        <f>I28/E28</f>
        <v>8.494373788473359</v>
      </c>
      <c r="N28" s="634">
        <f>J28/F28</f>
        <v>4.4488422391857503</v>
      </c>
      <c r="O28" s="634">
        <f>K28/G28</f>
        <v>6.9672119815668205</v>
      </c>
      <c r="P28" s="634">
        <f>L28/H28</f>
        <v>0.64760394854920733</v>
      </c>
      <c r="Q28" s="635">
        <f>E28/SUM($E28:$H28)</f>
        <v>0.77052823315118402</v>
      </c>
      <c r="R28" s="635">
        <f>F28/SUM($E28:$H28)</f>
        <v>2.8633879781420766E-2</v>
      </c>
      <c r="S28" s="635">
        <f>G28/SUM($E28:$H28)</f>
        <v>7.9052823315118398E-2</v>
      </c>
      <c r="T28" s="635">
        <f>H28/SUM($E28:$H28)</f>
        <v>0.12178506375227686</v>
      </c>
    </row>
    <row r="29" spans="1:20" x14ac:dyDescent="0.3">
      <c r="A29" s="631">
        <v>4</v>
      </c>
      <c r="B29" s="633" t="s">
        <v>488</v>
      </c>
      <c r="C29" s="631" t="s">
        <v>124</v>
      </c>
      <c r="D29" s="631">
        <v>22</v>
      </c>
      <c r="E29" s="632">
        <v>627300</v>
      </c>
      <c r="F29" s="632">
        <v>15040</v>
      </c>
      <c r="G29" s="632">
        <v>46364</v>
      </c>
      <c r="H29" s="632">
        <v>43588</v>
      </c>
      <c r="I29" s="632">
        <v>5501926.5199999996</v>
      </c>
      <c r="J29" s="632">
        <v>50868.32</v>
      </c>
      <c r="K29" s="632">
        <v>336466.28</v>
      </c>
      <c r="L29" s="632">
        <v>36859.760000000002</v>
      </c>
      <c r="M29" s="634">
        <f t="shared" si="0"/>
        <v>8.7708058664116049</v>
      </c>
      <c r="N29" s="634">
        <f t="shared" si="1"/>
        <v>3.3822021276595744</v>
      </c>
      <c r="O29" s="634">
        <f t="shared" si="2"/>
        <v>7.2570589250280397</v>
      </c>
      <c r="P29" s="634">
        <f t="shared" si="3"/>
        <v>0.84564008442690652</v>
      </c>
      <c r="Q29" s="635">
        <f t="shared" si="4"/>
        <v>0.85662549911783825</v>
      </c>
      <c r="R29" s="635">
        <f t="shared" si="5"/>
        <v>2.0538255231519666E-2</v>
      </c>
      <c r="S29" s="635">
        <f t="shared" si="6"/>
        <v>6.3313541592697989E-2</v>
      </c>
      <c r="T29" s="635">
        <f t="shared" si="7"/>
        <v>5.9522704057944097E-2</v>
      </c>
    </row>
    <row r="30" spans="1:20" x14ac:dyDescent="0.3">
      <c r="A30" s="631" t="s">
        <v>489</v>
      </c>
      <c r="D30" s="631">
        <v>24</v>
      </c>
      <c r="E30" s="632">
        <v>13500504</v>
      </c>
      <c r="F30" s="632">
        <v>288776</v>
      </c>
      <c r="G30" s="632">
        <v>690348</v>
      </c>
      <c r="H30" s="632">
        <v>629020</v>
      </c>
      <c r="I30" s="632">
        <v>109816838.16</v>
      </c>
      <c r="J30" s="632">
        <v>1191381.28</v>
      </c>
      <c r="K30" s="632">
        <v>3775472.4</v>
      </c>
      <c r="L30" s="632">
        <v>573002.72</v>
      </c>
      <c r="M30" s="634">
        <f t="shared" si="0"/>
        <v>8.1342769247725855</v>
      </c>
      <c r="N30" s="634">
        <f t="shared" si="1"/>
        <v>4.1256242901072113</v>
      </c>
      <c r="O30" s="634">
        <f t="shared" si="2"/>
        <v>5.468940881989953</v>
      </c>
      <c r="P30" s="634">
        <f t="shared" si="3"/>
        <v>0.91094515277733612</v>
      </c>
      <c r="Q30" s="635">
        <f t="shared" si="4"/>
        <v>0.89356135638344347</v>
      </c>
      <c r="R30" s="635">
        <f t="shared" si="5"/>
        <v>1.9113291937173996E-2</v>
      </c>
      <c r="S30" s="635">
        <f t="shared" si="6"/>
        <v>4.5692241953085411E-2</v>
      </c>
      <c r="T30" s="635">
        <f t="shared" si="7"/>
        <v>4.1633109726297149E-2</v>
      </c>
    </row>
    <row r="32" spans="1:20" x14ac:dyDescent="0.3">
      <c r="A32" s="631" t="s">
        <v>490</v>
      </c>
    </row>
    <row r="34" spans="1:20" x14ac:dyDescent="0.3">
      <c r="A34" s="631" t="s">
        <v>53</v>
      </c>
      <c r="B34" s="631" t="s">
        <v>413</v>
      </c>
      <c r="C34" s="631" t="s">
        <v>414</v>
      </c>
      <c r="M34" s="631" t="s">
        <v>476</v>
      </c>
      <c r="N34" s="631" t="s">
        <v>477</v>
      </c>
      <c r="O34" s="631" t="s">
        <v>478</v>
      </c>
      <c r="P34" s="631" t="s">
        <v>479</v>
      </c>
      <c r="Q34" s="631" t="s">
        <v>480</v>
      </c>
      <c r="R34" s="631" t="s">
        <v>481</v>
      </c>
      <c r="S34" s="631" t="s">
        <v>482</v>
      </c>
      <c r="T34" s="631" t="s">
        <v>483</v>
      </c>
    </row>
    <row r="35" spans="1:20" x14ac:dyDescent="0.3">
      <c r="A35" s="631">
        <v>1</v>
      </c>
      <c r="C35" s="631" t="s">
        <v>56</v>
      </c>
      <c r="E35" s="631">
        <f>E8+E7</f>
        <v>1097532</v>
      </c>
      <c r="F35" s="631">
        <f t="shared" ref="F35:L35" si="11">F8+F7</f>
        <v>129980</v>
      </c>
      <c r="G35" s="631">
        <f t="shared" si="11"/>
        <v>176712</v>
      </c>
      <c r="H35" s="631">
        <f t="shared" si="11"/>
        <v>300816</v>
      </c>
      <c r="I35" s="631">
        <f t="shared" si="11"/>
        <v>8133622.7199999997</v>
      </c>
      <c r="J35" s="631">
        <f t="shared" si="11"/>
        <v>464911.04000000004</v>
      </c>
      <c r="K35" s="631">
        <f t="shared" si="11"/>
        <v>1088417</v>
      </c>
      <c r="L35" s="631">
        <f t="shared" si="11"/>
        <v>252945.92000000001</v>
      </c>
      <c r="M35" s="634">
        <f t="shared" ref="M35:M42" si="12">I35/E35</f>
        <v>7.4108296796813216</v>
      </c>
      <c r="N35" s="634">
        <f t="shared" ref="N35:N42" si="13">J35/F35</f>
        <v>3.5767890444683799</v>
      </c>
      <c r="O35" s="634">
        <f t="shared" ref="O35:O42" si="14">K35/G35</f>
        <v>6.1592704513558783</v>
      </c>
      <c r="P35" s="634">
        <f t="shared" ref="P35:P42" si="15">L35/H35</f>
        <v>0.84086591138769218</v>
      </c>
      <c r="Q35" s="635">
        <f t="shared" ref="Q35:Q42" si="16">E35/SUM($E35:$H35)</f>
        <v>0.64369868155585797</v>
      </c>
      <c r="R35" s="635">
        <f t="shared" ref="R35:R42" si="17">F35/SUM($E35:$H35)</f>
        <v>7.6232815652418712E-2</v>
      </c>
      <c r="S35" s="635">
        <f t="shared" ref="S35:S42" si="18">G35/SUM($E35:$H35)</f>
        <v>0.10364097029981702</v>
      </c>
      <c r="T35" s="635">
        <f t="shared" ref="T35:T42" si="19">H35/SUM($E35:$H35)</f>
        <v>0.17642753249190635</v>
      </c>
    </row>
    <row r="36" spans="1:20" x14ac:dyDescent="0.3">
      <c r="A36" s="631">
        <v>2</v>
      </c>
      <c r="C36" s="631" t="s">
        <v>56</v>
      </c>
      <c r="E36" s="631">
        <f t="shared" ref="E36:L36" si="20">E9+E10+E11+E12</f>
        <v>1372572</v>
      </c>
      <c r="F36" s="631">
        <f t="shared" si="20"/>
        <v>60612</v>
      </c>
      <c r="G36" s="631">
        <f t="shared" si="20"/>
        <v>114852</v>
      </c>
      <c r="H36" s="631">
        <f t="shared" si="20"/>
        <v>66424</v>
      </c>
      <c r="I36" s="631">
        <f t="shared" si="20"/>
        <v>10383774.24</v>
      </c>
      <c r="J36" s="631">
        <f t="shared" si="20"/>
        <v>301775.2</v>
      </c>
      <c r="K36" s="631">
        <f t="shared" si="20"/>
        <v>794308.12</v>
      </c>
      <c r="L36" s="631">
        <f t="shared" si="20"/>
        <v>63944.200000000004</v>
      </c>
      <c r="M36" s="634">
        <f t="shared" ref="M36:P40" si="21">I36/E36</f>
        <v>7.5651945690280726</v>
      </c>
      <c r="N36" s="634">
        <f t="shared" si="21"/>
        <v>4.9788028773180226</v>
      </c>
      <c r="O36" s="634">
        <f t="shared" si="21"/>
        <v>6.9159276286002855</v>
      </c>
      <c r="P36" s="634">
        <f t="shared" si="21"/>
        <v>0.96266710827411783</v>
      </c>
      <c r="Q36" s="635">
        <f t="shared" ref="Q36:T40" si="22">E36/SUM($E36:$H36)</f>
        <v>0.85017405200500473</v>
      </c>
      <c r="R36" s="635">
        <f t="shared" si="22"/>
        <v>3.7543203300174674E-2</v>
      </c>
      <c r="S36" s="635">
        <f t="shared" si="22"/>
        <v>7.1139576081166458E-2</v>
      </c>
      <c r="T36" s="635">
        <f t="shared" si="22"/>
        <v>4.1143168613654101E-2</v>
      </c>
    </row>
    <row r="37" spans="1:20" x14ac:dyDescent="0.3">
      <c r="A37" s="631">
        <v>3</v>
      </c>
      <c r="C37" s="631" t="s">
        <v>56</v>
      </c>
      <c r="E37" s="631">
        <f t="shared" ref="E37:L37" si="23">E13+E14+E15</f>
        <v>1692560</v>
      </c>
      <c r="F37" s="631">
        <f t="shared" si="23"/>
        <v>42388</v>
      </c>
      <c r="G37" s="631">
        <f t="shared" si="23"/>
        <v>87756</v>
      </c>
      <c r="H37" s="631">
        <f t="shared" si="23"/>
        <v>63324</v>
      </c>
      <c r="I37" s="631">
        <f t="shared" si="23"/>
        <v>12967727.6</v>
      </c>
      <c r="J37" s="631">
        <f t="shared" si="23"/>
        <v>198943.08</v>
      </c>
      <c r="K37" s="631">
        <f t="shared" si="23"/>
        <v>530657.6</v>
      </c>
      <c r="L37" s="631">
        <f t="shared" si="23"/>
        <v>59706.520000000004</v>
      </c>
      <c r="M37" s="634">
        <f t="shared" si="21"/>
        <v>7.661605851491232</v>
      </c>
      <c r="N37" s="634">
        <f t="shared" si="21"/>
        <v>4.693382089270548</v>
      </c>
      <c r="O37" s="634">
        <f t="shared" si="21"/>
        <v>6.0469665891790871</v>
      </c>
      <c r="P37" s="634">
        <f t="shared" si="21"/>
        <v>0.94287347609121352</v>
      </c>
      <c r="Q37" s="635">
        <f t="shared" si="22"/>
        <v>0.89742039884879754</v>
      </c>
      <c r="R37" s="635">
        <f t="shared" si="22"/>
        <v>2.2474745868035894E-2</v>
      </c>
      <c r="S37" s="635">
        <f t="shared" si="22"/>
        <v>4.6529531905146693E-2</v>
      </c>
      <c r="T37" s="635">
        <f t="shared" si="22"/>
        <v>3.3575323378019842E-2</v>
      </c>
    </row>
    <row r="38" spans="1:20" x14ac:dyDescent="0.3">
      <c r="A38" s="631">
        <v>4</v>
      </c>
      <c r="C38" s="631" t="s">
        <v>56</v>
      </c>
      <c r="E38" s="631">
        <f t="shared" ref="E38:L38" si="24">E16</f>
        <v>315848</v>
      </c>
      <c r="F38" s="631">
        <f t="shared" si="24"/>
        <v>8568</v>
      </c>
      <c r="G38" s="631">
        <f t="shared" si="24"/>
        <v>20324</v>
      </c>
      <c r="H38" s="631">
        <f t="shared" si="24"/>
        <v>26088</v>
      </c>
      <c r="I38" s="631">
        <f t="shared" si="24"/>
        <v>2207178.2799999998</v>
      </c>
      <c r="J38" s="631">
        <f t="shared" si="24"/>
        <v>25826.400000000001</v>
      </c>
      <c r="K38" s="631">
        <f t="shared" si="24"/>
        <v>163313.32</v>
      </c>
      <c r="L38" s="631">
        <f t="shared" si="24"/>
        <v>22645.64</v>
      </c>
      <c r="M38" s="634">
        <f t="shared" si="21"/>
        <v>6.9881027582887967</v>
      </c>
      <c r="N38" s="634">
        <f t="shared" si="21"/>
        <v>3.0142857142857142</v>
      </c>
      <c r="O38" s="634">
        <f t="shared" si="21"/>
        <v>8.0354910450698682</v>
      </c>
      <c r="P38" s="634">
        <f t="shared" si="21"/>
        <v>0.86804814474087699</v>
      </c>
      <c r="Q38" s="635">
        <f t="shared" si="22"/>
        <v>0.85173719352368216</v>
      </c>
      <c r="R38" s="635">
        <f t="shared" si="22"/>
        <v>2.3105051398492022E-2</v>
      </c>
      <c r="S38" s="635">
        <f t="shared" si="22"/>
        <v>5.4807080371492983E-2</v>
      </c>
      <c r="T38" s="635">
        <f t="shared" si="22"/>
        <v>7.0350674706332855E-2</v>
      </c>
    </row>
    <row r="39" spans="1:20" x14ac:dyDescent="0.3">
      <c r="A39" s="631">
        <v>1</v>
      </c>
      <c r="C39" s="631" t="s">
        <v>124</v>
      </c>
      <c r="E39" s="631">
        <f t="shared" ref="E39:L39" si="25">E17+E18</f>
        <v>257036</v>
      </c>
      <c r="F39" s="631">
        <f t="shared" si="25"/>
        <v>19628</v>
      </c>
      <c r="G39" s="631">
        <f t="shared" si="25"/>
        <v>28176</v>
      </c>
      <c r="H39" s="631">
        <f t="shared" si="25"/>
        <v>49716</v>
      </c>
      <c r="I39" s="631">
        <f t="shared" si="25"/>
        <v>2074178.6400000001</v>
      </c>
      <c r="J39" s="631">
        <f t="shared" si="25"/>
        <v>79146.600000000006</v>
      </c>
      <c r="K39" s="631">
        <f t="shared" si="25"/>
        <v>161925.72</v>
      </c>
      <c r="L39" s="631">
        <f t="shared" si="25"/>
        <v>41669.759999999995</v>
      </c>
      <c r="M39" s="634">
        <f t="shared" si="21"/>
        <v>8.069603635288443</v>
      </c>
      <c r="N39" s="634">
        <f t="shared" si="21"/>
        <v>4.0323313633584679</v>
      </c>
      <c r="O39" s="634">
        <f t="shared" si="21"/>
        <v>5.7469378194207836</v>
      </c>
      <c r="P39" s="634">
        <f t="shared" si="21"/>
        <v>0.83815592565773589</v>
      </c>
      <c r="Q39" s="635">
        <f t="shared" si="22"/>
        <v>0.72495177066528282</v>
      </c>
      <c r="R39" s="635">
        <f t="shared" si="22"/>
        <v>5.5359379054366588E-2</v>
      </c>
      <c r="S39" s="635">
        <f t="shared" si="22"/>
        <v>7.9468405555116819E-2</v>
      </c>
      <c r="T39" s="635">
        <f t="shared" si="22"/>
        <v>0.14022044472523382</v>
      </c>
    </row>
    <row r="40" spans="1:20" x14ac:dyDescent="0.3">
      <c r="A40" s="631">
        <v>2</v>
      </c>
      <c r="C40" s="631" t="s">
        <v>124</v>
      </c>
      <c r="E40" s="631">
        <f t="shared" ref="E40:L40" si="26">E19+E20+E21+E22+E23</f>
        <v>1614216</v>
      </c>
      <c r="F40" s="631">
        <f t="shared" si="26"/>
        <v>65840</v>
      </c>
      <c r="G40" s="631">
        <f t="shared" si="26"/>
        <v>109496</v>
      </c>
      <c r="H40" s="631">
        <f t="shared" si="26"/>
        <v>91332</v>
      </c>
      <c r="I40" s="631">
        <f t="shared" si="26"/>
        <v>12344131.4</v>
      </c>
      <c r="J40" s="631">
        <f t="shared" si="26"/>
        <v>320567.59999999998</v>
      </c>
      <c r="K40" s="631">
        <f t="shared" si="26"/>
        <v>617315.84000000008</v>
      </c>
      <c r="L40" s="631">
        <f t="shared" si="26"/>
        <v>86445.6</v>
      </c>
      <c r="M40" s="634">
        <f t="shared" si="21"/>
        <v>7.6471373100006446</v>
      </c>
      <c r="N40" s="634">
        <f t="shared" si="21"/>
        <v>4.8688882138517613</v>
      </c>
      <c r="O40" s="634">
        <f t="shared" si="21"/>
        <v>5.637793526704173</v>
      </c>
      <c r="P40" s="634">
        <f t="shared" si="21"/>
        <v>0.94649848902903699</v>
      </c>
      <c r="Q40" s="635">
        <f t="shared" si="22"/>
        <v>0.85822198498152991</v>
      </c>
      <c r="R40" s="635">
        <f t="shared" si="22"/>
        <v>3.5004816883975831E-2</v>
      </c>
      <c r="S40" s="635">
        <f t="shared" si="22"/>
        <v>5.8215179670835629E-2</v>
      </c>
      <c r="T40" s="635">
        <f t="shared" si="22"/>
        <v>4.8558018463658578E-2</v>
      </c>
    </row>
    <row r="41" spans="1:20" x14ac:dyDescent="0.3">
      <c r="A41" s="631">
        <v>3</v>
      </c>
      <c r="C41" s="631" t="s">
        <v>124</v>
      </c>
      <c r="E41" s="631">
        <f t="shared" ref="E41:L41" si="27">E24+E25+E26+E27+E28</f>
        <v>3585660</v>
      </c>
      <c r="F41" s="631">
        <f t="shared" si="27"/>
        <v>84028</v>
      </c>
      <c r="G41" s="631">
        <f t="shared" si="27"/>
        <v>228880</v>
      </c>
      <c r="H41" s="631">
        <f t="shared" si="27"/>
        <v>142776</v>
      </c>
      <c r="I41" s="631">
        <f t="shared" si="27"/>
        <v>29434783.48</v>
      </c>
      <c r="J41" s="631">
        <f t="shared" si="27"/>
        <v>387854.32</v>
      </c>
      <c r="K41" s="631">
        <f t="shared" si="27"/>
        <v>1312705.2799999998</v>
      </c>
      <c r="L41" s="631">
        <f t="shared" si="27"/>
        <v>125339.4</v>
      </c>
      <c r="M41" s="634">
        <f t="shared" si="12"/>
        <v>8.2090280394683273</v>
      </c>
      <c r="N41" s="634">
        <f t="shared" si="13"/>
        <v>4.615774741752749</v>
      </c>
      <c r="O41" s="634">
        <f t="shared" si="14"/>
        <v>5.7353428871024112</v>
      </c>
      <c r="P41" s="634">
        <f t="shared" si="15"/>
        <v>0.87787443267776089</v>
      </c>
      <c r="Q41" s="635">
        <f t="shared" si="16"/>
        <v>0.8872444414531403</v>
      </c>
      <c r="R41" s="635">
        <f t="shared" si="17"/>
        <v>2.0792092927501345E-2</v>
      </c>
      <c r="S41" s="635">
        <f t="shared" si="18"/>
        <v>5.6634624520951443E-2</v>
      </c>
      <c r="T41" s="635">
        <f t="shared" si="19"/>
        <v>3.5328841098406866E-2</v>
      </c>
    </row>
    <row r="42" spans="1:20" x14ac:dyDescent="0.3">
      <c r="A42" s="631">
        <v>4</v>
      </c>
      <c r="C42" s="631" t="s">
        <v>124</v>
      </c>
      <c r="E42" s="631">
        <f>E29</f>
        <v>627300</v>
      </c>
      <c r="F42" s="631">
        <f t="shared" ref="F42:L42" si="28">F29</f>
        <v>15040</v>
      </c>
      <c r="G42" s="631">
        <f t="shared" si="28"/>
        <v>46364</v>
      </c>
      <c r="H42" s="631">
        <f t="shared" si="28"/>
        <v>43588</v>
      </c>
      <c r="I42" s="631">
        <f t="shared" si="28"/>
        <v>5501926.5199999996</v>
      </c>
      <c r="J42" s="631">
        <f t="shared" si="28"/>
        <v>50868.32</v>
      </c>
      <c r="K42" s="631">
        <f t="shared" si="28"/>
        <v>336466.28</v>
      </c>
      <c r="L42" s="631">
        <f t="shared" si="28"/>
        <v>36859.760000000002</v>
      </c>
      <c r="M42" s="634">
        <f t="shared" si="12"/>
        <v>8.7708058664116049</v>
      </c>
      <c r="N42" s="634">
        <f t="shared" si="13"/>
        <v>3.3822021276595744</v>
      </c>
      <c r="O42" s="634">
        <f t="shared" si="14"/>
        <v>7.2570589250280397</v>
      </c>
      <c r="P42" s="634">
        <f t="shared" si="15"/>
        <v>0.84564008442690652</v>
      </c>
      <c r="Q42" s="635">
        <f t="shared" si="16"/>
        <v>0.85662549911783825</v>
      </c>
      <c r="R42" s="635">
        <f t="shared" si="17"/>
        <v>2.0538255231519666E-2</v>
      </c>
      <c r="S42" s="635">
        <f t="shared" si="18"/>
        <v>6.3313541592697989E-2</v>
      </c>
      <c r="T42" s="635">
        <f t="shared" si="19"/>
        <v>5.9522704057944097E-2</v>
      </c>
    </row>
    <row r="45" spans="1:20" x14ac:dyDescent="0.3">
      <c r="A45" s="631" t="s">
        <v>491</v>
      </c>
      <c r="E45" s="631">
        <f t="shared" ref="E45:L45" si="29">SUM(E35:E42)-SUM(E6:E29)</f>
        <v>0</v>
      </c>
      <c r="F45" s="631">
        <f t="shared" si="29"/>
        <v>0</v>
      </c>
      <c r="G45" s="631">
        <f t="shared" si="29"/>
        <v>0</v>
      </c>
      <c r="H45" s="631">
        <f t="shared" si="29"/>
        <v>0</v>
      </c>
      <c r="I45" s="631">
        <f t="shared" si="29"/>
        <v>0</v>
      </c>
      <c r="J45" s="631">
        <f t="shared" si="29"/>
        <v>0</v>
      </c>
      <c r="K45" s="631">
        <f t="shared" si="29"/>
        <v>0</v>
      </c>
      <c r="L45" s="631">
        <f t="shared" si="29"/>
        <v>0</v>
      </c>
    </row>
    <row r="47" spans="1:20" x14ac:dyDescent="0.3">
      <c r="A47" s="631" t="s">
        <v>492</v>
      </c>
      <c r="B47" s="631">
        <f>SUM(E7:H30)</f>
        <v>27694080</v>
      </c>
    </row>
    <row r="48" spans="1:20" x14ac:dyDescent="0.3">
      <c r="A48" s="631" t="s">
        <v>493</v>
      </c>
      <c r="B48" s="631">
        <f>SUM(I7:L30)</f>
        <v>205928575.96000001</v>
      </c>
    </row>
  </sheetData>
  <conditionalFormatting sqref="M7:M30">
    <cfRule type="colorScale" priority="211">
      <colorScale>
        <cfvo type="min"/>
        <cfvo type="max"/>
        <color rgb="FFFCFCFF"/>
        <color rgb="FF63BE7B"/>
      </colorScale>
    </cfRule>
  </conditionalFormatting>
  <conditionalFormatting sqref="N7:N30">
    <cfRule type="colorScale" priority="213">
      <colorScale>
        <cfvo type="min"/>
        <cfvo type="max"/>
        <color rgb="FFFCFCFF"/>
        <color rgb="FF63BE7B"/>
      </colorScale>
    </cfRule>
  </conditionalFormatting>
  <conditionalFormatting sqref="O7:O30">
    <cfRule type="colorScale" priority="215">
      <colorScale>
        <cfvo type="min"/>
        <cfvo type="max"/>
        <color rgb="FFFCFCFF"/>
        <color rgb="FF63BE7B"/>
      </colorScale>
    </cfRule>
  </conditionalFormatting>
  <conditionalFormatting sqref="P7:P30">
    <cfRule type="colorScale" priority="217">
      <colorScale>
        <cfvo type="min"/>
        <cfvo type="max"/>
        <color rgb="FFFCFCFF"/>
        <color rgb="FF63BE7B"/>
      </colorScale>
    </cfRule>
  </conditionalFormatting>
  <conditionalFormatting sqref="Q7:Q30">
    <cfRule type="colorScale" priority="219">
      <colorScale>
        <cfvo type="min"/>
        <cfvo type="max"/>
        <color rgb="FFFCFCFF"/>
        <color rgb="FF63BE7B"/>
      </colorScale>
    </cfRule>
  </conditionalFormatting>
  <conditionalFormatting sqref="R7:R30">
    <cfRule type="colorScale" priority="221">
      <colorScale>
        <cfvo type="min"/>
        <cfvo type="max"/>
        <color rgb="FFFCFCFF"/>
        <color rgb="FF63BE7B"/>
      </colorScale>
    </cfRule>
  </conditionalFormatting>
  <conditionalFormatting sqref="S7:S30">
    <cfRule type="colorScale" priority="223">
      <colorScale>
        <cfvo type="min"/>
        <cfvo type="max"/>
        <color rgb="FFFCFCFF"/>
        <color rgb="FF63BE7B"/>
      </colorScale>
    </cfRule>
  </conditionalFormatting>
  <conditionalFormatting sqref="T7:T30">
    <cfRule type="colorScale" priority="225">
      <colorScale>
        <cfvo type="min"/>
        <cfvo type="max"/>
        <color rgb="FFFCFCFF"/>
        <color rgb="FF63BE7B"/>
      </colorScale>
    </cfRule>
  </conditionalFormatting>
  <conditionalFormatting sqref="M35:M42">
    <cfRule type="colorScale" priority="226">
      <colorScale>
        <cfvo type="min"/>
        <cfvo type="max"/>
        <color rgb="FFFCFCFF"/>
        <color rgb="FF63BE7B"/>
      </colorScale>
    </cfRule>
  </conditionalFormatting>
  <conditionalFormatting sqref="N35:N42">
    <cfRule type="colorScale" priority="228">
      <colorScale>
        <cfvo type="min"/>
        <cfvo type="max"/>
        <color rgb="FFFCFCFF"/>
        <color rgb="FF63BE7B"/>
      </colorScale>
    </cfRule>
  </conditionalFormatting>
  <conditionalFormatting sqref="O35:O42">
    <cfRule type="colorScale" priority="230">
      <colorScale>
        <cfvo type="min"/>
        <cfvo type="max"/>
        <color rgb="FFFCFCFF"/>
        <color rgb="FF63BE7B"/>
      </colorScale>
    </cfRule>
  </conditionalFormatting>
  <conditionalFormatting sqref="P35:P42">
    <cfRule type="colorScale" priority="232">
      <colorScale>
        <cfvo type="min"/>
        <cfvo type="max"/>
        <color rgb="FFFCFCFF"/>
        <color rgb="FF63BE7B"/>
      </colorScale>
    </cfRule>
  </conditionalFormatting>
  <conditionalFormatting sqref="Q35:Q42">
    <cfRule type="colorScale" priority="234">
      <colorScale>
        <cfvo type="min"/>
        <cfvo type="max"/>
        <color rgb="FFFCFCFF"/>
        <color rgb="FF63BE7B"/>
      </colorScale>
    </cfRule>
  </conditionalFormatting>
  <conditionalFormatting sqref="R35:R42">
    <cfRule type="colorScale" priority="236">
      <colorScale>
        <cfvo type="min"/>
        <cfvo type="max"/>
        <color rgb="FFFCFCFF"/>
        <color rgb="FF63BE7B"/>
      </colorScale>
    </cfRule>
  </conditionalFormatting>
  <conditionalFormatting sqref="S35:S42">
    <cfRule type="colorScale" priority="238">
      <colorScale>
        <cfvo type="min"/>
        <cfvo type="max"/>
        <color rgb="FFFCFCFF"/>
        <color rgb="FF63BE7B"/>
      </colorScale>
    </cfRule>
  </conditionalFormatting>
  <conditionalFormatting sqref="T35:T42">
    <cfRule type="colorScale" priority="240">
      <colorScale>
        <cfvo type="min"/>
        <cfvo type="max"/>
        <color rgb="FFFCFCFF"/>
        <color rgb="FF63BE7B"/>
      </colorScale>
    </cfRule>
  </conditionalFormatting>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92BB2-A238-406B-A664-B757A5B1C286}">
  <sheetPr>
    <tabColor theme="5" tint="0.39997558519241921"/>
  </sheetPr>
  <dimension ref="A1:T48"/>
  <sheetViews>
    <sheetView workbookViewId="0">
      <selection activeCell="N48" sqref="N48"/>
    </sheetView>
  </sheetViews>
  <sheetFormatPr defaultColWidth="11.5703125" defaultRowHeight="16.5" x14ac:dyDescent="0.3"/>
  <cols>
    <col min="1" max="1" width="11.85546875" style="631" bestFit="1" customWidth="1"/>
    <col min="2" max="2" width="12.140625" style="631" bestFit="1" customWidth="1"/>
    <col min="3" max="3" width="11.5703125" style="631"/>
    <col min="4" max="8" width="11.85546875" style="631" bestFit="1" customWidth="1"/>
    <col min="9" max="9" width="14.5703125" style="631" bestFit="1" customWidth="1"/>
    <col min="10" max="20" width="11.85546875" style="631" bestFit="1" customWidth="1"/>
    <col min="21" max="16384" width="11.5703125" style="631"/>
  </cols>
  <sheetData>
    <row r="1" spans="1:20" ht="25.5" x14ac:dyDescent="0.35">
      <c r="A1" s="636" t="s">
        <v>465</v>
      </c>
    </row>
    <row r="2" spans="1:20" x14ac:dyDescent="0.3">
      <c r="E2" s="632" t="s">
        <v>466</v>
      </c>
      <c r="F2" s="632"/>
      <c r="G2" s="632"/>
      <c r="H2" s="632"/>
      <c r="I2" s="632"/>
      <c r="J2" s="632"/>
      <c r="K2" s="632"/>
      <c r="L2" s="632"/>
    </row>
    <row r="3" spans="1:20" x14ac:dyDescent="0.3">
      <c r="E3" s="632"/>
      <c r="F3" s="632"/>
      <c r="G3" s="632"/>
      <c r="H3" s="632"/>
      <c r="I3" s="632"/>
      <c r="J3" s="632"/>
      <c r="K3" s="632"/>
      <c r="L3" s="632"/>
    </row>
    <row r="4" spans="1:20" x14ac:dyDescent="0.3">
      <c r="E4" s="632"/>
      <c r="F4" s="632"/>
      <c r="G4" s="632"/>
      <c r="H4" s="632"/>
      <c r="I4" s="632"/>
      <c r="J4" s="632"/>
      <c r="K4" s="632"/>
      <c r="L4" s="632"/>
    </row>
    <row r="5" spans="1:20" x14ac:dyDescent="0.3">
      <c r="A5" s="631" t="s">
        <v>53</v>
      </c>
      <c r="B5" s="631" t="s">
        <v>413</v>
      </c>
      <c r="C5" s="631" t="s">
        <v>414</v>
      </c>
      <c r="D5" s="631" t="s">
        <v>494</v>
      </c>
      <c r="E5" s="632" t="s">
        <v>468</v>
      </c>
      <c r="F5" s="632" t="s">
        <v>469</v>
      </c>
      <c r="G5" s="632" t="s">
        <v>470</v>
      </c>
      <c r="H5" s="632" t="s">
        <v>471</v>
      </c>
      <c r="I5" s="632" t="s">
        <v>472</v>
      </c>
      <c r="J5" s="632" t="s">
        <v>473</v>
      </c>
      <c r="K5" s="632" t="s">
        <v>474</v>
      </c>
      <c r="L5" s="632" t="s">
        <v>475</v>
      </c>
      <c r="M5" s="631" t="s">
        <v>476</v>
      </c>
      <c r="N5" s="631" t="s">
        <v>477</v>
      </c>
      <c r="O5" s="631" t="s">
        <v>478</v>
      </c>
      <c r="P5" s="631" t="s">
        <v>479</v>
      </c>
      <c r="Q5" s="631" t="s">
        <v>480</v>
      </c>
      <c r="R5" s="631" t="s">
        <v>481</v>
      </c>
      <c r="S5" s="631" t="s">
        <v>482</v>
      </c>
      <c r="T5" s="631" t="s">
        <v>483</v>
      </c>
    </row>
    <row r="6" spans="1:20" x14ac:dyDescent="0.3">
      <c r="A6" s="631">
        <v>1</v>
      </c>
      <c r="B6" s="631" t="s">
        <v>484</v>
      </c>
      <c r="C6" s="631" t="s">
        <v>56</v>
      </c>
      <c r="D6" s="631">
        <v>2</v>
      </c>
      <c r="E6" s="632">
        <v>928064</v>
      </c>
      <c r="F6" s="632">
        <v>116228</v>
      </c>
      <c r="G6" s="632">
        <v>156440</v>
      </c>
      <c r="H6" s="632">
        <v>231020</v>
      </c>
      <c r="I6" s="632">
        <v>6784550.5999999996</v>
      </c>
      <c r="J6" s="632">
        <v>406833.28</v>
      </c>
      <c r="K6" s="632">
        <v>921980.12</v>
      </c>
      <c r="L6" s="632">
        <v>206245.48</v>
      </c>
      <c r="M6" s="634">
        <f t="shared" ref="M6:M15" si="0">I6/E6</f>
        <v>7.3104339786911243</v>
      </c>
      <c r="N6" s="634">
        <f t="shared" ref="N6:N15" si="1">J6/F6</f>
        <v>3.500303541315346</v>
      </c>
      <c r="O6" s="634">
        <f t="shared" ref="O6:O15" si="2">K6/G6</f>
        <v>5.8935062643825109</v>
      </c>
      <c r="P6" s="634">
        <f t="shared" ref="P6:P15" si="3">L6/H6</f>
        <v>0.89276028049519529</v>
      </c>
      <c r="Q6" s="635">
        <f t="shared" ref="Q6:Q15" si="4">E6/SUM($E6:$H6)</f>
        <v>0.64820164386010981</v>
      </c>
      <c r="R6" s="635">
        <f t="shared" ref="R6:R15" si="5">F6/SUM($E6:$H6)</f>
        <v>8.117886337857394E-2</v>
      </c>
      <c r="S6" s="635">
        <f t="shared" ref="S6:S15" si="6">G6/SUM($E6:$H6)</f>
        <v>0.10926473299845224</v>
      </c>
      <c r="T6" s="635">
        <f t="shared" ref="T6:T15" si="7">H6/SUM($E6:$H6)</f>
        <v>0.16135475976286395</v>
      </c>
    </row>
    <row r="7" spans="1:20" x14ac:dyDescent="0.3">
      <c r="A7" s="631">
        <v>1</v>
      </c>
      <c r="B7" s="631" t="s">
        <v>485</v>
      </c>
      <c r="C7" s="631" t="s">
        <v>56</v>
      </c>
      <c r="D7" s="631">
        <v>4</v>
      </c>
      <c r="E7" s="632">
        <v>169768</v>
      </c>
      <c r="F7" s="632">
        <v>13752</v>
      </c>
      <c r="G7" s="632">
        <v>20276</v>
      </c>
      <c r="H7" s="632">
        <v>69868</v>
      </c>
      <c r="I7" s="632">
        <v>1353853.48</v>
      </c>
      <c r="J7" s="632">
        <v>58379.519999999997</v>
      </c>
      <c r="K7" s="632">
        <v>147843.76</v>
      </c>
      <c r="L7" s="632">
        <v>47426.36</v>
      </c>
      <c r="M7" s="634">
        <f t="shared" si="0"/>
        <v>7.9747271570614009</v>
      </c>
      <c r="N7" s="634">
        <f t="shared" si="1"/>
        <v>4.2451657940663177</v>
      </c>
      <c r="O7" s="634">
        <f t="shared" si="2"/>
        <v>7.2915644111264557</v>
      </c>
      <c r="P7" s="634">
        <f t="shared" si="3"/>
        <v>0.67879945039216805</v>
      </c>
      <c r="Q7" s="635">
        <f t="shared" si="4"/>
        <v>0.62035196445275964</v>
      </c>
      <c r="R7" s="635">
        <f t="shared" si="5"/>
        <v>5.025140318054256E-2</v>
      </c>
      <c r="S7" s="635">
        <f t="shared" si="6"/>
        <v>7.409085594013097E-2</v>
      </c>
      <c r="T7" s="635">
        <f t="shared" si="7"/>
        <v>0.25530577642656688</v>
      </c>
    </row>
    <row r="8" spans="1:20" x14ac:dyDescent="0.3">
      <c r="A8" s="631">
        <v>2</v>
      </c>
      <c r="B8" s="631" t="s">
        <v>484</v>
      </c>
      <c r="C8" s="631" t="s">
        <v>56</v>
      </c>
      <c r="D8" s="631">
        <v>6</v>
      </c>
      <c r="E8" s="632">
        <v>339892</v>
      </c>
      <c r="F8" s="632">
        <v>15264</v>
      </c>
      <c r="G8" s="632">
        <v>29768</v>
      </c>
      <c r="H8" s="632">
        <v>15612</v>
      </c>
      <c r="I8" s="632">
        <v>2691035.72</v>
      </c>
      <c r="J8" s="632">
        <v>77331.88</v>
      </c>
      <c r="K8" s="632">
        <v>170365.12</v>
      </c>
      <c r="L8" s="632">
        <v>15103</v>
      </c>
      <c r="M8" s="634">
        <f t="shared" si="0"/>
        <v>7.9173258564485192</v>
      </c>
      <c r="N8" s="634">
        <f t="shared" si="1"/>
        <v>5.0662919287211743</v>
      </c>
      <c r="O8" s="634">
        <f t="shared" si="2"/>
        <v>5.7230959419510885</v>
      </c>
      <c r="P8" s="634">
        <f t="shared" si="3"/>
        <v>0.96739687419933384</v>
      </c>
      <c r="Q8" s="635">
        <f t="shared" si="4"/>
        <v>0.8485928855333853</v>
      </c>
      <c r="R8" s="635">
        <f t="shared" si="5"/>
        <v>3.8108934028401945E-2</v>
      </c>
      <c r="S8" s="635">
        <f t="shared" si="6"/>
        <v>7.4320410649729357E-2</v>
      </c>
      <c r="T8" s="635">
        <f t="shared" si="7"/>
        <v>3.8977769788483434E-2</v>
      </c>
    </row>
    <row r="9" spans="1:20" x14ac:dyDescent="0.3">
      <c r="A9" s="631">
        <v>2</v>
      </c>
      <c r="B9" s="631" t="s">
        <v>486</v>
      </c>
      <c r="C9" s="631" t="s">
        <v>56</v>
      </c>
      <c r="D9" s="631">
        <v>8</v>
      </c>
      <c r="E9" s="632">
        <v>150764</v>
      </c>
      <c r="F9" s="632">
        <v>5860</v>
      </c>
      <c r="G9" s="632">
        <v>11720</v>
      </c>
      <c r="H9" s="632">
        <v>6016</v>
      </c>
      <c r="I9" s="632">
        <v>1154015.6000000001</v>
      </c>
      <c r="J9" s="632">
        <v>28977.360000000001</v>
      </c>
      <c r="K9" s="632">
        <v>68512.52</v>
      </c>
      <c r="L9" s="632">
        <v>6175.36</v>
      </c>
      <c r="M9" s="634">
        <f t="shared" si="0"/>
        <v>7.6544506646148953</v>
      </c>
      <c r="N9" s="634">
        <f t="shared" si="1"/>
        <v>4.9449419795221843</v>
      </c>
      <c r="O9" s="634">
        <f t="shared" si="2"/>
        <v>5.8457781569965874</v>
      </c>
      <c r="P9" s="634">
        <f t="shared" si="3"/>
        <v>1.0264893617021276</v>
      </c>
      <c r="Q9" s="635">
        <f t="shared" si="4"/>
        <v>0.86467079605414088</v>
      </c>
      <c r="R9" s="635">
        <f t="shared" si="5"/>
        <v>3.3608625831612754E-2</v>
      </c>
      <c r="S9" s="635">
        <f t="shared" si="6"/>
        <v>6.7217251663225508E-2</v>
      </c>
      <c r="T9" s="635">
        <f t="shared" si="7"/>
        <v>3.4503326451020874E-2</v>
      </c>
    </row>
    <row r="10" spans="1:20" x14ac:dyDescent="0.3">
      <c r="A10" s="631">
        <v>2</v>
      </c>
      <c r="B10" s="631" t="s">
        <v>487</v>
      </c>
      <c r="C10" s="631" t="s">
        <v>56</v>
      </c>
      <c r="D10" s="631">
        <v>10</v>
      </c>
      <c r="E10" s="632">
        <v>424388</v>
      </c>
      <c r="F10" s="632">
        <v>23228</v>
      </c>
      <c r="G10" s="632">
        <v>36356</v>
      </c>
      <c r="H10" s="632">
        <v>19320</v>
      </c>
      <c r="I10" s="632">
        <v>3142792.6</v>
      </c>
      <c r="J10" s="632">
        <v>117222.32</v>
      </c>
      <c r="K10" s="632">
        <v>295421.59999999998</v>
      </c>
      <c r="L10" s="632">
        <v>20729.240000000002</v>
      </c>
      <c r="M10" s="634">
        <f t="shared" si="0"/>
        <v>7.4054699944390512</v>
      </c>
      <c r="N10" s="634">
        <f t="shared" si="1"/>
        <v>5.0465954882038924</v>
      </c>
      <c r="O10" s="634">
        <f t="shared" si="2"/>
        <v>8.1258004180877972</v>
      </c>
      <c r="P10" s="634">
        <f t="shared" si="3"/>
        <v>1.0729420289855074</v>
      </c>
      <c r="Q10" s="635">
        <f t="shared" si="4"/>
        <v>0.8432242117895774</v>
      </c>
      <c r="R10" s="635">
        <f t="shared" si="5"/>
        <v>4.6152134347456346E-2</v>
      </c>
      <c r="S10" s="635">
        <f t="shared" si="6"/>
        <v>7.2236395571556866E-2</v>
      </c>
      <c r="T10" s="635">
        <f t="shared" si="7"/>
        <v>3.8387258291409362E-2</v>
      </c>
    </row>
    <row r="11" spans="1:20" x14ac:dyDescent="0.3">
      <c r="A11" s="631">
        <v>2</v>
      </c>
      <c r="B11" s="631" t="s">
        <v>488</v>
      </c>
      <c r="C11" s="631" t="s">
        <v>56</v>
      </c>
      <c r="D11" s="631">
        <v>12</v>
      </c>
      <c r="E11" s="632">
        <v>457312</v>
      </c>
      <c r="F11" s="632">
        <v>16268</v>
      </c>
      <c r="G11" s="632">
        <v>37008</v>
      </c>
      <c r="H11" s="632">
        <v>25488</v>
      </c>
      <c r="I11" s="632">
        <v>3356839.2</v>
      </c>
      <c r="J11" s="632">
        <v>77329.960000000006</v>
      </c>
      <c r="K11" s="632">
        <v>254753.2</v>
      </c>
      <c r="L11" s="632">
        <v>21781.360000000001</v>
      </c>
      <c r="M11" s="634">
        <f t="shared" si="0"/>
        <v>7.3403698131691275</v>
      </c>
      <c r="N11" s="634">
        <f t="shared" si="1"/>
        <v>4.7535013523481684</v>
      </c>
      <c r="O11" s="634">
        <f t="shared" si="2"/>
        <v>6.8837332468655426</v>
      </c>
      <c r="P11" s="634">
        <f t="shared" si="3"/>
        <v>0.8545731324544884</v>
      </c>
      <c r="Q11" s="635">
        <f t="shared" si="4"/>
        <v>0.85307307172863545</v>
      </c>
      <c r="R11" s="635">
        <f t="shared" si="5"/>
        <v>3.0346443414739702E-2</v>
      </c>
      <c r="S11" s="635">
        <f t="shared" si="6"/>
        <v>6.9034987576388429E-2</v>
      </c>
      <c r="T11" s="635">
        <f t="shared" si="7"/>
        <v>4.7545497280236382E-2</v>
      </c>
    </row>
    <row r="12" spans="1:20" x14ac:dyDescent="0.3">
      <c r="A12" s="631">
        <v>3</v>
      </c>
      <c r="B12" s="631" t="s">
        <v>484</v>
      </c>
      <c r="C12" s="631" t="s">
        <v>56</v>
      </c>
      <c r="D12" s="631">
        <v>15</v>
      </c>
      <c r="E12" s="632">
        <v>504936</v>
      </c>
      <c r="F12" s="632">
        <v>13604</v>
      </c>
      <c r="G12" s="632">
        <v>30764</v>
      </c>
      <c r="H12" s="632">
        <v>23564</v>
      </c>
      <c r="I12" s="632">
        <v>4025451.92</v>
      </c>
      <c r="J12" s="632">
        <v>61369.68</v>
      </c>
      <c r="K12" s="632">
        <v>174171.56</v>
      </c>
      <c r="L12" s="632">
        <v>21502.080000000002</v>
      </c>
      <c r="M12" s="634">
        <f t="shared" si="0"/>
        <v>7.9722022592962274</v>
      </c>
      <c r="N12" s="634">
        <f t="shared" si="1"/>
        <v>4.5111496618641578</v>
      </c>
      <c r="O12" s="634">
        <f t="shared" si="2"/>
        <v>5.6615381614874529</v>
      </c>
      <c r="P12" s="634">
        <f t="shared" si="3"/>
        <v>0.91249702936683086</v>
      </c>
      <c r="Q12" s="635">
        <f t="shared" si="4"/>
        <v>0.88141770879155412</v>
      </c>
      <c r="R12" s="635">
        <f t="shared" si="5"/>
        <v>2.3747180851435234E-2</v>
      </c>
      <c r="S12" s="635">
        <f t="shared" si="6"/>
        <v>5.370172535383369E-2</v>
      </c>
      <c r="T12" s="635">
        <f t="shared" si="7"/>
        <v>4.1133385003176995E-2</v>
      </c>
    </row>
    <row r="13" spans="1:20" x14ac:dyDescent="0.3">
      <c r="A13" s="631">
        <v>3</v>
      </c>
      <c r="B13" s="631" t="s">
        <v>487</v>
      </c>
      <c r="C13" s="631" t="s">
        <v>56</v>
      </c>
      <c r="D13" s="631">
        <v>18</v>
      </c>
      <c r="E13" s="632">
        <v>590160</v>
      </c>
      <c r="F13" s="632">
        <v>15616</v>
      </c>
      <c r="G13" s="632">
        <v>26752</v>
      </c>
      <c r="H13" s="632">
        <v>17384</v>
      </c>
      <c r="I13" s="632">
        <v>4668792.08</v>
      </c>
      <c r="J13" s="632">
        <v>81764.88</v>
      </c>
      <c r="K13" s="632">
        <v>155992</v>
      </c>
      <c r="L13" s="632">
        <v>18344.32</v>
      </c>
      <c r="M13" s="634">
        <f t="shared" si="0"/>
        <v>7.9110615426325062</v>
      </c>
      <c r="N13" s="634">
        <f t="shared" si="1"/>
        <v>5.2359682377049186</v>
      </c>
      <c r="O13" s="634">
        <f t="shared" si="2"/>
        <v>5.831040669856459</v>
      </c>
      <c r="P13" s="634">
        <f t="shared" si="3"/>
        <v>1.0552416014726185</v>
      </c>
      <c r="Q13" s="635">
        <f t="shared" si="4"/>
        <v>0.90806139908172179</v>
      </c>
      <c r="R13" s="635">
        <f t="shared" si="5"/>
        <v>2.4027868388335653E-2</v>
      </c>
      <c r="S13" s="635">
        <f t="shared" si="6"/>
        <v>4.1162495845591403E-2</v>
      </c>
      <c r="T13" s="635">
        <f t="shared" si="7"/>
        <v>2.6748236684351112E-2</v>
      </c>
    </row>
    <row r="14" spans="1:20" x14ac:dyDescent="0.3">
      <c r="A14" s="631">
        <v>3</v>
      </c>
      <c r="B14" s="631" t="s">
        <v>488</v>
      </c>
      <c r="C14" s="631" t="s">
        <v>56</v>
      </c>
      <c r="D14" s="631">
        <v>20</v>
      </c>
      <c r="E14" s="632">
        <v>597260</v>
      </c>
      <c r="F14" s="632">
        <v>13160</v>
      </c>
      <c r="G14" s="632">
        <v>30240</v>
      </c>
      <c r="H14" s="632">
        <v>22376</v>
      </c>
      <c r="I14" s="632">
        <v>4343259.8</v>
      </c>
      <c r="J14" s="632">
        <v>56262.239999999998</v>
      </c>
      <c r="K14" s="632">
        <v>209269.88</v>
      </c>
      <c r="L14" s="632">
        <v>19781</v>
      </c>
      <c r="M14" s="634">
        <f t="shared" si="0"/>
        <v>7.2719750192545956</v>
      </c>
      <c r="N14" s="634">
        <f t="shared" si="1"/>
        <v>4.2752462006079028</v>
      </c>
      <c r="O14" s="634">
        <f t="shared" si="2"/>
        <v>6.9203002645502645</v>
      </c>
      <c r="P14" s="634">
        <f t="shared" si="3"/>
        <v>0.88402752949588848</v>
      </c>
      <c r="Q14" s="635">
        <f t="shared" si="4"/>
        <v>0.90079573356499498</v>
      </c>
      <c r="R14" s="635">
        <f t="shared" si="5"/>
        <v>1.9848092712914534E-2</v>
      </c>
      <c r="S14" s="635">
        <f t="shared" si="6"/>
        <v>4.5608383255207864E-2</v>
      </c>
      <c r="T14" s="635">
        <f t="shared" si="7"/>
        <v>3.3747790466882643E-2</v>
      </c>
    </row>
    <row r="15" spans="1:20" x14ac:dyDescent="0.3">
      <c r="A15" s="631">
        <v>4</v>
      </c>
      <c r="B15" s="631" t="s">
        <v>488</v>
      </c>
      <c r="C15" s="631" t="s">
        <v>56</v>
      </c>
      <c r="D15" s="631">
        <v>23</v>
      </c>
      <c r="E15" s="632">
        <v>315896</v>
      </c>
      <c r="F15" s="632">
        <v>8568</v>
      </c>
      <c r="G15" s="632">
        <v>20324</v>
      </c>
      <c r="H15" s="632">
        <v>26056</v>
      </c>
      <c r="I15" s="632">
        <v>2226784.16</v>
      </c>
      <c r="J15" s="632">
        <v>26070.52</v>
      </c>
      <c r="K15" s="632">
        <v>169009.52</v>
      </c>
      <c r="L15" s="632">
        <v>22761.68</v>
      </c>
      <c r="M15" s="634">
        <f t="shared" si="0"/>
        <v>7.049105275153849</v>
      </c>
      <c r="N15" s="634">
        <f t="shared" si="1"/>
        <v>3.0427777777777778</v>
      </c>
      <c r="O15" s="634">
        <f t="shared" si="2"/>
        <v>8.3157606770320793</v>
      </c>
      <c r="P15" s="634">
        <f t="shared" si="3"/>
        <v>0.87356770033773412</v>
      </c>
      <c r="Q15" s="635">
        <f t="shared" si="4"/>
        <v>0.85182987994952053</v>
      </c>
      <c r="R15" s="635">
        <f t="shared" si="5"/>
        <v>2.3104054535060564E-2</v>
      </c>
      <c r="S15" s="635">
        <f t="shared" si="6"/>
        <v>5.4804715729525083E-2</v>
      </c>
      <c r="T15" s="635">
        <f t="shared" si="7"/>
        <v>7.0261349785893795E-2</v>
      </c>
    </row>
    <row r="16" spans="1:20" x14ac:dyDescent="0.3">
      <c r="A16" s="631">
        <v>1</v>
      </c>
      <c r="B16" s="631" t="s">
        <v>484</v>
      </c>
      <c r="C16" s="631" t="s">
        <v>124</v>
      </c>
      <c r="D16" s="631">
        <v>1</v>
      </c>
      <c r="E16" s="632">
        <v>128112</v>
      </c>
      <c r="F16" s="632">
        <v>13184</v>
      </c>
      <c r="G16" s="632">
        <v>14256</v>
      </c>
      <c r="H16" s="632">
        <v>23788</v>
      </c>
      <c r="I16" s="632">
        <v>857503.4</v>
      </c>
      <c r="J16" s="632">
        <v>48849.16</v>
      </c>
      <c r="K16" s="632">
        <v>66350.84</v>
      </c>
      <c r="L16" s="632">
        <v>19223.64</v>
      </c>
      <c r="M16" s="634">
        <f t="shared" ref="M16:M30" si="8">I16/E16</f>
        <v>6.6933885974772078</v>
      </c>
      <c r="N16" s="634">
        <f t="shared" ref="N16:N30" si="9">J16/F16</f>
        <v>3.7051850728155342</v>
      </c>
      <c r="O16" s="634">
        <f t="shared" ref="O16:O30" si="10">K16/G16</f>
        <v>4.6542396184062849</v>
      </c>
      <c r="P16" s="634">
        <f t="shared" ref="P16:P30" si="11">L16/H16</f>
        <v>0.80812342357491174</v>
      </c>
      <c r="Q16" s="635">
        <f t="shared" ref="Q16:Q30" si="12">E16/SUM($E16:$H16)</f>
        <v>0.71435262629642016</v>
      </c>
      <c r="R16" s="635">
        <f t="shared" ref="R16:R30" si="13">F16/SUM($E16:$H16)</f>
        <v>7.3513995762239326E-2</v>
      </c>
      <c r="S16" s="635">
        <f t="shared" ref="S16:S30" si="14">G16/SUM($E16:$H16)</f>
        <v>7.9491468718634994E-2</v>
      </c>
      <c r="T16" s="635">
        <f t="shared" ref="T16:T30" si="15">H16/SUM($E16:$H16)</f>
        <v>0.13264190922270547</v>
      </c>
    </row>
    <row r="17" spans="1:20" x14ac:dyDescent="0.3">
      <c r="A17" s="631">
        <v>1</v>
      </c>
      <c r="B17" s="631" t="s">
        <v>485</v>
      </c>
      <c r="C17" s="631" t="s">
        <v>124</v>
      </c>
      <c r="D17" s="631">
        <v>3</v>
      </c>
      <c r="E17" s="632">
        <v>128860</v>
      </c>
      <c r="F17" s="632">
        <v>6444</v>
      </c>
      <c r="G17" s="632">
        <v>13912</v>
      </c>
      <c r="H17" s="632">
        <v>25864</v>
      </c>
      <c r="I17" s="632">
        <v>1196790.6000000001</v>
      </c>
      <c r="J17" s="632">
        <v>29683.88</v>
      </c>
      <c r="K17" s="632">
        <v>92222.32</v>
      </c>
      <c r="L17" s="632">
        <v>21796.400000000001</v>
      </c>
      <c r="M17" s="634">
        <f t="shared" si="8"/>
        <v>9.2875259972062718</v>
      </c>
      <c r="N17" s="634">
        <f t="shared" si="9"/>
        <v>4.6064369956548727</v>
      </c>
      <c r="O17" s="634">
        <f t="shared" si="10"/>
        <v>6.6289764232317427</v>
      </c>
      <c r="P17" s="634">
        <f t="shared" si="11"/>
        <v>0.84273120940303126</v>
      </c>
      <c r="Q17" s="635">
        <f t="shared" si="12"/>
        <v>0.73600639707562254</v>
      </c>
      <c r="R17" s="635">
        <f t="shared" si="13"/>
        <v>3.6806031528444139E-2</v>
      </c>
      <c r="S17" s="635">
        <f t="shared" si="14"/>
        <v>7.946081791181174E-2</v>
      </c>
      <c r="T17" s="635">
        <f t="shared" si="15"/>
        <v>0.14772675348412154</v>
      </c>
    </row>
    <row r="18" spans="1:20" x14ac:dyDescent="0.3">
      <c r="A18" s="631">
        <v>2</v>
      </c>
      <c r="B18" s="631" t="s">
        <v>484</v>
      </c>
      <c r="C18" s="631" t="s">
        <v>124</v>
      </c>
      <c r="D18" s="631">
        <v>5</v>
      </c>
      <c r="E18" s="632">
        <v>324948</v>
      </c>
      <c r="F18" s="632">
        <v>13812</v>
      </c>
      <c r="G18" s="632">
        <v>25656</v>
      </c>
      <c r="H18" s="632">
        <v>13096</v>
      </c>
      <c r="I18" s="632">
        <v>2538562.3199999998</v>
      </c>
      <c r="J18" s="632">
        <v>71955.399999999994</v>
      </c>
      <c r="K18" s="632">
        <v>137094.04</v>
      </c>
      <c r="L18" s="632">
        <v>12272.16</v>
      </c>
      <c r="M18" s="634">
        <f t="shared" si="8"/>
        <v>7.8122109383655225</v>
      </c>
      <c r="N18" s="634">
        <f t="shared" si="9"/>
        <v>5.2096293078482478</v>
      </c>
      <c r="O18" s="634">
        <f t="shared" si="10"/>
        <v>5.3435469285937014</v>
      </c>
      <c r="P18" s="634">
        <f t="shared" si="11"/>
        <v>0.93709224190592544</v>
      </c>
      <c r="Q18" s="635">
        <f t="shared" si="12"/>
        <v>0.8607620420013139</v>
      </c>
      <c r="R18" s="635">
        <f t="shared" si="13"/>
        <v>3.6586916442391232E-2</v>
      </c>
      <c r="S18" s="635">
        <f t="shared" si="14"/>
        <v>6.7960753565449575E-2</v>
      </c>
      <c r="T18" s="635">
        <f t="shared" si="15"/>
        <v>3.4690287990845323E-2</v>
      </c>
    </row>
    <row r="19" spans="1:20" x14ac:dyDescent="0.3">
      <c r="A19" s="631">
        <v>2</v>
      </c>
      <c r="B19" s="631" t="s">
        <v>486</v>
      </c>
      <c r="C19" s="631" t="s">
        <v>124</v>
      </c>
      <c r="D19" s="631">
        <v>7</v>
      </c>
      <c r="E19" s="632">
        <v>629224</v>
      </c>
      <c r="F19" s="632">
        <v>21372</v>
      </c>
      <c r="G19" s="632">
        <v>36052</v>
      </c>
      <c r="H19" s="632">
        <v>31196</v>
      </c>
      <c r="I19" s="632">
        <v>4700892.4000000004</v>
      </c>
      <c r="J19" s="632">
        <v>106351.92</v>
      </c>
      <c r="K19" s="632">
        <v>184286.16</v>
      </c>
      <c r="L19" s="632">
        <v>29394.080000000002</v>
      </c>
      <c r="M19" s="634">
        <f t="shared" si="8"/>
        <v>7.4709362643510104</v>
      </c>
      <c r="N19" s="634">
        <f t="shared" si="9"/>
        <v>4.9762268388545756</v>
      </c>
      <c r="O19" s="634">
        <f t="shared" si="10"/>
        <v>5.1116764673249753</v>
      </c>
      <c r="P19" s="634">
        <f t="shared" si="11"/>
        <v>0.94223874855750744</v>
      </c>
      <c r="Q19" s="635">
        <f t="shared" si="12"/>
        <v>0.87654699349719434</v>
      </c>
      <c r="R19" s="635">
        <f t="shared" si="13"/>
        <v>2.977248538679713E-2</v>
      </c>
      <c r="S19" s="635">
        <f t="shared" si="14"/>
        <v>5.0222611040838958E-2</v>
      </c>
      <c r="T19" s="635">
        <f t="shared" si="15"/>
        <v>4.3457910075169533E-2</v>
      </c>
    </row>
    <row r="20" spans="1:20" x14ac:dyDescent="0.3">
      <c r="A20" s="631">
        <v>2</v>
      </c>
      <c r="B20" s="631" t="s">
        <v>487</v>
      </c>
      <c r="C20" s="631" t="s">
        <v>124</v>
      </c>
      <c r="D20" s="631">
        <v>9</v>
      </c>
      <c r="E20" s="632">
        <v>41448</v>
      </c>
      <c r="F20" s="632">
        <v>1344</v>
      </c>
      <c r="G20" s="632">
        <v>2100</v>
      </c>
      <c r="H20" s="632">
        <v>1148</v>
      </c>
      <c r="I20" s="632">
        <v>339685.04</v>
      </c>
      <c r="J20" s="632">
        <v>7610.56</v>
      </c>
      <c r="K20" s="632">
        <v>10988.6</v>
      </c>
      <c r="L20" s="632">
        <v>1214.2</v>
      </c>
      <c r="M20" s="634">
        <f t="shared" si="8"/>
        <v>8.1954506851959081</v>
      </c>
      <c r="N20" s="634">
        <f t="shared" si="9"/>
        <v>5.6626190476190477</v>
      </c>
      <c r="O20" s="634">
        <f t="shared" si="10"/>
        <v>5.2326666666666668</v>
      </c>
      <c r="P20" s="634">
        <f t="shared" si="11"/>
        <v>1.057665505226481</v>
      </c>
      <c r="Q20" s="635">
        <f t="shared" si="12"/>
        <v>0.90026064291920072</v>
      </c>
      <c r="R20" s="635">
        <f t="shared" si="13"/>
        <v>2.9192006950477845E-2</v>
      </c>
      <c r="S20" s="635">
        <f t="shared" si="14"/>
        <v>4.5612510860121636E-2</v>
      </c>
      <c r="T20" s="635">
        <f t="shared" si="15"/>
        <v>2.4934839270199825E-2</v>
      </c>
    </row>
    <row r="21" spans="1:20" x14ac:dyDescent="0.3">
      <c r="A21" s="631">
        <v>2</v>
      </c>
      <c r="B21" s="631" t="s">
        <v>488</v>
      </c>
      <c r="C21" s="631" t="s">
        <v>124</v>
      </c>
      <c r="D21" s="631">
        <v>11</v>
      </c>
      <c r="E21" s="632">
        <v>499836</v>
      </c>
      <c r="F21" s="632">
        <v>23880</v>
      </c>
      <c r="G21" s="632">
        <v>31456</v>
      </c>
      <c r="H21" s="632">
        <v>31216</v>
      </c>
      <c r="I21" s="632">
        <v>3597818.64</v>
      </c>
      <c r="J21" s="632">
        <v>106267</v>
      </c>
      <c r="K21" s="632">
        <v>182081.52</v>
      </c>
      <c r="L21" s="632">
        <v>29278.52</v>
      </c>
      <c r="M21" s="634">
        <f t="shared" si="8"/>
        <v>7.1979982234172812</v>
      </c>
      <c r="N21" s="634">
        <f t="shared" si="9"/>
        <v>4.4500418760469014</v>
      </c>
      <c r="O21" s="634">
        <f t="shared" si="10"/>
        <v>5.7884511698880976</v>
      </c>
      <c r="P21" s="634">
        <f t="shared" si="11"/>
        <v>0.93793311122501288</v>
      </c>
      <c r="Q21" s="635">
        <f t="shared" si="12"/>
        <v>0.85239807090186015</v>
      </c>
      <c r="R21" s="635">
        <f t="shared" si="13"/>
        <v>4.0723889301963891E-2</v>
      </c>
      <c r="S21" s="635">
        <f t="shared" si="14"/>
        <v>5.3643662557896821E-2</v>
      </c>
      <c r="T21" s="635">
        <f t="shared" si="15"/>
        <v>5.323437723827909E-2</v>
      </c>
    </row>
    <row r="22" spans="1:20" x14ac:dyDescent="0.3">
      <c r="A22" s="631">
        <v>2</v>
      </c>
      <c r="B22" s="631" t="s">
        <v>485</v>
      </c>
      <c r="C22" s="631" t="s">
        <v>124</v>
      </c>
      <c r="D22" s="631">
        <v>13</v>
      </c>
      <c r="E22" s="632">
        <v>118820</v>
      </c>
      <c r="F22" s="632">
        <v>5424</v>
      </c>
      <c r="G22" s="632">
        <v>14236</v>
      </c>
      <c r="H22" s="632">
        <v>14640</v>
      </c>
      <c r="I22" s="632">
        <v>1141048.24</v>
      </c>
      <c r="J22" s="632">
        <v>29856.959999999999</v>
      </c>
      <c r="K22" s="632">
        <v>101245.24</v>
      </c>
      <c r="L22" s="632">
        <v>14333.8</v>
      </c>
      <c r="M22" s="634">
        <f t="shared" si="8"/>
        <v>9.6031664702911961</v>
      </c>
      <c r="N22" s="634">
        <f t="shared" si="9"/>
        <v>5.5046017699115044</v>
      </c>
      <c r="O22" s="634">
        <f t="shared" si="10"/>
        <v>7.1119162686147801</v>
      </c>
      <c r="P22" s="634">
        <f t="shared" si="11"/>
        <v>0.97908469945355181</v>
      </c>
      <c r="Q22" s="635">
        <f t="shared" si="12"/>
        <v>0.77599268547544409</v>
      </c>
      <c r="R22" s="635">
        <f t="shared" si="13"/>
        <v>3.5423197492163008E-2</v>
      </c>
      <c r="S22" s="635">
        <f t="shared" si="14"/>
        <v>9.297283176593521E-2</v>
      </c>
      <c r="T22" s="635">
        <f t="shared" si="15"/>
        <v>9.561128526645768E-2</v>
      </c>
    </row>
    <row r="23" spans="1:20" x14ac:dyDescent="0.3">
      <c r="A23" s="631">
        <v>3</v>
      </c>
      <c r="B23" s="631" t="s">
        <v>484</v>
      </c>
      <c r="C23" s="631" t="s">
        <v>124</v>
      </c>
      <c r="D23" s="631">
        <v>14</v>
      </c>
      <c r="E23" s="632">
        <v>839480</v>
      </c>
      <c r="F23" s="632">
        <v>21556</v>
      </c>
      <c r="G23" s="632">
        <v>57984</v>
      </c>
      <c r="H23" s="632">
        <v>31788</v>
      </c>
      <c r="I23" s="632">
        <v>6866653.4000000004</v>
      </c>
      <c r="J23" s="632">
        <v>104125.72</v>
      </c>
      <c r="K23" s="632">
        <v>325314.96000000002</v>
      </c>
      <c r="L23" s="632">
        <v>28607.119999999999</v>
      </c>
      <c r="M23" s="634">
        <f t="shared" si="8"/>
        <v>8.1796509744127324</v>
      </c>
      <c r="N23" s="634">
        <f t="shared" si="9"/>
        <v>4.8304750417517166</v>
      </c>
      <c r="O23" s="634">
        <f t="shared" si="10"/>
        <v>5.6104263245033117</v>
      </c>
      <c r="P23" s="634">
        <f t="shared" si="11"/>
        <v>0.8999345665030829</v>
      </c>
      <c r="Q23" s="635">
        <f t="shared" si="12"/>
        <v>0.8829122178189498</v>
      </c>
      <c r="R23" s="635">
        <f t="shared" si="13"/>
        <v>2.2671243826303523E-2</v>
      </c>
      <c r="S23" s="635">
        <f t="shared" si="14"/>
        <v>6.0983921043996261E-2</v>
      </c>
      <c r="T23" s="635">
        <f t="shared" si="15"/>
        <v>3.3432617310750437E-2</v>
      </c>
    </row>
    <row r="24" spans="1:20" x14ac:dyDescent="0.3">
      <c r="A24" s="631">
        <v>3</v>
      </c>
      <c r="B24" s="631" t="s">
        <v>486</v>
      </c>
      <c r="C24" s="631" t="s">
        <v>124</v>
      </c>
      <c r="D24" s="631">
        <v>16</v>
      </c>
      <c r="E24" s="632">
        <v>1022712</v>
      </c>
      <c r="F24" s="632">
        <v>21560</v>
      </c>
      <c r="G24" s="632">
        <v>52132</v>
      </c>
      <c r="H24" s="632">
        <v>40088</v>
      </c>
      <c r="I24" s="632">
        <v>8839170.5999999996</v>
      </c>
      <c r="J24" s="632">
        <v>93728.6</v>
      </c>
      <c r="K24" s="632">
        <v>274885.71999999997</v>
      </c>
      <c r="L24" s="632">
        <v>37136.720000000001</v>
      </c>
      <c r="M24" s="634">
        <f t="shared" si="8"/>
        <v>8.6428736535798922</v>
      </c>
      <c r="N24" s="634">
        <f t="shared" si="9"/>
        <v>4.3473376623376625</v>
      </c>
      <c r="O24" s="634">
        <f t="shared" si="10"/>
        <v>5.2728788460062912</v>
      </c>
      <c r="P24" s="634">
        <f t="shared" si="11"/>
        <v>0.92637996407902612</v>
      </c>
      <c r="Q24" s="635">
        <f t="shared" si="12"/>
        <v>0.8998849090006793</v>
      </c>
      <c r="R24" s="635">
        <f t="shared" si="13"/>
        <v>1.8970657074576857E-2</v>
      </c>
      <c r="S24" s="635">
        <f t="shared" si="14"/>
        <v>4.587097841427832E-2</v>
      </c>
      <c r="T24" s="635">
        <f t="shared" si="15"/>
        <v>3.527345551046554E-2</v>
      </c>
    </row>
    <row r="25" spans="1:20" x14ac:dyDescent="0.3">
      <c r="A25" s="631">
        <v>3</v>
      </c>
      <c r="B25" s="631" t="s">
        <v>487</v>
      </c>
      <c r="C25" s="631" t="s">
        <v>124</v>
      </c>
      <c r="D25" s="631">
        <v>17</v>
      </c>
      <c r="E25" s="632">
        <v>724876</v>
      </c>
      <c r="F25" s="632">
        <v>18380</v>
      </c>
      <c r="G25" s="632">
        <v>43392</v>
      </c>
      <c r="H25" s="632">
        <v>25024</v>
      </c>
      <c r="I25" s="632">
        <v>5707310.8799999999</v>
      </c>
      <c r="J25" s="632">
        <v>90906.44</v>
      </c>
      <c r="K25" s="632">
        <v>234427.24</v>
      </c>
      <c r="L25" s="632">
        <v>23062.2</v>
      </c>
      <c r="M25" s="634">
        <f t="shared" si="8"/>
        <v>7.8734995778588335</v>
      </c>
      <c r="N25" s="634">
        <f t="shared" si="9"/>
        <v>4.9459434167573448</v>
      </c>
      <c r="O25" s="634">
        <f t="shared" si="10"/>
        <v>5.402545169616519</v>
      </c>
      <c r="P25" s="634">
        <f t="shared" si="11"/>
        <v>0.92160326086956523</v>
      </c>
      <c r="Q25" s="635">
        <f t="shared" si="12"/>
        <v>0.893065179037838</v>
      </c>
      <c r="R25" s="635">
        <f t="shared" si="13"/>
        <v>2.264461506618437E-2</v>
      </c>
      <c r="S25" s="635">
        <f t="shared" si="14"/>
        <v>5.3460018332528413E-2</v>
      </c>
      <c r="T25" s="635">
        <f t="shared" si="15"/>
        <v>3.0830187563449275E-2</v>
      </c>
    </row>
    <row r="26" spans="1:20" x14ac:dyDescent="0.3">
      <c r="A26" s="631">
        <v>3</v>
      </c>
      <c r="B26" s="631" t="s">
        <v>488</v>
      </c>
      <c r="C26" s="631" t="s">
        <v>124</v>
      </c>
      <c r="D26" s="631">
        <v>19</v>
      </c>
      <c r="E26" s="632">
        <v>914124</v>
      </c>
      <c r="F26" s="632">
        <v>19396</v>
      </c>
      <c r="G26" s="632">
        <v>66692</v>
      </c>
      <c r="H26" s="632">
        <v>32516</v>
      </c>
      <c r="I26" s="632">
        <v>7314123.04</v>
      </c>
      <c r="J26" s="632">
        <v>84227.520000000004</v>
      </c>
      <c r="K26" s="632">
        <v>421827.44</v>
      </c>
      <c r="L26" s="632">
        <v>27868.959999999999</v>
      </c>
      <c r="M26" s="634">
        <f t="shared" si="8"/>
        <v>8.0012372938463496</v>
      </c>
      <c r="N26" s="634">
        <f t="shared" si="9"/>
        <v>4.3425201072386059</v>
      </c>
      <c r="O26" s="634">
        <f t="shared" si="10"/>
        <v>6.3250080969231695</v>
      </c>
      <c r="P26" s="634">
        <f t="shared" si="11"/>
        <v>0.85708451224012794</v>
      </c>
      <c r="Q26" s="635">
        <f t="shared" si="12"/>
        <v>0.88515465834178986</v>
      </c>
      <c r="R26" s="635">
        <f t="shared" si="13"/>
        <v>1.8781324801883943E-2</v>
      </c>
      <c r="S26" s="635">
        <f t="shared" si="14"/>
        <v>6.4578475648960812E-2</v>
      </c>
      <c r="T26" s="635">
        <f t="shared" si="15"/>
        <v>3.1485541207365346E-2</v>
      </c>
    </row>
    <row r="27" spans="1:20" x14ac:dyDescent="0.3">
      <c r="A27" s="631">
        <v>3</v>
      </c>
      <c r="B27" s="631" t="s">
        <v>485</v>
      </c>
      <c r="C27" s="631" t="s">
        <v>124</v>
      </c>
      <c r="D27" s="631">
        <v>21</v>
      </c>
      <c r="E27" s="632">
        <v>84608</v>
      </c>
      <c r="F27" s="632">
        <v>3144</v>
      </c>
      <c r="G27" s="632">
        <v>8680</v>
      </c>
      <c r="H27" s="632">
        <v>13372</v>
      </c>
      <c r="I27" s="632">
        <v>714909.76</v>
      </c>
      <c r="J27" s="632">
        <v>14193.76</v>
      </c>
      <c r="K27" s="632">
        <v>60987.68</v>
      </c>
      <c r="L27" s="632">
        <v>8724.9599999999991</v>
      </c>
      <c r="M27" s="634">
        <f>I27/E27</f>
        <v>8.4496709531013625</v>
      </c>
      <c r="N27" s="634">
        <f>J27/F27</f>
        <v>4.5145547073791352</v>
      </c>
      <c r="O27" s="634">
        <f>K27/G27</f>
        <v>7.0262304147465438</v>
      </c>
      <c r="P27" s="634">
        <f>L27/H27</f>
        <v>0.65247980855518983</v>
      </c>
      <c r="Q27" s="635">
        <f>E27/SUM($E27:$H27)</f>
        <v>0.77053659247386252</v>
      </c>
      <c r="R27" s="635">
        <f>F27/SUM($E27:$H27)</f>
        <v>2.8632836690830936E-2</v>
      </c>
      <c r="S27" s="635">
        <f>G27/SUM($E27:$H27)</f>
        <v>7.9049943535754619E-2</v>
      </c>
      <c r="T27" s="635">
        <f>H27/SUM($E27:$H27)</f>
        <v>0.12178062729955193</v>
      </c>
    </row>
    <row r="28" spans="1:20" x14ac:dyDescent="0.3">
      <c r="A28" s="631">
        <v>4</v>
      </c>
      <c r="B28" s="631" t="s">
        <v>488</v>
      </c>
      <c r="C28" s="631" t="s">
        <v>124</v>
      </c>
      <c r="D28" s="631">
        <v>22</v>
      </c>
      <c r="E28" s="632">
        <v>627276</v>
      </c>
      <c r="F28" s="632">
        <v>15040</v>
      </c>
      <c r="G28" s="632">
        <v>46364</v>
      </c>
      <c r="H28" s="632">
        <v>43620</v>
      </c>
      <c r="I28" s="632">
        <v>5494612.0800000001</v>
      </c>
      <c r="J28" s="632">
        <v>50699.24</v>
      </c>
      <c r="K28" s="632">
        <v>346225.08</v>
      </c>
      <c r="L28" s="632">
        <v>36786.839999999997</v>
      </c>
      <c r="M28" s="634">
        <f t="shared" si="8"/>
        <v>8.7594808027088558</v>
      </c>
      <c r="N28" s="634">
        <f t="shared" si="9"/>
        <v>3.3709601063829786</v>
      </c>
      <c r="O28" s="634">
        <f t="shared" si="10"/>
        <v>7.4675411957553282</v>
      </c>
      <c r="P28" s="634">
        <f t="shared" si="11"/>
        <v>0.84334800550206324</v>
      </c>
      <c r="Q28" s="635">
        <f t="shared" si="12"/>
        <v>0.85658336747234742</v>
      </c>
      <c r="R28" s="635">
        <f t="shared" si="13"/>
        <v>2.0538030861668714E-2</v>
      </c>
      <c r="S28" s="635">
        <f t="shared" si="14"/>
        <v>6.3312849924894166E-2</v>
      </c>
      <c r="T28" s="635">
        <f t="shared" si="15"/>
        <v>5.9565751741089717E-2</v>
      </c>
    </row>
    <row r="30" spans="1:20" x14ac:dyDescent="0.3">
      <c r="A30" s="631" t="s">
        <v>489</v>
      </c>
      <c r="D30" s="631">
        <v>24</v>
      </c>
      <c r="E30" s="632">
        <v>13500464</v>
      </c>
      <c r="F30" s="632">
        <v>288776</v>
      </c>
      <c r="G30" s="632">
        <v>690348</v>
      </c>
      <c r="H30" s="632">
        <v>629024</v>
      </c>
      <c r="I30" s="632">
        <v>109807705.48</v>
      </c>
      <c r="J30" s="632">
        <v>1191276.04</v>
      </c>
      <c r="K30" s="632">
        <v>3775325.44</v>
      </c>
      <c r="L30" s="632">
        <v>573010.04</v>
      </c>
      <c r="M30" s="634">
        <f t="shared" si="8"/>
        <v>8.1336245539412566</v>
      </c>
      <c r="N30" s="634">
        <f t="shared" si="9"/>
        <v>4.1252598553896451</v>
      </c>
      <c r="O30" s="634">
        <f t="shared" si="10"/>
        <v>5.4687280038473345</v>
      </c>
      <c r="P30" s="634">
        <f t="shared" si="11"/>
        <v>0.91095099710026972</v>
      </c>
      <c r="Q30" s="635">
        <f t="shared" si="12"/>
        <v>0.89356083801741681</v>
      </c>
      <c r="R30" s="635">
        <f t="shared" si="13"/>
        <v>1.9113337479313122E-2</v>
      </c>
      <c r="S30" s="635">
        <f t="shared" si="14"/>
        <v>4.5692350826138102E-2</v>
      </c>
      <c r="T30" s="635">
        <f t="shared" si="15"/>
        <v>4.1633473677131959E-2</v>
      </c>
    </row>
    <row r="32" spans="1:20" x14ac:dyDescent="0.3">
      <c r="A32" s="631" t="s">
        <v>490</v>
      </c>
    </row>
    <row r="34" spans="1:20" x14ac:dyDescent="0.3">
      <c r="A34" s="631" t="s">
        <v>53</v>
      </c>
      <c r="B34" s="631" t="s">
        <v>413</v>
      </c>
      <c r="C34" s="631" t="s">
        <v>414</v>
      </c>
      <c r="M34" s="631" t="s">
        <v>476</v>
      </c>
      <c r="N34" s="631" t="s">
        <v>477</v>
      </c>
      <c r="O34" s="631" t="s">
        <v>478</v>
      </c>
      <c r="P34" s="631" t="s">
        <v>479</v>
      </c>
      <c r="Q34" s="631" t="s">
        <v>480</v>
      </c>
      <c r="R34" s="631" t="s">
        <v>481</v>
      </c>
      <c r="S34" s="631" t="s">
        <v>482</v>
      </c>
      <c r="T34" s="631" t="s">
        <v>483</v>
      </c>
    </row>
    <row r="35" spans="1:20" x14ac:dyDescent="0.3">
      <c r="A35" s="631">
        <v>1</v>
      </c>
      <c r="C35" s="631" t="s">
        <v>56</v>
      </c>
      <c r="E35" s="631">
        <f>E6+E7</f>
        <v>1097832</v>
      </c>
      <c r="F35" s="631">
        <f t="shared" ref="F35:L35" si="16">F6+F7</f>
        <v>129980</v>
      </c>
      <c r="G35" s="631">
        <f t="shared" si="16"/>
        <v>176716</v>
      </c>
      <c r="H35" s="631">
        <f t="shared" si="16"/>
        <v>300888</v>
      </c>
      <c r="I35" s="631">
        <f t="shared" si="16"/>
        <v>8138404.0800000001</v>
      </c>
      <c r="J35" s="631">
        <f t="shared" si="16"/>
        <v>465212.80000000005</v>
      </c>
      <c r="K35" s="631">
        <f t="shared" si="16"/>
        <v>1069823.8799999999</v>
      </c>
      <c r="L35" s="631">
        <f t="shared" si="16"/>
        <v>253671.84000000003</v>
      </c>
      <c r="M35" s="634">
        <f t="shared" ref="M35:P38" si="17">I35/E35</f>
        <v>7.4131598277332049</v>
      </c>
      <c r="N35" s="634">
        <f t="shared" si="17"/>
        <v>3.5791106324049857</v>
      </c>
      <c r="O35" s="634">
        <f t="shared" si="17"/>
        <v>6.0539163403426963</v>
      </c>
      <c r="P35" s="634">
        <f t="shared" si="17"/>
        <v>0.8430772912179948</v>
      </c>
      <c r="Q35" s="635">
        <f t="shared" ref="Q35:T38" si="18">E35/SUM($E35:$H35)</f>
        <v>0.64373267284932234</v>
      </c>
      <c r="R35" s="635">
        <f t="shared" si="18"/>
        <v>7.6216008293577636E-2</v>
      </c>
      <c r="S35" s="635">
        <f t="shared" si="18"/>
        <v>0.10362046562246396</v>
      </c>
      <c r="T35" s="635">
        <f t="shared" si="18"/>
        <v>0.176430853234636</v>
      </c>
    </row>
    <row r="36" spans="1:20" x14ac:dyDescent="0.3">
      <c r="A36" s="631">
        <v>2</v>
      </c>
      <c r="C36" s="631" t="s">
        <v>56</v>
      </c>
      <c r="E36" s="631">
        <f>E8+E9+E10+E11</f>
        <v>1372356</v>
      </c>
      <c r="F36" s="631">
        <f t="shared" ref="F36:L36" si="19">F8+F9+F10+F11</f>
        <v>60620</v>
      </c>
      <c r="G36" s="631">
        <f t="shared" si="19"/>
        <v>114852</v>
      </c>
      <c r="H36" s="631">
        <f t="shared" si="19"/>
        <v>66436</v>
      </c>
      <c r="I36" s="631">
        <f t="shared" si="19"/>
        <v>10344683.120000001</v>
      </c>
      <c r="J36" s="631">
        <f t="shared" si="19"/>
        <v>300861.52</v>
      </c>
      <c r="K36" s="631">
        <f t="shared" si="19"/>
        <v>789052.44</v>
      </c>
      <c r="L36" s="631">
        <f t="shared" si="19"/>
        <v>63788.960000000006</v>
      </c>
      <c r="M36" s="634">
        <f t="shared" si="17"/>
        <v>7.5379006030505211</v>
      </c>
      <c r="N36" s="634">
        <f t="shared" si="17"/>
        <v>4.9630735730781925</v>
      </c>
      <c r="O36" s="634">
        <f t="shared" si="17"/>
        <v>6.8701671716644022</v>
      </c>
      <c r="P36" s="634">
        <f t="shared" si="17"/>
        <v>0.96015654163405395</v>
      </c>
      <c r="Q36" s="635">
        <f t="shared" si="18"/>
        <v>0.85014347095642351</v>
      </c>
      <c r="R36" s="635">
        <f t="shared" si="18"/>
        <v>3.755271752327996E-2</v>
      </c>
      <c r="S36" s="635">
        <f t="shared" si="18"/>
        <v>7.11482136750866E-2</v>
      </c>
      <c r="T36" s="635">
        <f t="shared" si="18"/>
        <v>4.1155597845209953E-2</v>
      </c>
    </row>
    <row r="37" spans="1:20" x14ac:dyDescent="0.3">
      <c r="A37" s="631">
        <v>3</v>
      </c>
      <c r="C37" s="631" t="s">
        <v>56</v>
      </c>
      <c r="E37" s="631">
        <f>E12+E13+E14</f>
        <v>1692356</v>
      </c>
      <c r="F37" s="631">
        <f t="shared" ref="F37:L37" si="20">F12+F13+F14</f>
        <v>42380</v>
      </c>
      <c r="G37" s="631">
        <f t="shared" si="20"/>
        <v>87756</v>
      </c>
      <c r="H37" s="631">
        <f t="shared" si="20"/>
        <v>63324</v>
      </c>
      <c r="I37" s="631">
        <f t="shared" si="20"/>
        <v>13037503.800000001</v>
      </c>
      <c r="J37" s="631">
        <f t="shared" si="20"/>
        <v>199396.8</v>
      </c>
      <c r="K37" s="631">
        <f t="shared" si="20"/>
        <v>539433.43999999994</v>
      </c>
      <c r="L37" s="631">
        <f t="shared" si="20"/>
        <v>59627.4</v>
      </c>
      <c r="M37" s="634">
        <f t="shared" si="17"/>
        <v>7.7037596108620177</v>
      </c>
      <c r="N37" s="634">
        <f t="shared" si="17"/>
        <v>4.7049740443605472</v>
      </c>
      <c r="O37" s="634">
        <f t="shared" si="17"/>
        <v>6.1469693240348233</v>
      </c>
      <c r="P37" s="634">
        <f t="shared" si="17"/>
        <v>0.94162402880424489</v>
      </c>
      <c r="Q37" s="635">
        <f t="shared" si="18"/>
        <v>0.8974131092322899</v>
      </c>
      <c r="R37" s="635">
        <f t="shared" si="18"/>
        <v>2.2473030242611155E-2</v>
      </c>
      <c r="S37" s="635">
        <f t="shared" si="18"/>
        <v>4.6534762670377171E-2</v>
      </c>
      <c r="T37" s="635">
        <f t="shared" si="18"/>
        <v>3.3579097854721775E-2</v>
      </c>
    </row>
    <row r="38" spans="1:20" x14ac:dyDescent="0.3">
      <c r="A38" s="631">
        <v>4</v>
      </c>
      <c r="C38" s="631" t="s">
        <v>56</v>
      </c>
      <c r="E38" s="631">
        <f>E15</f>
        <v>315896</v>
      </c>
      <c r="F38" s="631">
        <f t="shared" ref="F38:L38" si="21">F15</f>
        <v>8568</v>
      </c>
      <c r="G38" s="631">
        <f t="shared" si="21"/>
        <v>20324</v>
      </c>
      <c r="H38" s="631">
        <f t="shared" si="21"/>
        <v>26056</v>
      </c>
      <c r="I38" s="631">
        <f t="shared" si="21"/>
        <v>2226784.16</v>
      </c>
      <c r="J38" s="631">
        <f t="shared" si="21"/>
        <v>26070.52</v>
      </c>
      <c r="K38" s="631">
        <f t="shared" si="21"/>
        <v>169009.52</v>
      </c>
      <c r="L38" s="631">
        <f t="shared" si="21"/>
        <v>22761.68</v>
      </c>
      <c r="M38" s="634">
        <f t="shared" si="17"/>
        <v>7.049105275153849</v>
      </c>
      <c r="N38" s="634">
        <f t="shared" si="17"/>
        <v>3.0427777777777778</v>
      </c>
      <c r="O38" s="634">
        <f t="shared" si="17"/>
        <v>8.3157606770320793</v>
      </c>
      <c r="P38" s="634">
        <f t="shared" si="17"/>
        <v>0.87356770033773412</v>
      </c>
      <c r="Q38" s="635">
        <f t="shared" si="18"/>
        <v>0.85182987994952053</v>
      </c>
      <c r="R38" s="635">
        <f t="shared" si="18"/>
        <v>2.3104054535060564E-2</v>
      </c>
      <c r="S38" s="635">
        <f t="shared" si="18"/>
        <v>5.4804715729525083E-2</v>
      </c>
      <c r="T38" s="635">
        <f t="shared" si="18"/>
        <v>7.0261349785893795E-2</v>
      </c>
    </row>
    <row r="39" spans="1:20" x14ac:dyDescent="0.3">
      <c r="A39" s="631">
        <v>1</v>
      </c>
      <c r="C39" s="631" t="s">
        <v>124</v>
      </c>
      <c r="E39" s="631">
        <f>E16+E17</f>
        <v>256972</v>
      </c>
      <c r="F39" s="631">
        <f t="shared" ref="F39:L39" si="22">F16+F17</f>
        <v>19628</v>
      </c>
      <c r="G39" s="631">
        <f t="shared" si="22"/>
        <v>28168</v>
      </c>
      <c r="H39" s="631">
        <f t="shared" si="22"/>
        <v>49652</v>
      </c>
      <c r="I39" s="631">
        <f t="shared" si="22"/>
        <v>2054294</v>
      </c>
      <c r="J39" s="631">
        <f t="shared" si="22"/>
        <v>78533.040000000008</v>
      </c>
      <c r="K39" s="631">
        <f t="shared" si="22"/>
        <v>158573.16</v>
      </c>
      <c r="L39" s="631">
        <f t="shared" si="22"/>
        <v>41020.04</v>
      </c>
      <c r="M39" s="634">
        <f t="shared" ref="M39:M42" si="23">I39/E39</f>
        <v>7.994232834705727</v>
      </c>
      <c r="N39" s="634">
        <f t="shared" ref="N39:N42" si="24">J39/F39</f>
        <v>4.0010719380476871</v>
      </c>
      <c r="O39" s="634">
        <f t="shared" ref="O39:O42" si="25">K39/G39</f>
        <v>5.6295498437943765</v>
      </c>
      <c r="P39" s="634">
        <f t="shared" ref="P39:P42" si="26">L39/H39</f>
        <v>0.82615080963506005</v>
      </c>
      <c r="Q39" s="635">
        <f t="shared" ref="Q39:Q42" si="27">E39/SUM($E39:$H39)</f>
        <v>0.72504937644602452</v>
      </c>
      <c r="R39" s="635">
        <f t="shared" ref="R39:R42" si="28">F39/SUM($E39:$H39)</f>
        <v>5.5380621861068791E-2</v>
      </c>
      <c r="S39" s="635">
        <f t="shared" ref="S39:S42" si="29">G39/SUM($E39:$H39)</f>
        <v>7.9476327521020254E-2</v>
      </c>
      <c r="T39" s="635">
        <f t="shared" ref="T39:T42" si="30">H39/SUM($E39:$H39)</f>
        <v>0.14009367417188645</v>
      </c>
    </row>
    <row r="40" spans="1:20" x14ac:dyDescent="0.3">
      <c r="A40" s="631">
        <v>2</v>
      </c>
      <c r="C40" s="631" t="s">
        <v>124</v>
      </c>
      <c r="E40" s="631">
        <f>E18+E19+E20+E21+E22</f>
        <v>1614276</v>
      </c>
      <c r="F40" s="631">
        <f t="shared" ref="F40:L40" si="31">F18+F19+F20+F21+F22</f>
        <v>65832</v>
      </c>
      <c r="G40" s="631">
        <f t="shared" si="31"/>
        <v>109500</v>
      </c>
      <c r="H40" s="631">
        <f t="shared" si="31"/>
        <v>91296</v>
      </c>
      <c r="I40" s="631">
        <f t="shared" si="31"/>
        <v>12318006.640000001</v>
      </c>
      <c r="J40" s="631">
        <f t="shared" si="31"/>
        <v>322041.84000000003</v>
      </c>
      <c r="K40" s="631">
        <f t="shared" si="31"/>
        <v>615695.55999999994</v>
      </c>
      <c r="L40" s="631">
        <f t="shared" si="31"/>
        <v>86492.760000000009</v>
      </c>
      <c r="M40" s="634">
        <f t="shared" si="23"/>
        <v>7.6306695013739914</v>
      </c>
      <c r="N40" s="634">
        <f t="shared" si="24"/>
        <v>4.8918738607364203</v>
      </c>
      <c r="O40" s="634">
        <f t="shared" si="25"/>
        <v>5.6227905022831042</v>
      </c>
      <c r="P40" s="634">
        <f t="shared" si="26"/>
        <v>0.94738827549947435</v>
      </c>
      <c r="Q40" s="635">
        <f t="shared" si="27"/>
        <v>0.85824475890316576</v>
      </c>
      <c r="R40" s="635">
        <f t="shared" si="28"/>
        <v>3.5000191397328094E-2</v>
      </c>
      <c r="S40" s="635">
        <f t="shared" si="29"/>
        <v>5.8216687295045359E-2</v>
      </c>
      <c r="T40" s="635">
        <f t="shared" si="30"/>
        <v>4.8538362404460834E-2</v>
      </c>
    </row>
    <row r="41" spans="1:20" x14ac:dyDescent="0.3">
      <c r="A41" s="631">
        <v>3</v>
      </c>
      <c r="C41" s="631" t="s">
        <v>124</v>
      </c>
      <c r="E41" s="631">
        <f>E23+E24+E25+E26+E27</f>
        <v>3585800</v>
      </c>
      <c r="F41" s="631">
        <f t="shared" ref="F41:L41" si="32">F23+F24+F25+F26+F27</f>
        <v>84036</v>
      </c>
      <c r="G41" s="631">
        <f t="shared" si="32"/>
        <v>228880</v>
      </c>
      <c r="H41" s="631">
        <f t="shared" si="32"/>
        <v>142788</v>
      </c>
      <c r="I41" s="631">
        <f t="shared" si="32"/>
        <v>29442167.68</v>
      </c>
      <c r="J41" s="631">
        <f t="shared" si="32"/>
        <v>387182.04000000004</v>
      </c>
      <c r="K41" s="631">
        <f t="shared" si="32"/>
        <v>1317443.0399999998</v>
      </c>
      <c r="L41" s="631">
        <f t="shared" si="32"/>
        <v>125399.95999999999</v>
      </c>
      <c r="M41" s="634">
        <f t="shared" si="23"/>
        <v>8.2107668246974175</v>
      </c>
      <c r="N41" s="634">
        <f t="shared" si="24"/>
        <v>4.6073354276738545</v>
      </c>
      <c r="O41" s="634">
        <f t="shared" si="25"/>
        <v>5.7560426424327149</v>
      </c>
      <c r="P41" s="634">
        <f t="shared" si="26"/>
        <v>0.8782247807939042</v>
      </c>
      <c r="Q41" s="635">
        <f t="shared" si="27"/>
        <v>0.8872439567052266</v>
      </c>
      <c r="R41" s="635">
        <f t="shared" si="28"/>
        <v>2.0793249245825318E-2</v>
      </c>
      <c r="S41" s="635">
        <f t="shared" si="29"/>
        <v>5.6632382400215363E-2</v>
      </c>
      <c r="T41" s="635">
        <f t="shared" si="30"/>
        <v>3.5330411648732747E-2</v>
      </c>
    </row>
    <row r="42" spans="1:20" x14ac:dyDescent="0.3">
      <c r="A42" s="631">
        <v>4</v>
      </c>
      <c r="C42" s="631" t="s">
        <v>124</v>
      </c>
      <c r="E42" s="631">
        <f>E28</f>
        <v>627276</v>
      </c>
      <c r="F42" s="631">
        <f t="shared" ref="F42:L42" si="33">F28</f>
        <v>15040</v>
      </c>
      <c r="G42" s="631">
        <f t="shared" si="33"/>
        <v>46364</v>
      </c>
      <c r="H42" s="631">
        <f t="shared" si="33"/>
        <v>43620</v>
      </c>
      <c r="I42" s="631">
        <f t="shared" si="33"/>
        <v>5494612.0800000001</v>
      </c>
      <c r="J42" s="631">
        <f t="shared" si="33"/>
        <v>50699.24</v>
      </c>
      <c r="K42" s="631">
        <f t="shared" si="33"/>
        <v>346225.08</v>
      </c>
      <c r="L42" s="631">
        <f t="shared" si="33"/>
        <v>36786.839999999997</v>
      </c>
      <c r="M42" s="634">
        <f t="shared" si="23"/>
        <v>8.7594808027088558</v>
      </c>
      <c r="N42" s="634">
        <f t="shared" si="24"/>
        <v>3.3709601063829786</v>
      </c>
      <c r="O42" s="634">
        <f t="shared" si="25"/>
        <v>7.4675411957553282</v>
      </c>
      <c r="P42" s="634">
        <f t="shared" si="26"/>
        <v>0.84334800550206324</v>
      </c>
      <c r="Q42" s="635">
        <f t="shared" si="27"/>
        <v>0.85658336747234742</v>
      </c>
      <c r="R42" s="635">
        <f t="shared" si="28"/>
        <v>2.0538030861668714E-2</v>
      </c>
      <c r="S42" s="635">
        <f t="shared" si="29"/>
        <v>6.3312849924894166E-2</v>
      </c>
      <c r="T42" s="635">
        <f t="shared" si="30"/>
        <v>5.9565751741089717E-2</v>
      </c>
    </row>
    <row r="45" spans="1:20" x14ac:dyDescent="0.3">
      <c r="A45" s="631" t="s">
        <v>491</v>
      </c>
      <c r="E45" s="631">
        <f t="shared" ref="E45:L45" si="34">SUM(E39:E43)-SUM(E16:E29)</f>
        <v>0</v>
      </c>
      <c r="F45" s="631">
        <f t="shared" si="34"/>
        <v>0</v>
      </c>
      <c r="G45" s="631">
        <f t="shared" si="34"/>
        <v>0</v>
      </c>
      <c r="H45" s="631">
        <f t="shared" si="34"/>
        <v>0</v>
      </c>
      <c r="I45" s="631">
        <f t="shared" si="34"/>
        <v>0</v>
      </c>
      <c r="J45" s="631">
        <f t="shared" si="34"/>
        <v>0</v>
      </c>
      <c r="K45" s="631">
        <f t="shared" si="34"/>
        <v>0</v>
      </c>
      <c r="L45" s="631">
        <f t="shared" si="34"/>
        <v>0</v>
      </c>
    </row>
    <row r="47" spans="1:20" x14ac:dyDescent="0.3">
      <c r="A47" s="631" t="s">
        <v>492</v>
      </c>
      <c r="B47" s="631">
        <f>SUM(E16:H30)</f>
        <v>22117740</v>
      </c>
    </row>
    <row r="48" spans="1:20" x14ac:dyDescent="0.3">
      <c r="A48" s="631" t="s">
        <v>493</v>
      </c>
      <c r="B48" s="631">
        <f>SUM(I16:L30)</f>
        <v>168222490</v>
      </c>
    </row>
  </sheetData>
  <conditionalFormatting sqref="M35:M42">
    <cfRule type="colorScale" priority="8">
      <colorScale>
        <cfvo type="min"/>
        <cfvo type="max"/>
        <color rgb="FFFCFCFF"/>
        <color rgb="FF63BE7B"/>
      </colorScale>
    </cfRule>
  </conditionalFormatting>
  <conditionalFormatting sqref="N35:N42">
    <cfRule type="colorScale" priority="7">
      <colorScale>
        <cfvo type="min"/>
        <cfvo type="max"/>
        <color rgb="FFFCFCFF"/>
        <color rgb="FF63BE7B"/>
      </colorScale>
    </cfRule>
  </conditionalFormatting>
  <conditionalFormatting sqref="O35:O42">
    <cfRule type="colorScale" priority="6">
      <colorScale>
        <cfvo type="min"/>
        <cfvo type="max"/>
        <color rgb="FFFCFCFF"/>
        <color rgb="FF63BE7B"/>
      </colorScale>
    </cfRule>
  </conditionalFormatting>
  <conditionalFormatting sqref="P35:P42">
    <cfRule type="colorScale" priority="5">
      <colorScale>
        <cfvo type="min"/>
        <cfvo type="max"/>
        <color rgb="FFFCFCFF"/>
        <color rgb="FF63BE7B"/>
      </colorScale>
    </cfRule>
  </conditionalFormatting>
  <conditionalFormatting sqref="Q35:Q42">
    <cfRule type="colorScale" priority="4">
      <colorScale>
        <cfvo type="min"/>
        <cfvo type="max"/>
        <color rgb="FFFCFCFF"/>
        <color rgb="FF63BE7B"/>
      </colorScale>
    </cfRule>
  </conditionalFormatting>
  <conditionalFormatting sqref="R35:R42">
    <cfRule type="colorScale" priority="3">
      <colorScale>
        <cfvo type="min"/>
        <cfvo type="max"/>
        <color rgb="FFFCFCFF"/>
        <color rgb="FF63BE7B"/>
      </colorScale>
    </cfRule>
  </conditionalFormatting>
  <conditionalFormatting sqref="S35:S42">
    <cfRule type="colorScale" priority="2">
      <colorScale>
        <cfvo type="min"/>
        <cfvo type="max"/>
        <color rgb="FFFCFCFF"/>
        <color rgb="FF63BE7B"/>
      </colorScale>
    </cfRule>
  </conditionalFormatting>
  <conditionalFormatting sqref="T35:T42">
    <cfRule type="colorScale" priority="1">
      <colorScale>
        <cfvo type="min"/>
        <cfvo type="max"/>
        <color rgb="FFFCFCFF"/>
        <color rgb="FF63BE7B"/>
      </colorScale>
    </cfRule>
  </conditionalFormatting>
  <conditionalFormatting sqref="M6:M28 M30">
    <cfRule type="colorScale" priority="241">
      <colorScale>
        <cfvo type="min"/>
        <cfvo type="max"/>
        <color rgb="FFFCFCFF"/>
        <color rgb="FF63BE7B"/>
      </colorScale>
    </cfRule>
  </conditionalFormatting>
  <conditionalFormatting sqref="N6:N28 N30">
    <cfRule type="colorScale" priority="253">
      <colorScale>
        <cfvo type="min"/>
        <cfvo type="max"/>
        <color rgb="FFFCFCFF"/>
        <color rgb="FF63BE7B"/>
      </colorScale>
    </cfRule>
  </conditionalFormatting>
  <conditionalFormatting sqref="O6:O28 O30">
    <cfRule type="colorScale" priority="265">
      <colorScale>
        <cfvo type="min"/>
        <cfvo type="max"/>
        <color rgb="FFFCFCFF"/>
        <color rgb="FF63BE7B"/>
      </colorScale>
    </cfRule>
  </conditionalFormatting>
  <conditionalFormatting sqref="P6:P28 P30">
    <cfRule type="colorScale" priority="277">
      <colorScale>
        <cfvo type="min"/>
        <cfvo type="max"/>
        <color rgb="FFFCFCFF"/>
        <color rgb="FF63BE7B"/>
      </colorScale>
    </cfRule>
  </conditionalFormatting>
  <conditionalFormatting sqref="Q6:Q28 Q30">
    <cfRule type="colorScale" priority="289">
      <colorScale>
        <cfvo type="min"/>
        <cfvo type="max"/>
        <color rgb="FFFCFCFF"/>
        <color rgb="FF63BE7B"/>
      </colorScale>
    </cfRule>
  </conditionalFormatting>
  <conditionalFormatting sqref="R6:R28 R30">
    <cfRule type="colorScale" priority="301">
      <colorScale>
        <cfvo type="min"/>
        <cfvo type="max"/>
        <color rgb="FFFCFCFF"/>
        <color rgb="FF63BE7B"/>
      </colorScale>
    </cfRule>
  </conditionalFormatting>
  <conditionalFormatting sqref="S6:S28 S30">
    <cfRule type="colorScale" priority="313">
      <colorScale>
        <cfvo type="min"/>
        <cfvo type="max"/>
        <color rgb="FFFCFCFF"/>
        <color rgb="FF63BE7B"/>
      </colorScale>
    </cfRule>
  </conditionalFormatting>
  <conditionalFormatting sqref="T6:T28 T30">
    <cfRule type="colorScale" priority="325">
      <colorScale>
        <cfvo type="min"/>
        <cfvo type="max"/>
        <color rgb="FFFCFCFF"/>
        <color rgb="FF63BE7B"/>
      </colorScale>
    </cfRule>
  </conditionalFormatting>
  <pageMargins left="0.7" right="0.7" top="0.75" bottom="0.75" header="0.3" footer="0.3"/>
  <pageSetup paperSize="9" orientation="portrait" horizontalDpi="300" verticalDpi="300"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27B0E-7155-44BB-A1F5-1215EDA95605}">
  <sheetPr>
    <tabColor theme="4" tint="0.39997558519241921"/>
  </sheetPr>
  <dimension ref="A1:AW49"/>
  <sheetViews>
    <sheetView zoomScaleNormal="100" workbookViewId="0">
      <selection activeCell="S11" sqref="S11"/>
    </sheetView>
  </sheetViews>
  <sheetFormatPr defaultColWidth="9" defaultRowHeight="16.5" x14ac:dyDescent="0.3"/>
  <cols>
    <col min="1" max="1" width="23.5703125" style="269" customWidth="1"/>
    <col min="2" max="4" width="8" style="269" customWidth="1"/>
    <col min="5" max="5" width="8" style="317" customWidth="1"/>
    <col min="6" max="6" width="8" style="310" customWidth="1"/>
    <col min="7" max="8" width="8" style="317" customWidth="1"/>
    <col min="9" max="16" width="8" style="269" customWidth="1"/>
    <col min="17" max="32" width="8" style="281" customWidth="1"/>
    <col min="33" max="33" width="9" style="269"/>
    <col min="34" max="49" width="7" style="281" customWidth="1"/>
    <col min="50" max="16384" width="9" style="269"/>
  </cols>
  <sheetData>
    <row r="1" spans="1:49" ht="28.5" customHeight="1" x14ac:dyDescent="0.3">
      <c r="A1" s="267"/>
      <c r="B1" s="832" t="s">
        <v>495</v>
      </c>
      <c r="C1" s="833"/>
      <c r="D1" s="834"/>
      <c r="E1" s="826" t="s">
        <v>496</v>
      </c>
      <c r="F1" s="827"/>
      <c r="G1" s="827"/>
      <c r="H1" s="828"/>
      <c r="I1" s="838" t="s">
        <v>497</v>
      </c>
      <c r="J1" s="839"/>
      <c r="K1" s="839"/>
      <c r="L1" s="839"/>
      <c r="M1" s="839"/>
      <c r="N1" s="839"/>
      <c r="O1" s="839"/>
      <c r="P1" s="840"/>
      <c r="Q1" s="820" t="s">
        <v>498</v>
      </c>
      <c r="R1" s="821"/>
      <c r="S1" s="821"/>
      <c r="T1" s="821"/>
      <c r="U1" s="268"/>
      <c r="V1" s="268"/>
      <c r="W1" s="268"/>
      <c r="X1" s="268"/>
      <c r="Y1" s="268"/>
      <c r="Z1" s="268"/>
      <c r="AA1" s="268"/>
      <c r="AB1" s="268"/>
      <c r="AC1" s="268"/>
      <c r="AD1" s="268"/>
      <c r="AE1" s="268"/>
      <c r="AF1" s="268"/>
      <c r="AH1" s="820" t="s">
        <v>499</v>
      </c>
      <c r="AI1" s="821"/>
      <c r="AJ1" s="821"/>
      <c r="AK1" s="821"/>
      <c r="AL1" s="821"/>
      <c r="AM1" s="821"/>
      <c r="AN1" s="821"/>
      <c r="AO1" s="821"/>
      <c r="AP1" s="821"/>
      <c r="AQ1" s="821"/>
      <c r="AR1" s="821"/>
      <c r="AS1" s="821"/>
      <c r="AT1" s="821"/>
      <c r="AU1" s="821"/>
      <c r="AV1" s="821"/>
      <c r="AW1" s="821"/>
    </row>
    <row r="2" spans="1:49" ht="28.5" customHeight="1" x14ac:dyDescent="0.3">
      <c r="A2" s="270"/>
      <c r="B2" s="835"/>
      <c r="C2" s="836"/>
      <c r="D2" s="837"/>
      <c r="E2" s="829"/>
      <c r="F2" s="830"/>
      <c r="G2" s="830"/>
      <c r="H2" s="831"/>
      <c r="I2" s="823" t="s">
        <v>500</v>
      </c>
      <c r="J2" s="824"/>
      <c r="K2" s="824"/>
      <c r="L2" s="825"/>
      <c r="M2" s="823" t="s">
        <v>499</v>
      </c>
      <c r="N2" s="824"/>
      <c r="O2" s="824"/>
      <c r="P2" s="825"/>
      <c r="Q2" s="820" t="s">
        <v>501</v>
      </c>
      <c r="R2" s="821"/>
      <c r="S2" s="821"/>
      <c r="T2" s="821"/>
      <c r="U2" s="820" t="s">
        <v>502</v>
      </c>
      <c r="V2" s="821"/>
      <c r="W2" s="821"/>
      <c r="X2" s="822"/>
      <c r="Y2" s="820" t="s">
        <v>503</v>
      </c>
      <c r="Z2" s="821"/>
      <c r="AA2" s="821"/>
      <c r="AB2" s="822"/>
      <c r="AC2" s="820" t="s">
        <v>504</v>
      </c>
      <c r="AD2" s="821"/>
      <c r="AE2" s="821"/>
      <c r="AF2" s="822"/>
      <c r="AH2" s="820" t="s">
        <v>505</v>
      </c>
      <c r="AI2" s="821"/>
      <c r="AJ2" s="821"/>
      <c r="AK2" s="822"/>
      <c r="AL2" s="820" t="s">
        <v>506</v>
      </c>
      <c r="AM2" s="821"/>
      <c r="AN2" s="821"/>
      <c r="AO2" s="822"/>
      <c r="AP2" s="820" t="s">
        <v>507</v>
      </c>
      <c r="AQ2" s="821"/>
      <c r="AR2" s="821"/>
      <c r="AS2" s="822"/>
      <c r="AT2" s="820" t="s">
        <v>508</v>
      </c>
      <c r="AU2" s="821"/>
      <c r="AV2" s="821"/>
      <c r="AW2" s="822"/>
    </row>
    <row r="3" spans="1:49" s="350" customFormat="1" ht="27" customHeight="1" thickBot="1" x14ac:dyDescent="0.35">
      <c r="A3" s="341" t="s">
        <v>509</v>
      </c>
      <c r="B3" s="342" t="s">
        <v>510</v>
      </c>
      <c r="C3" s="343" t="s">
        <v>511</v>
      </c>
      <c r="D3" s="344" t="s">
        <v>512</v>
      </c>
      <c r="E3" s="345" t="s">
        <v>513</v>
      </c>
      <c r="F3" s="352" t="s">
        <v>514</v>
      </c>
      <c r="G3" s="345" t="s">
        <v>515</v>
      </c>
      <c r="H3" s="345" t="s">
        <v>516</v>
      </c>
      <c r="I3" s="351" t="s">
        <v>517</v>
      </c>
      <c r="J3" s="346" t="s">
        <v>518</v>
      </c>
      <c r="K3" s="351" t="s">
        <v>519</v>
      </c>
      <c r="L3" s="346" t="s">
        <v>520</v>
      </c>
      <c r="M3" s="346" t="s">
        <v>521</v>
      </c>
      <c r="N3" s="346" t="s">
        <v>518</v>
      </c>
      <c r="O3" s="346" t="s">
        <v>149</v>
      </c>
      <c r="P3" s="351" t="s">
        <v>520</v>
      </c>
      <c r="Q3" s="347" t="s">
        <v>522</v>
      </c>
      <c r="R3" s="348" t="s">
        <v>518</v>
      </c>
      <c r="S3" s="348" t="s">
        <v>523</v>
      </c>
      <c r="T3" s="346" t="s">
        <v>520</v>
      </c>
      <c r="U3" s="347" t="s">
        <v>522</v>
      </c>
      <c r="V3" s="348" t="s">
        <v>518</v>
      </c>
      <c r="W3" s="348" t="s">
        <v>523</v>
      </c>
      <c r="X3" s="349" t="s">
        <v>520</v>
      </c>
      <c r="Y3" s="347" t="s">
        <v>522</v>
      </c>
      <c r="Z3" s="348" t="s">
        <v>518</v>
      </c>
      <c r="AA3" s="348" t="s">
        <v>523</v>
      </c>
      <c r="AB3" s="349" t="s">
        <v>520</v>
      </c>
      <c r="AC3" s="347" t="s">
        <v>522</v>
      </c>
      <c r="AD3" s="348" t="s">
        <v>518</v>
      </c>
      <c r="AE3" s="348" t="s">
        <v>523</v>
      </c>
      <c r="AF3" s="349" t="s">
        <v>520</v>
      </c>
      <c r="AH3" s="347" t="s">
        <v>521</v>
      </c>
      <c r="AI3" s="348" t="s">
        <v>518</v>
      </c>
      <c r="AJ3" s="348" t="s">
        <v>520</v>
      </c>
      <c r="AK3" s="349" t="s">
        <v>524</v>
      </c>
      <c r="AL3" s="347" t="s">
        <v>521</v>
      </c>
      <c r="AM3" s="348" t="s">
        <v>518</v>
      </c>
      <c r="AN3" s="348" t="s">
        <v>520</v>
      </c>
      <c r="AO3" s="349" t="s">
        <v>524</v>
      </c>
      <c r="AP3" s="347" t="s">
        <v>521</v>
      </c>
      <c r="AQ3" s="348" t="s">
        <v>518</v>
      </c>
      <c r="AR3" s="348" t="s">
        <v>520</v>
      </c>
      <c r="AS3" s="349" t="s">
        <v>524</v>
      </c>
      <c r="AT3" s="347" t="s">
        <v>521</v>
      </c>
      <c r="AU3" s="348" t="s">
        <v>518</v>
      </c>
      <c r="AV3" s="348" t="s">
        <v>520</v>
      </c>
      <c r="AW3" s="349" t="s">
        <v>524</v>
      </c>
    </row>
    <row r="4" spans="1:49" x14ac:dyDescent="0.3">
      <c r="A4" s="272" t="s">
        <v>525</v>
      </c>
      <c r="B4" s="339" t="s">
        <v>526</v>
      </c>
      <c r="C4" s="339" t="s">
        <v>527</v>
      </c>
      <c r="D4" s="340" t="s">
        <v>528</v>
      </c>
      <c r="E4" s="275"/>
      <c r="F4" s="274"/>
      <c r="G4" s="275"/>
      <c r="H4" s="275"/>
      <c r="I4" s="278"/>
      <c r="J4" s="278"/>
      <c r="K4" s="278"/>
      <c r="L4" s="278"/>
      <c r="M4" s="278"/>
      <c r="N4" s="278"/>
      <c r="O4" s="278"/>
      <c r="P4" s="278"/>
      <c r="Q4" s="278"/>
      <c r="R4" s="278"/>
      <c r="S4" s="278"/>
      <c r="T4" s="279"/>
      <c r="U4" s="277"/>
      <c r="V4" s="278"/>
      <c r="W4" s="280"/>
      <c r="X4" s="280"/>
      <c r="Y4" s="277"/>
      <c r="Z4" s="278"/>
      <c r="AA4" s="280"/>
      <c r="AB4" s="280"/>
      <c r="AC4" s="277"/>
      <c r="AD4" s="278"/>
      <c r="AE4" s="280"/>
      <c r="AF4" s="280"/>
      <c r="AH4" s="277"/>
      <c r="AK4" s="280"/>
      <c r="AL4" s="277"/>
      <c r="AO4" s="280"/>
      <c r="AP4" s="277"/>
      <c r="AS4" s="280"/>
      <c r="AT4" s="277"/>
      <c r="AW4" s="280"/>
    </row>
    <row r="5" spans="1:49" x14ac:dyDescent="0.3">
      <c r="A5" s="282" t="s">
        <v>529</v>
      </c>
      <c r="B5" s="334">
        <v>93900</v>
      </c>
      <c r="C5" s="334">
        <v>113600</v>
      </c>
      <c r="D5" s="290">
        <v>128100</v>
      </c>
      <c r="E5" s="275"/>
      <c r="F5" s="274"/>
      <c r="G5" s="275"/>
      <c r="H5" s="275"/>
      <c r="I5" s="278"/>
      <c r="J5" s="278"/>
      <c r="K5" s="278"/>
      <c r="L5" s="278"/>
      <c r="M5" s="278"/>
      <c r="N5" s="278"/>
      <c r="O5" s="278"/>
      <c r="P5" s="278"/>
      <c r="Q5" s="286"/>
      <c r="R5" s="286"/>
      <c r="S5" s="286"/>
      <c r="T5" s="287"/>
      <c r="U5" s="285"/>
      <c r="V5" s="286"/>
      <c r="W5" s="288"/>
      <c r="X5" s="288"/>
      <c r="Y5" s="285"/>
      <c r="Z5" s="286"/>
      <c r="AA5" s="288"/>
      <c r="AB5" s="288"/>
      <c r="AC5" s="285"/>
      <c r="AD5" s="286"/>
      <c r="AE5" s="288"/>
      <c r="AF5" s="288"/>
      <c r="AH5" s="285"/>
      <c r="AI5" s="286"/>
      <c r="AJ5" s="286"/>
      <c r="AK5" s="288"/>
      <c r="AL5" s="285"/>
      <c r="AM5" s="286"/>
      <c r="AN5" s="286"/>
      <c r="AO5" s="288"/>
      <c r="AP5" s="285"/>
      <c r="AQ5" s="286"/>
      <c r="AR5" s="286"/>
      <c r="AS5" s="288"/>
      <c r="AT5" s="285"/>
      <c r="AU5" s="286"/>
      <c r="AV5" s="286"/>
      <c r="AW5" s="288"/>
    </row>
    <row r="6" spans="1:49" x14ac:dyDescent="0.3">
      <c r="A6" s="272" t="s">
        <v>530</v>
      </c>
      <c r="B6" s="334">
        <v>125200</v>
      </c>
      <c r="C6" s="334">
        <v>151300</v>
      </c>
      <c r="D6" s="290">
        <v>170900</v>
      </c>
      <c r="E6" s="275"/>
      <c r="F6" s="274"/>
      <c r="G6" s="275"/>
      <c r="H6" s="275"/>
      <c r="I6" s="278"/>
      <c r="J6" s="278"/>
      <c r="K6" s="278"/>
      <c r="L6" s="278"/>
      <c r="M6" s="278"/>
      <c r="N6" s="278"/>
      <c r="O6" s="278"/>
      <c r="P6" s="278"/>
      <c r="Q6" s="278"/>
      <c r="R6" s="278"/>
      <c r="S6" s="278"/>
      <c r="T6" s="279"/>
      <c r="U6" s="277"/>
      <c r="V6" s="278"/>
      <c r="W6" s="280"/>
      <c r="X6" s="280"/>
      <c r="Y6" s="277"/>
      <c r="Z6" s="278"/>
      <c r="AA6" s="280"/>
      <c r="AB6" s="280"/>
      <c r="AC6" s="277"/>
      <c r="AD6" s="278"/>
      <c r="AE6" s="280"/>
      <c r="AF6" s="280"/>
      <c r="AH6" s="277"/>
      <c r="AK6" s="280"/>
      <c r="AL6" s="277"/>
      <c r="AO6" s="280"/>
      <c r="AP6" s="277"/>
      <c r="AS6" s="280"/>
      <c r="AT6" s="277"/>
      <c r="AW6" s="280"/>
    </row>
    <row r="7" spans="1:49" x14ac:dyDescent="0.3">
      <c r="A7" s="289" t="s">
        <v>531</v>
      </c>
      <c r="B7" s="334">
        <f>+B6-B5</f>
        <v>31300</v>
      </c>
      <c r="C7" s="334">
        <f>+C6-C5</f>
        <v>37700</v>
      </c>
      <c r="D7" s="334">
        <f>+D6-D5</f>
        <v>42800</v>
      </c>
      <c r="E7" s="335">
        <v>25000</v>
      </c>
      <c r="F7" s="336">
        <v>1</v>
      </c>
      <c r="G7" s="296">
        <f>+E7*F7</f>
        <v>25000</v>
      </c>
      <c r="H7" s="296">
        <f>+E7-G7</f>
        <v>0</v>
      </c>
      <c r="I7" s="295" t="s">
        <v>485</v>
      </c>
      <c r="J7" s="337">
        <f>HLOOKUP(I7,$B$4:$D$7,4,TRUE)</f>
        <v>42800</v>
      </c>
      <c r="K7" s="295">
        <v>0.35</v>
      </c>
      <c r="L7" s="296">
        <f>+$H7*1000/J7</f>
        <v>0</v>
      </c>
      <c r="M7" s="295" t="s">
        <v>488</v>
      </c>
      <c r="N7" s="337">
        <f>HLOOKUP(M7,$B$4:$D$7,4,TRUE)</f>
        <v>37700</v>
      </c>
      <c r="O7" s="295">
        <v>0.35</v>
      </c>
      <c r="P7" s="296">
        <f>+$H7*1000/N7</f>
        <v>0</v>
      </c>
      <c r="Q7" s="293" t="s">
        <v>485</v>
      </c>
      <c r="R7" s="294">
        <f>HLOOKUP(Q7,$B$4:$D$7,4,TRUE)</f>
        <v>42800</v>
      </c>
      <c r="S7" s="295">
        <f>+ImpTypePct!$G$9</f>
        <v>0.35</v>
      </c>
      <c r="T7" s="296">
        <f>+$H7*1000/R7</f>
        <v>0</v>
      </c>
      <c r="U7" s="293" t="s">
        <v>485</v>
      </c>
      <c r="V7" s="294">
        <f>HLOOKUP(U7,$B$4:$D$7,4,TRUE)</f>
        <v>42800</v>
      </c>
      <c r="W7" s="295">
        <f>+ImpTypePct!$G$9</f>
        <v>0.35</v>
      </c>
      <c r="X7" s="292">
        <f>+$H7*1000/V7</f>
        <v>0</v>
      </c>
      <c r="Y7" s="293" t="s">
        <v>485</v>
      </c>
      <c r="Z7" s="294">
        <f>HLOOKUP(Y7,$B$4:$D$7,4,TRUE)</f>
        <v>42800</v>
      </c>
      <c r="AA7" s="295">
        <f>+ImpTypePct!$G$9</f>
        <v>0.35</v>
      </c>
      <c r="AB7" s="292">
        <f>+$H7*1000/Z7</f>
        <v>0</v>
      </c>
      <c r="AC7" s="293" t="s">
        <v>485</v>
      </c>
      <c r="AD7" s="294">
        <f>HLOOKUP(AC7,$B$4:$D$7,4,TRUE)</f>
        <v>42800</v>
      </c>
      <c r="AE7" s="295">
        <v>0.35</v>
      </c>
      <c r="AF7" s="292">
        <f>+$H7*1000/AD7</f>
        <v>0</v>
      </c>
      <c r="AH7" s="293" t="s">
        <v>485</v>
      </c>
      <c r="AI7" s="294">
        <f>HLOOKUP(AH7,$B$4:$D$7,4,TRUE)</f>
        <v>42800</v>
      </c>
      <c r="AJ7" s="291">
        <f>+$H7*1000/AI7</f>
        <v>0</v>
      </c>
      <c r="AK7" s="297">
        <v>0.35</v>
      </c>
      <c r="AL7" s="293" t="s">
        <v>488</v>
      </c>
      <c r="AM7" s="294">
        <f>HLOOKUP(AL7,$B$4:$D$7,4,TRUE)</f>
        <v>37700</v>
      </c>
      <c r="AN7" s="291">
        <f>+$H7*1000/AM7</f>
        <v>0</v>
      </c>
      <c r="AO7" s="297">
        <v>0.35</v>
      </c>
      <c r="AP7" s="293" t="s">
        <v>488</v>
      </c>
      <c r="AQ7" s="294">
        <f>HLOOKUP(AP7,$B$4:$D$7,4,TRUE)</f>
        <v>37700</v>
      </c>
      <c r="AR7" s="291">
        <f>+$H7*1000/AQ7</f>
        <v>0</v>
      </c>
      <c r="AS7" s="297">
        <v>0.35</v>
      </c>
      <c r="AT7" s="293" t="s">
        <v>488</v>
      </c>
      <c r="AU7" s="294">
        <f>HLOOKUP(AT7,$B$4:$D$7,4,TRUE)</f>
        <v>37700</v>
      </c>
      <c r="AV7" s="291">
        <f>+$H7*1000/AU7</f>
        <v>0</v>
      </c>
      <c r="AW7" s="297">
        <v>0.35</v>
      </c>
    </row>
    <row r="8" spans="1:49" x14ac:dyDescent="0.3">
      <c r="A8" s="272" t="s">
        <v>532</v>
      </c>
      <c r="B8" s="334" t="s">
        <v>526</v>
      </c>
      <c r="C8" s="334" t="s">
        <v>527</v>
      </c>
      <c r="D8" s="290" t="s">
        <v>528</v>
      </c>
      <c r="E8" s="275"/>
      <c r="F8" s="274"/>
      <c r="G8" s="275"/>
      <c r="H8" s="275"/>
      <c r="I8" s="278"/>
      <c r="J8" s="278"/>
      <c r="K8" s="278"/>
      <c r="L8" s="278"/>
      <c r="M8" s="278"/>
      <c r="N8" s="278"/>
      <c r="O8" s="278"/>
      <c r="P8" s="278"/>
      <c r="Q8" s="278"/>
      <c r="R8" s="278"/>
      <c r="S8" s="278"/>
      <c r="T8" s="279"/>
      <c r="U8" s="277"/>
      <c r="V8" s="278"/>
      <c r="W8" s="280"/>
      <c r="X8" s="280"/>
      <c r="Y8" s="277"/>
      <c r="Z8" s="278"/>
      <c r="AA8" s="280"/>
      <c r="AB8" s="280"/>
      <c r="AC8" s="277"/>
      <c r="AD8" s="278"/>
      <c r="AE8" s="280"/>
      <c r="AF8" s="280"/>
      <c r="AH8" s="277"/>
      <c r="AK8" s="280"/>
      <c r="AL8" s="277"/>
      <c r="AO8" s="280"/>
      <c r="AP8" s="277"/>
      <c r="AS8" s="280"/>
      <c r="AT8" s="277"/>
      <c r="AW8" s="280"/>
    </row>
    <row r="9" spans="1:49" x14ac:dyDescent="0.3">
      <c r="A9" s="282" t="s">
        <v>533</v>
      </c>
      <c r="B9" s="334">
        <v>14500</v>
      </c>
      <c r="C9" s="334">
        <v>32400</v>
      </c>
      <c r="D9" s="290">
        <v>33800</v>
      </c>
      <c r="E9" s="275"/>
      <c r="F9" s="274"/>
      <c r="G9" s="275"/>
      <c r="H9" s="275"/>
      <c r="I9" s="278"/>
      <c r="J9" s="278"/>
      <c r="K9" s="278"/>
      <c r="L9" s="278"/>
      <c r="M9" s="278"/>
      <c r="N9" s="278"/>
      <c r="O9" s="278"/>
      <c r="P9" s="278"/>
      <c r="Q9" s="286"/>
      <c r="R9" s="286"/>
      <c r="S9" s="286"/>
      <c r="T9" s="287"/>
      <c r="U9" s="285"/>
      <c r="V9" s="286"/>
      <c r="W9" s="288"/>
      <c r="X9" s="288"/>
      <c r="Y9" s="285"/>
      <c r="Z9" s="286"/>
      <c r="AA9" s="288"/>
      <c r="AB9" s="288"/>
      <c r="AC9" s="285"/>
      <c r="AD9" s="286"/>
      <c r="AE9" s="288"/>
      <c r="AF9" s="288"/>
      <c r="AH9" s="285"/>
      <c r="AI9" s="286"/>
      <c r="AJ9" s="286"/>
      <c r="AK9" s="288"/>
      <c r="AL9" s="285"/>
      <c r="AM9" s="286"/>
      <c r="AN9" s="286"/>
      <c r="AO9" s="288"/>
      <c r="AP9" s="285"/>
      <c r="AQ9" s="286"/>
      <c r="AR9" s="286"/>
      <c r="AS9" s="288"/>
      <c r="AT9" s="285"/>
      <c r="AU9" s="286"/>
      <c r="AV9" s="286"/>
      <c r="AW9" s="288"/>
    </row>
    <row r="10" spans="1:49" x14ac:dyDescent="0.3">
      <c r="A10" s="272" t="s">
        <v>534</v>
      </c>
      <c r="B10" s="334">
        <v>23300</v>
      </c>
      <c r="C10" s="334">
        <v>50000</v>
      </c>
      <c r="D10" s="290">
        <v>50900</v>
      </c>
      <c r="E10" s="275"/>
      <c r="F10" s="274"/>
      <c r="G10" s="275"/>
      <c r="H10" s="275"/>
      <c r="I10" s="278"/>
      <c r="J10" s="278"/>
      <c r="K10" s="278"/>
      <c r="L10" s="278"/>
      <c r="M10" s="278"/>
      <c r="N10" s="278"/>
      <c r="O10" s="278"/>
      <c r="P10" s="278"/>
      <c r="Q10" s="278"/>
      <c r="R10" s="278"/>
      <c r="S10" s="278"/>
      <c r="T10" s="279"/>
      <c r="U10" s="277"/>
      <c r="V10" s="278"/>
      <c r="W10" s="280"/>
      <c r="X10" s="280"/>
      <c r="Y10" s="277"/>
      <c r="Z10" s="278"/>
      <c r="AA10" s="280"/>
      <c r="AB10" s="280"/>
      <c r="AC10" s="277"/>
      <c r="AD10" s="278"/>
      <c r="AE10" s="280"/>
      <c r="AF10" s="280"/>
      <c r="AH10" s="277"/>
      <c r="AK10" s="280"/>
      <c r="AL10" s="277"/>
      <c r="AO10" s="280"/>
      <c r="AP10" s="277"/>
      <c r="AS10" s="280"/>
      <c r="AT10" s="277"/>
      <c r="AW10" s="280"/>
    </row>
    <row r="11" spans="1:49" x14ac:dyDescent="0.3">
      <c r="A11" s="289" t="s">
        <v>535</v>
      </c>
      <c r="B11" s="334">
        <f>+B10-B9</f>
        <v>8800</v>
      </c>
      <c r="C11" s="334">
        <f>+C10-C9</f>
        <v>17600</v>
      </c>
      <c r="D11" s="334">
        <f>+D10-D9</f>
        <v>17100</v>
      </c>
      <c r="E11" s="335">
        <v>8500</v>
      </c>
      <c r="F11" s="336">
        <v>0.19</v>
      </c>
      <c r="G11" s="296">
        <f>+E11*F11</f>
        <v>1615</v>
      </c>
      <c r="H11" s="296">
        <f>+E11-G11</f>
        <v>6885</v>
      </c>
      <c r="I11" s="295" t="s">
        <v>485</v>
      </c>
      <c r="J11" s="337">
        <f>HLOOKUP(I11,$B$8:$D$11,4,TRUE)</f>
        <v>17100</v>
      </c>
      <c r="K11" s="295">
        <v>0.65</v>
      </c>
      <c r="L11" s="296">
        <f>+$H11*1000/J11</f>
        <v>402.63157894736844</v>
      </c>
      <c r="M11" s="295" t="s">
        <v>488</v>
      </c>
      <c r="N11" s="337">
        <f>HLOOKUP(M11,$B$8:$D$11,4,TRUE)</f>
        <v>17600</v>
      </c>
      <c r="O11" s="295">
        <v>0.65</v>
      </c>
      <c r="P11" s="296">
        <f>+$H11*1000/N11</f>
        <v>391.19318181818181</v>
      </c>
      <c r="Q11" s="293" t="s">
        <v>485</v>
      </c>
      <c r="R11" s="294">
        <f>HLOOKUP(Q11,$B$8:$D$11,4,TRUE)</f>
        <v>17100</v>
      </c>
      <c r="S11" s="298">
        <f>+ImpTypePct!$G$10</f>
        <v>0.65</v>
      </c>
      <c r="T11" s="296">
        <f>+$H11*1000/R11</f>
        <v>402.63157894736844</v>
      </c>
      <c r="U11" s="293" t="s">
        <v>485</v>
      </c>
      <c r="V11" s="294">
        <f>HLOOKUP(U11,$B$8:$D$11,4,TRUE)</f>
        <v>17100</v>
      </c>
      <c r="W11" s="298">
        <f>+ImpTypePct!$G$10</f>
        <v>0.65</v>
      </c>
      <c r="X11" s="292">
        <f>+$H11*1000/V11</f>
        <v>402.63157894736844</v>
      </c>
      <c r="Y11" s="293" t="s">
        <v>485</v>
      </c>
      <c r="Z11" s="294">
        <f>HLOOKUP(Y11,$B$8:$D$11,4,TRUE)</f>
        <v>17100</v>
      </c>
      <c r="AA11" s="298">
        <f>+ImpTypePct!$G$10</f>
        <v>0.65</v>
      </c>
      <c r="AB11" s="292">
        <f>+$H11*1000/Z11</f>
        <v>402.63157894736844</v>
      </c>
      <c r="AC11" s="293" t="s">
        <v>485</v>
      </c>
      <c r="AD11" s="294">
        <f>HLOOKUP(AC11,$B$8:$D$11,4,TRUE)</f>
        <v>17100</v>
      </c>
      <c r="AE11" s="298">
        <f>+AE13-AE7</f>
        <v>0.65</v>
      </c>
      <c r="AF11" s="292">
        <f>+$H11*1000/AD11</f>
        <v>402.63157894736844</v>
      </c>
      <c r="AH11" s="293" t="s">
        <v>485</v>
      </c>
      <c r="AI11" s="294">
        <f>HLOOKUP(AH11,$B$8:$D$11,4,TRUE)</f>
        <v>17100</v>
      </c>
      <c r="AJ11" s="291">
        <f>+$H11*1000/AI11</f>
        <v>402.63157894736844</v>
      </c>
      <c r="AK11" s="297">
        <f>+AK13-AK7</f>
        <v>0.65</v>
      </c>
      <c r="AL11" s="293" t="s">
        <v>485</v>
      </c>
      <c r="AM11" s="294">
        <f>HLOOKUP(AL11,$B$8:$D$11,4,TRUE)</f>
        <v>17100</v>
      </c>
      <c r="AN11" s="291">
        <f>+$H11*1000/AM11</f>
        <v>402.63157894736844</v>
      </c>
      <c r="AO11" s="297">
        <f>+AO13-AO7</f>
        <v>0.65</v>
      </c>
      <c r="AP11" s="293" t="s">
        <v>485</v>
      </c>
      <c r="AQ11" s="294">
        <f>HLOOKUP(AP11,$B$8:$D$11,4,TRUE)</f>
        <v>17100</v>
      </c>
      <c r="AR11" s="291">
        <f>+$H11*1000/AQ11</f>
        <v>402.63157894736844</v>
      </c>
      <c r="AS11" s="297">
        <f>+AS13-AS7</f>
        <v>0.65</v>
      </c>
      <c r="AT11" s="293" t="s">
        <v>485</v>
      </c>
      <c r="AU11" s="294">
        <f>HLOOKUP(AT11,$B$8:$D$11,4,TRUE)</f>
        <v>17100</v>
      </c>
      <c r="AV11" s="291">
        <f>+$H11*1000/AU11</f>
        <v>402.63157894736844</v>
      </c>
      <c r="AW11" s="297">
        <f>+AW13-AW7</f>
        <v>0.65</v>
      </c>
    </row>
    <row r="12" spans="1:49" x14ac:dyDescent="0.3">
      <c r="A12" s="299"/>
      <c r="B12" s="300"/>
      <c r="C12" s="300"/>
      <c r="D12" s="300"/>
      <c r="E12" s="301"/>
      <c r="F12" s="302"/>
      <c r="G12" s="275"/>
      <c r="H12" s="275"/>
      <c r="I12" s="303"/>
      <c r="J12" s="304"/>
      <c r="K12" s="304"/>
      <c r="L12" s="305"/>
      <c r="M12" s="303"/>
      <c r="N12" s="304"/>
      <c r="O12" s="304"/>
      <c r="P12" s="305"/>
      <c r="Q12" s="303"/>
      <c r="R12" s="304"/>
      <c r="S12" s="304"/>
      <c r="T12" s="305"/>
      <c r="U12" s="306"/>
      <c r="V12" s="307"/>
      <c r="W12" s="308"/>
      <c r="X12" s="309"/>
      <c r="Y12" s="306"/>
      <c r="Z12" s="307"/>
      <c r="AA12" s="308"/>
      <c r="AB12" s="309"/>
      <c r="AC12" s="306"/>
      <c r="AD12" s="307"/>
      <c r="AE12" s="308"/>
      <c r="AF12" s="309"/>
      <c r="AH12" s="306"/>
      <c r="AI12" s="307"/>
      <c r="AJ12" s="307"/>
      <c r="AK12" s="308"/>
      <c r="AL12" s="306"/>
      <c r="AM12" s="307"/>
      <c r="AN12" s="307"/>
      <c r="AO12" s="308"/>
      <c r="AP12" s="306"/>
      <c r="AQ12" s="307"/>
      <c r="AR12" s="307"/>
      <c r="AS12" s="308"/>
      <c r="AT12" s="306"/>
      <c r="AU12" s="307"/>
      <c r="AV12" s="307"/>
      <c r="AW12" s="308"/>
    </row>
    <row r="13" spans="1:49" x14ac:dyDescent="0.3">
      <c r="A13" s="322" t="s">
        <v>536</v>
      </c>
      <c r="B13" s="300"/>
      <c r="E13" s="275"/>
      <c r="G13" s="296" t="s">
        <v>98</v>
      </c>
      <c r="H13" s="289"/>
      <c r="I13" s="313"/>
      <c r="J13" s="313"/>
      <c r="K13" s="313">
        <f>+K7+K11</f>
        <v>1</v>
      </c>
      <c r="L13" s="313"/>
      <c r="M13" s="313"/>
      <c r="N13" s="313"/>
      <c r="O13" s="313">
        <v>1</v>
      </c>
      <c r="P13" s="313"/>
      <c r="Q13" s="313"/>
      <c r="R13" s="313"/>
      <c r="S13" s="313">
        <f>+S7+S11</f>
        <v>1</v>
      </c>
      <c r="T13" s="313"/>
      <c r="U13" s="313"/>
      <c r="V13" s="313"/>
      <c r="W13" s="313">
        <v>1</v>
      </c>
      <c r="X13" s="313"/>
      <c r="Y13" s="313"/>
      <c r="Z13" s="313"/>
      <c r="AA13" s="313">
        <v>1</v>
      </c>
      <c r="AB13" s="313"/>
      <c r="AC13" s="313"/>
      <c r="AD13" s="313"/>
      <c r="AE13" s="313">
        <v>1</v>
      </c>
      <c r="AF13" s="313"/>
      <c r="AH13" s="311"/>
      <c r="AI13" s="312"/>
      <c r="AJ13" s="312"/>
      <c r="AK13" s="314">
        <v>1</v>
      </c>
      <c r="AL13" s="311"/>
      <c r="AM13" s="312"/>
      <c r="AN13" s="312"/>
      <c r="AO13" s="314">
        <v>1</v>
      </c>
      <c r="AP13" s="311"/>
      <c r="AQ13" s="312"/>
      <c r="AR13" s="312"/>
      <c r="AS13" s="314">
        <v>1</v>
      </c>
      <c r="AT13" s="311"/>
      <c r="AU13" s="312"/>
      <c r="AV13" s="312"/>
      <c r="AW13" s="314">
        <v>1</v>
      </c>
    </row>
    <row r="14" spans="1:49" x14ac:dyDescent="0.3">
      <c r="A14" s="323" t="s">
        <v>537</v>
      </c>
      <c r="B14" s="315"/>
      <c r="E14" s="316"/>
      <c r="H14" s="280"/>
      <c r="I14" s="277"/>
      <c r="J14" s="278"/>
      <c r="K14" s="278"/>
      <c r="L14" s="279"/>
      <c r="M14" s="277"/>
      <c r="N14" s="278"/>
      <c r="O14" s="278"/>
      <c r="P14" s="279"/>
      <c r="Q14" s="277"/>
      <c r="R14" s="278"/>
      <c r="S14" s="278"/>
      <c r="T14" s="279"/>
      <c r="U14" s="277"/>
      <c r="V14" s="278"/>
      <c r="W14" s="280"/>
      <c r="X14" s="280"/>
      <c r="Y14" s="277"/>
      <c r="Z14" s="278"/>
      <c r="AA14" s="280"/>
      <c r="AB14" s="280"/>
      <c r="AC14" s="277"/>
      <c r="AD14" s="278"/>
      <c r="AE14" s="280"/>
      <c r="AF14" s="280"/>
      <c r="AH14" s="277"/>
      <c r="AK14" s="280"/>
      <c r="AL14" s="277"/>
      <c r="AO14" s="280"/>
      <c r="AP14" s="277"/>
      <c r="AS14" s="280"/>
      <c r="AT14" s="277"/>
      <c r="AW14" s="280"/>
    </row>
    <row r="15" spans="1:49" x14ac:dyDescent="0.3">
      <c r="A15" s="269" t="s">
        <v>538</v>
      </c>
      <c r="G15" s="296" t="s">
        <v>539</v>
      </c>
      <c r="H15" s="289"/>
      <c r="I15" s="333"/>
      <c r="J15" s="333"/>
      <c r="K15" s="313"/>
      <c r="L15" s="296">
        <f>((K7*L7)+(K11*L$11))*L17</f>
        <v>261.71052631578948</v>
      </c>
      <c r="M15" s="333"/>
      <c r="N15" s="333"/>
      <c r="O15" s="313"/>
      <c r="P15" s="296">
        <f>((O7*P7)+(O11*P$11))*P17</f>
        <v>254.27556818181819</v>
      </c>
      <c r="Q15" s="333"/>
      <c r="R15" s="333"/>
      <c r="S15" s="313"/>
      <c r="T15" s="296">
        <f>((S7*T7)+(S11*T$11))*T17</f>
        <v>261.71052631578948</v>
      </c>
      <c r="U15" s="333"/>
      <c r="V15" s="333"/>
      <c r="W15" s="296">
        <f>((W7*X7)+(W11*X$11))*W17</f>
        <v>261.71052631578948</v>
      </c>
      <c r="X15" s="333"/>
      <c r="Y15" s="333"/>
      <c r="Z15" s="333"/>
      <c r="AA15" s="296">
        <f>((AA7*AB7)+(AA11*AB$11))*AA17</f>
        <v>261.71052631578948</v>
      </c>
      <c r="AB15" s="333"/>
      <c r="AC15" s="333"/>
      <c r="AD15" s="333"/>
      <c r="AE15" s="296">
        <f>((AE7*AF7)+(AE11*AF$11))*AE17</f>
        <v>261.71052631578948</v>
      </c>
      <c r="AF15" s="333"/>
      <c r="AH15" s="319"/>
      <c r="AK15" s="284">
        <f>((AK7*AJ7)+(AK11*AJ$11))*AK17</f>
        <v>261.71052631578948</v>
      </c>
      <c r="AL15" s="319"/>
      <c r="AM15" s="319"/>
      <c r="AN15" s="319"/>
      <c r="AO15" s="292">
        <f>((AO7*AN7)+(AO11*AN$11))*AO17</f>
        <v>261.71052631578948</v>
      </c>
      <c r="AP15" s="318"/>
      <c r="AQ15" s="319"/>
      <c r="AR15" s="319"/>
      <c r="AS15" s="292">
        <f>((AS7*AR7)+(AS11*AR$11))*AS17</f>
        <v>261.71052631578948</v>
      </c>
      <c r="AT15" s="318"/>
      <c r="AU15" s="319"/>
      <c r="AV15" s="319"/>
      <c r="AW15" s="292">
        <f>((AW7*AV7)+(AW11*AV$11))*AW17</f>
        <v>261.71052631578948</v>
      </c>
    </row>
    <row r="16" spans="1:49" x14ac:dyDescent="0.3">
      <c r="C16" s="317"/>
      <c r="D16" s="278"/>
      <c r="E16" s="320"/>
      <c r="F16" s="320"/>
      <c r="G16" s="275"/>
      <c r="H16" s="275"/>
      <c r="I16" s="278"/>
      <c r="J16" s="278"/>
      <c r="K16" s="278"/>
      <c r="L16" s="278"/>
      <c r="M16" s="278"/>
      <c r="N16" s="278"/>
      <c r="O16" s="278"/>
      <c r="P16" s="278"/>
      <c r="Q16" s="278"/>
      <c r="R16" s="278"/>
      <c r="S16" s="278"/>
      <c r="T16" s="278"/>
      <c r="U16" s="278"/>
      <c r="V16" s="278"/>
      <c r="W16" s="278"/>
      <c r="X16" s="278"/>
      <c r="Y16" s="278"/>
      <c r="Z16" s="278"/>
      <c r="AA16" s="278"/>
      <c r="AB16" s="278"/>
      <c r="AC16" s="278"/>
      <c r="AD16" s="278"/>
      <c r="AE16" s="278"/>
      <c r="AF16" s="278"/>
      <c r="AG16" s="299"/>
      <c r="AH16" s="278"/>
      <c r="AI16" s="278"/>
      <c r="AJ16" s="278"/>
      <c r="AK16" s="278"/>
      <c r="AL16" s="278"/>
      <c r="AM16" s="278"/>
      <c r="AN16" s="278"/>
      <c r="AO16" s="278"/>
      <c r="AP16" s="278"/>
      <c r="AQ16" s="278"/>
      <c r="AR16" s="278"/>
      <c r="AS16" s="278"/>
      <c r="AT16" s="278"/>
      <c r="AU16" s="278"/>
      <c r="AV16" s="278"/>
      <c r="AW16" s="269"/>
    </row>
    <row r="17" spans="1:49" hidden="1" x14ac:dyDescent="0.3">
      <c r="A17" s="322" t="s">
        <v>540</v>
      </c>
      <c r="C17" s="283" t="s">
        <v>541</v>
      </c>
      <c r="D17" s="299"/>
      <c r="E17" s="275"/>
      <c r="F17" s="320"/>
      <c r="G17" s="275"/>
      <c r="H17" s="275"/>
      <c r="I17" s="278"/>
      <c r="J17" s="278"/>
      <c r="K17" s="278"/>
      <c r="L17" s="330">
        <v>1</v>
      </c>
      <c r="M17" s="278"/>
      <c r="N17" s="278"/>
      <c r="O17" s="278"/>
      <c r="P17" s="330">
        <v>1</v>
      </c>
      <c r="Q17" s="278"/>
      <c r="R17" s="278"/>
      <c r="S17" s="278"/>
      <c r="T17" s="278">
        <v>1</v>
      </c>
      <c r="U17" s="278"/>
      <c r="V17" s="278"/>
      <c r="W17" s="278">
        <v>1</v>
      </c>
      <c r="X17" s="278"/>
      <c r="Y17" s="278"/>
      <c r="Z17" s="278"/>
      <c r="AA17" s="278">
        <v>1</v>
      </c>
      <c r="AB17" s="278"/>
      <c r="AC17" s="278"/>
      <c r="AD17" s="278"/>
      <c r="AE17" s="278">
        <v>1</v>
      </c>
      <c r="AF17" s="278"/>
      <c r="AG17" s="299"/>
      <c r="AH17" s="278"/>
      <c r="AI17" s="278"/>
      <c r="AJ17" s="278"/>
      <c r="AK17" s="278">
        <v>1</v>
      </c>
      <c r="AL17" s="278"/>
      <c r="AM17" s="286"/>
      <c r="AN17" s="286"/>
      <c r="AO17" s="288">
        <v>1</v>
      </c>
      <c r="AP17" s="285"/>
      <c r="AQ17" s="286"/>
      <c r="AR17" s="286"/>
      <c r="AS17" s="288">
        <v>1</v>
      </c>
      <c r="AT17" s="285"/>
      <c r="AU17" s="286"/>
      <c r="AV17" s="286"/>
      <c r="AW17" s="288">
        <v>1</v>
      </c>
    </row>
    <row r="18" spans="1:49" hidden="1" x14ac:dyDescent="0.3">
      <c r="A18" s="269" t="s">
        <v>542</v>
      </c>
      <c r="C18" s="321" t="s">
        <v>543</v>
      </c>
      <c r="D18" s="299"/>
      <c r="E18" s="275"/>
      <c r="F18" s="320"/>
      <c r="G18" s="275"/>
      <c r="H18" s="275"/>
      <c r="I18" s="278"/>
      <c r="J18" s="278"/>
      <c r="K18" s="278"/>
      <c r="L18" s="330">
        <v>1</v>
      </c>
      <c r="M18" s="278"/>
      <c r="N18" s="278"/>
      <c r="O18" s="278"/>
      <c r="P18" s="330">
        <v>1</v>
      </c>
      <c r="Q18" s="278"/>
      <c r="R18" s="278"/>
      <c r="S18" s="278"/>
      <c r="T18" s="278">
        <v>1</v>
      </c>
      <c r="U18" s="278"/>
      <c r="V18" s="278"/>
      <c r="W18" s="278">
        <v>1</v>
      </c>
      <c r="X18" s="278"/>
      <c r="Y18" s="278"/>
      <c r="Z18" s="278"/>
      <c r="AA18" s="278">
        <v>1</v>
      </c>
      <c r="AB18" s="278"/>
      <c r="AC18" s="278"/>
      <c r="AD18" s="278"/>
      <c r="AE18" s="278">
        <v>1</v>
      </c>
      <c r="AF18" s="278"/>
      <c r="AG18" s="299"/>
      <c r="AH18" s="278"/>
      <c r="AI18" s="278"/>
      <c r="AJ18" s="278"/>
      <c r="AK18" s="278">
        <v>1</v>
      </c>
      <c r="AL18" s="278"/>
      <c r="AM18" s="307"/>
      <c r="AN18" s="307"/>
      <c r="AO18" s="309">
        <v>1</v>
      </c>
      <c r="AP18" s="306"/>
      <c r="AQ18" s="307"/>
      <c r="AR18" s="307"/>
      <c r="AS18" s="309">
        <v>1</v>
      </c>
      <c r="AT18" s="306"/>
      <c r="AU18" s="307"/>
      <c r="AV18" s="307"/>
      <c r="AW18" s="269"/>
    </row>
    <row r="19" spans="1:49" x14ac:dyDescent="0.3">
      <c r="A19" s="269" t="s">
        <v>544</v>
      </c>
      <c r="D19" s="299"/>
      <c r="E19" s="275"/>
      <c r="F19" s="274"/>
      <c r="G19" s="275"/>
      <c r="H19" s="275"/>
      <c r="I19" s="299"/>
      <c r="J19" s="299"/>
      <c r="K19" s="299"/>
      <c r="L19" s="299"/>
      <c r="M19" s="299"/>
      <c r="N19" s="299"/>
      <c r="O19" s="299"/>
      <c r="P19" s="299"/>
      <c r="Q19" s="278"/>
      <c r="R19" s="278"/>
      <c r="S19" s="278"/>
      <c r="T19" s="278"/>
      <c r="U19" s="278"/>
      <c r="V19" s="278"/>
      <c r="W19" s="278"/>
      <c r="X19" s="278"/>
      <c r="Y19" s="278"/>
      <c r="Z19" s="278"/>
      <c r="AA19" s="278"/>
      <c r="AB19" s="278"/>
      <c r="AC19" s="278"/>
      <c r="AD19" s="278"/>
      <c r="AE19" s="278"/>
      <c r="AF19" s="278"/>
      <c r="AG19" s="299"/>
      <c r="AH19" s="278"/>
      <c r="AI19" s="278"/>
      <c r="AJ19" s="278"/>
      <c r="AK19" s="278"/>
      <c r="AL19" s="278"/>
      <c r="AW19" s="269"/>
    </row>
    <row r="20" spans="1:49" x14ac:dyDescent="0.3">
      <c r="A20" s="269" t="s">
        <v>545</v>
      </c>
      <c r="B20" s="301"/>
      <c r="D20" s="299"/>
      <c r="E20" s="275"/>
      <c r="F20" s="274"/>
      <c r="G20" s="275"/>
      <c r="H20" s="275"/>
      <c r="I20" s="299"/>
      <c r="J20" s="299"/>
      <c r="K20" s="299"/>
      <c r="L20" s="299"/>
      <c r="M20" s="299"/>
      <c r="N20" s="299"/>
      <c r="O20" s="299"/>
      <c r="P20" s="299"/>
      <c r="Q20" s="278"/>
      <c r="R20" s="278"/>
      <c r="S20" s="278"/>
      <c r="T20" s="278"/>
      <c r="U20" s="278"/>
      <c r="V20" s="278"/>
      <c r="W20" s="278"/>
      <c r="X20" s="278"/>
      <c r="Y20" s="278"/>
      <c r="Z20" s="278"/>
      <c r="AA20" s="278"/>
      <c r="AB20" s="278"/>
      <c r="AC20" s="278"/>
      <c r="AD20" s="278"/>
      <c r="AE20" s="278"/>
      <c r="AF20" s="278"/>
      <c r="AG20" s="299"/>
      <c r="AH20" s="278"/>
      <c r="AI20" s="278"/>
      <c r="AJ20" s="278"/>
      <c r="AK20" s="278"/>
      <c r="AL20" s="278"/>
    </row>
    <row r="21" spans="1:49" x14ac:dyDescent="0.3">
      <c r="A21" s="269" t="s">
        <v>546</v>
      </c>
      <c r="D21" s="299"/>
      <c r="E21" s="275"/>
      <c r="F21" s="274"/>
      <c r="G21" s="275"/>
      <c r="H21" s="328"/>
      <c r="I21" s="299"/>
      <c r="J21" s="299"/>
      <c r="K21" s="299"/>
      <c r="L21" s="299"/>
      <c r="M21" s="299"/>
      <c r="N21" s="299"/>
      <c r="O21" s="299"/>
      <c r="P21" s="299"/>
      <c r="Q21" s="329"/>
      <c r="R21" s="329"/>
      <c r="S21" s="329"/>
      <c r="T21" s="329"/>
      <c r="U21" s="329"/>
      <c r="V21" s="329"/>
      <c r="W21" s="329"/>
      <c r="X21" s="329"/>
      <c r="Y21" s="329"/>
      <c r="Z21" s="329"/>
      <c r="AA21" s="329"/>
      <c r="AB21" s="329"/>
      <c r="AC21" s="329"/>
      <c r="AD21" s="329"/>
      <c r="AE21" s="329"/>
      <c r="AF21" s="329"/>
      <c r="AG21" s="299"/>
      <c r="AH21" s="329"/>
      <c r="AI21" s="329"/>
      <c r="AJ21" s="329"/>
      <c r="AK21" s="329"/>
      <c r="AL21" s="329"/>
      <c r="AM21" s="324"/>
      <c r="AN21" s="324"/>
      <c r="AO21" s="324"/>
      <c r="AP21" s="324"/>
      <c r="AQ21" s="324"/>
      <c r="AR21" s="324"/>
      <c r="AS21" s="324"/>
      <c r="AT21" s="324"/>
      <c r="AU21" s="324"/>
      <c r="AV21" s="324"/>
    </row>
    <row r="22" spans="1:49" x14ac:dyDescent="0.3">
      <c r="D22" s="299"/>
      <c r="E22" s="275"/>
      <c r="F22" s="274"/>
      <c r="G22" s="275"/>
      <c r="H22" s="331"/>
      <c r="I22" s="299"/>
      <c r="J22" s="299"/>
      <c r="K22" s="299"/>
      <c r="L22" s="299"/>
      <c r="M22" s="299"/>
      <c r="N22" s="299"/>
      <c r="O22" s="299"/>
      <c r="P22" s="299"/>
      <c r="Q22" s="332"/>
      <c r="R22" s="332"/>
      <c r="S22" s="332"/>
      <c r="T22" s="332"/>
      <c r="U22" s="332"/>
      <c r="V22" s="332"/>
      <c r="W22" s="332"/>
      <c r="X22" s="332"/>
      <c r="Y22" s="332"/>
      <c r="Z22" s="332"/>
      <c r="AA22" s="332"/>
      <c r="AB22" s="332"/>
      <c r="AC22" s="332"/>
      <c r="AD22" s="332"/>
      <c r="AE22" s="332"/>
      <c r="AF22" s="332"/>
      <c r="AG22" s="299"/>
      <c r="AH22" s="332"/>
      <c r="AI22" s="332"/>
      <c r="AJ22" s="332"/>
      <c r="AK22" s="332"/>
      <c r="AL22" s="332"/>
      <c r="AM22" s="326"/>
      <c r="AN22" s="326"/>
      <c r="AO22" s="326"/>
      <c r="AP22" s="326"/>
      <c r="AQ22" s="326"/>
      <c r="AR22" s="326"/>
      <c r="AS22" s="326"/>
      <c r="AT22" s="326"/>
      <c r="AU22" s="326"/>
      <c r="AV22" s="326"/>
    </row>
    <row r="23" spans="1:49" x14ac:dyDescent="0.3">
      <c r="E23" s="275"/>
      <c r="F23" s="274"/>
      <c r="G23" s="275"/>
      <c r="H23" s="325"/>
      <c r="Q23" s="326"/>
      <c r="R23" s="326"/>
      <c r="S23" s="326"/>
      <c r="T23" s="326"/>
      <c r="U23" s="326"/>
      <c r="V23" s="326"/>
      <c r="W23" s="326"/>
      <c r="X23" s="326"/>
      <c r="Y23" s="326"/>
      <c r="Z23" s="326"/>
      <c r="AA23" s="326"/>
      <c r="AB23" s="326"/>
      <c r="AC23" s="326"/>
      <c r="AD23" s="326"/>
      <c r="AE23" s="326"/>
      <c r="AF23" s="326"/>
      <c r="AH23" s="326"/>
      <c r="AI23" s="326"/>
      <c r="AJ23" s="326"/>
      <c r="AK23" s="326"/>
      <c r="AL23" s="326"/>
      <c r="AM23" s="326"/>
      <c r="AN23" s="326"/>
      <c r="AO23" s="326"/>
      <c r="AP23" s="326"/>
      <c r="AQ23" s="326"/>
      <c r="AR23" s="326"/>
      <c r="AS23" s="326"/>
      <c r="AT23" s="326"/>
      <c r="AU23" s="326"/>
      <c r="AV23" s="326"/>
    </row>
    <row r="24" spans="1:49" x14ac:dyDescent="0.3">
      <c r="E24" s="275"/>
      <c r="F24" s="274"/>
      <c r="G24" s="275"/>
      <c r="H24" s="325"/>
      <c r="Q24" s="326"/>
      <c r="R24" s="326"/>
      <c r="S24" s="326"/>
      <c r="T24" s="326"/>
      <c r="U24" s="326"/>
      <c r="V24" s="326"/>
      <c r="W24" s="326"/>
      <c r="X24" s="326"/>
      <c r="Y24" s="326"/>
      <c r="Z24" s="326"/>
      <c r="AA24" s="326"/>
      <c r="AB24" s="326"/>
      <c r="AC24" s="326"/>
      <c r="AD24" s="326"/>
      <c r="AE24" s="326"/>
      <c r="AF24" s="326"/>
      <c r="AH24" s="326"/>
      <c r="AI24" s="326"/>
      <c r="AJ24" s="326"/>
      <c r="AK24" s="326"/>
      <c r="AL24" s="326"/>
      <c r="AM24" s="326"/>
      <c r="AN24" s="326"/>
      <c r="AO24" s="326"/>
      <c r="AP24" s="326"/>
      <c r="AQ24" s="326"/>
      <c r="AR24" s="326"/>
      <c r="AS24" s="326"/>
      <c r="AT24" s="326"/>
      <c r="AU24" s="326"/>
      <c r="AV24" s="326"/>
    </row>
    <row r="25" spans="1:49" x14ac:dyDescent="0.3">
      <c r="E25" s="275"/>
      <c r="F25" s="274"/>
      <c r="G25" s="275"/>
      <c r="H25" s="325"/>
      <c r="Q25" s="326"/>
      <c r="R25" s="327"/>
      <c r="S25" s="326"/>
      <c r="T25" s="326"/>
      <c r="U25" s="326"/>
      <c r="V25" s="326"/>
      <c r="W25" s="326"/>
      <c r="X25" s="326"/>
      <c r="Y25" s="326"/>
      <c r="Z25" s="326"/>
      <c r="AA25" s="326"/>
      <c r="AB25" s="326"/>
      <c r="AC25" s="326"/>
      <c r="AD25" s="326"/>
      <c r="AE25" s="326"/>
      <c r="AF25" s="326"/>
      <c r="AH25" s="326"/>
      <c r="AI25" s="326"/>
      <c r="AJ25" s="326"/>
      <c r="AK25" s="326"/>
      <c r="AL25" s="326"/>
      <c r="AM25" s="326"/>
      <c r="AN25" s="326"/>
      <c r="AO25" s="326"/>
      <c r="AP25" s="326"/>
      <c r="AQ25" s="326"/>
      <c r="AR25" s="326"/>
      <c r="AS25" s="326"/>
      <c r="AT25" s="326"/>
      <c r="AU25" s="326"/>
      <c r="AV25" s="326"/>
    </row>
    <row r="26" spans="1:49" x14ac:dyDescent="0.3">
      <c r="E26" s="275"/>
      <c r="F26" s="274"/>
      <c r="G26" s="275"/>
      <c r="H26" s="325"/>
      <c r="Q26" s="326"/>
      <c r="R26" s="326"/>
      <c r="S26" s="326"/>
      <c r="T26" s="326"/>
      <c r="U26" s="326"/>
      <c r="V26" s="326"/>
      <c r="W26" s="326"/>
      <c r="X26" s="326"/>
      <c r="Y26" s="326"/>
      <c r="Z26" s="326"/>
      <c r="AA26" s="326"/>
      <c r="AB26" s="326"/>
      <c r="AC26" s="326"/>
      <c r="AD26" s="326"/>
      <c r="AE26" s="326"/>
      <c r="AF26" s="326"/>
      <c r="AH26" s="326"/>
      <c r="AI26" s="326"/>
      <c r="AJ26" s="326"/>
      <c r="AK26" s="326"/>
      <c r="AL26" s="326"/>
      <c r="AM26" s="326"/>
      <c r="AN26" s="326"/>
      <c r="AO26" s="326"/>
      <c r="AP26" s="326"/>
      <c r="AQ26" s="326"/>
      <c r="AR26" s="326"/>
      <c r="AS26" s="326"/>
      <c r="AT26" s="326"/>
      <c r="AU26" s="326"/>
      <c r="AV26" s="326"/>
    </row>
    <row r="27" spans="1:49" x14ac:dyDescent="0.3">
      <c r="E27" s="275"/>
      <c r="F27" s="274"/>
      <c r="G27" s="275"/>
      <c r="H27" s="325"/>
      <c r="Q27" s="326"/>
      <c r="R27" s="326"/>
      <c r="S27" s="326"/>
      <c r="T27" s="326"/>
      <c r="U27" s="326"/>
      <c r="V27" s="326"/>
      <c r="W27" s="326"/>
      <c r="X27" s="326"/>
      <c r="Y27" s="326"/>
      <c r="Z27" s="326"/>
      <c r="AA27" s="326"/>
      <c r="AB27" s="326"/>
      <c r="AC27" s="326"/>
      <c r="AD27" s="326"/>
      <c r="AE27" s="326"/>
      <c r="AF27" s="326"/>
      <c r="AH27" s="326"/>
      <c r="AI27" s="326"/>
      <c r="AJ27" s="326"/>
      <c r="AK27" s="326"/>
      <c r="AL27" s="326"/>
      <c r="AM27" s="326"/>
      <c r="AN27" s="326"/>
      <c r="AO27" s="326"/>
      <c r="AP27" s="326"/>
      <c r="AQ27" s="326"/>
      <c r="AR27" s="326"/>
      <c r="AS27" s="326"/>
      <c r="AT27" s="326"/>
      <c r="AU27" s="326"/>
      <c r="AV27" s="326"/>
    </row>
    <row r="28" spans="1:49" x14ac:dyDescent="0.3">
      <c r="E28" s="275"/>
      <c r="F28" s="274"/>
      <c r="G28" s="275"/>
      <c r="H28" s="325"/>
      <c r="Q28" s="326"/>
      <c r="R28" s="326"/>
      <c r="S28" s="326"/>
      <c r="T28" s="326"/>
      <c r="U28" s="326"/>
      <c r="V28" s="326"/>
      <c r="W28" s="326"/>
      <c r="X28" s="326"/>
      <c r="Y28" s="326"/>
      <c r="Z28" s="326"/>
      <c r="AA28" s="326"/>
      <c r="AB28" s="326"/>
      <c r="AC28" s="326"/>
      <c r="AD28" s="326"/>
      <c r="AE28" s="326"/>
      <c r="AF28" s="326"/>
      <c r="AH28" s="326"/>
      <c r="AI28" s="326"/>
      <c r="AJ28" s="326"/>
      <c r="AK28" s="326"/>
      <c r="AL28" s="326"/>
      <c r="AM28" s="326"/>
      <c r="AN28" s="326"/>
      <c r="AO28" s="326"/>
      <c r="AP28" s="326"/>
      <c r="AQ28" s="326"/>
      <c r="AR28" s="326"/>
      <c r="AS28" s="326"/>
      <c r="AT28" s="326"/>
      <c r="AU28" s="326"/>
      <c r="AV28" s="326"/>
    </row>
    <row r="29" spans="1:49" x14ac:dyDescent="0.3">
      <c r="H29" s="325"/>
      <c r="Q29" s="326"/>
      <c r="R29" s="326"/>
      <c r="S29" s="326"/>
      <c r="T29" s="326"/>
      <c r="U29" s="326"/>
      <c r="V29" s="326"/>
      <c r="W29" s="326"/>
      <c r="X29" s="326"/>
      <c r="Y29" s="326"/>
      <c r="Z29" s="326"/>
      <c r="AA29" s="326"/>
      <c r="AB29" s="326"/>
      <c r="AC29" s="326"/>
      <c r="AD29" s="326"/>
      <c r="AE29" s="326"/>
      <c r="AF29" s="326"/>
      <c r="AH29" s="326"/>
      <c r="AI29" s="326"/>
      <c r="AJ29" s="326"/>
      <c r="AK29" s="326"/>
      <c r="AL29" s="326"/>
      <c r="AM29" s="326"/>
      <c r="AN29" s="326"/>
      <c r="AO29" s="326"/>
      <c r="AP29" s="326"/>
      <c r="AQ29" s="326"/>
      <c r="AR29" s="326"/>
      <c r="AS29" s="326"/>
      <c r="AT29" s="326"/>
      <c r="AU29" s="326"/>
      <c r="AV29" s="326"/>
    </row>
    <row r="30" spans="1:49" x14ac:dyDescent="0.3">
      <c r="H30" s="325"/>
      <c r="Q30" s="326"/>
      <c r="R30" s="326"/>
      <c r="S30" s="326"/>
      <c r="T30" s="326"/>
      <c r="U30" s="326"/>
      <c r="V30" s="326"/>
      <c r="W30" s="326"/>
      <c r="X30" s="326"/>
      <c r="Y30" s="326"/>
      <c r="Z30" s="326"/>
      <c r="AA30" s="326"/>
      <c r="AB30" s="326"/>
      <c r="AC30" s="326"/>
      <c r="AD30" s="326"/>
      <c r="AE30" s="326"/>
      <c r="AF30" s="326"/>
      <c r="AH30" s="326"/>
      <c r="AI30" s="326"/>
      <c r="AJ30" s="326"/>
      <c r="AK30" s="326"/>
      <c r="AL30" s="326"/>
      <c r="AM30" s="326"/>
      <c r="AN30" s="326"/>
      <c r="AO30" s="326"/>
      <c r="AP30" s="326"/>
      <c r="AQ30" s="326"/>
      <c r="AR30" s="326"/>
      <c r="AS30" s="326"/>
      <c r="AT30" s="326"/>
      <c r="AU30" s="326"/>
      <c r="AV30" s="326"/>
    </row>
    <row r="31" spans="1:49" x14ac:dyDescent="0.3">
      <c r="H31" s="325"/>
      <c r="Q31" s="326"/>
      <c r="R31" s="326"/>
      <c r="S31" s="326"/>
      <c r="T31" s="326"/>
      <c r="U31" s="326"/>
      <c r="V31" s="326"/>
      <c r="W31" s="326"/>
      <c r="X31" s="326"/>
      <c r="Y31" s="326"/>
      <c r="Z31" s="326"/>
      <c r="AA31" s="326"/>
      <c r="AB31" s="326"/>
      <c r="AC31" s="326"/>
      <c r="AD31" s="326"/>
      <c r="AE31" s="326"/>
      <c r="AF31" s="326"/>
      <c r="AH31" s="326"/>
      <c r="AI31" s="326"/>
      <c r="AJ31" s="326"/>
      <c r="AK31" s="326"/>
      <c r="AL31" s="326"/>
      <c r="AM31" s="326"/>
      <c r="AN31" s="326"/>
      <c r="AO31" s="326"/>
      <c r="AP31" s="326"/>
      <c r="AQ31" s="326"/>
      <c r="AR31" s="326"/>
      <c r="AS31" s="326"/>
      <c r="AT31" s="326"/>
      <c r="AU31" s="326"/>
      <c r="AV31" s="326"/>
    </row>
    <row r="32" spans="1:49" x14ac:dyDescent="0.3">
      <c r="H32" s="325"/>
      <c r="Q32" s="326"/>
      <c r="R32" s="326"/>
      <c r="S32" s="326"/>
      <c r="T32" s="326"/>
      <c r="U32" s="326"/>
      <c r="V32" s="326"/>
      <c r="W32" s="326"/>
      <c r="X32" s="326"/>
      <c r="Y32" s="326"/>
      <c r="Z32" s="326"/>
      <c r="AA32" s="326"/>
      <c r="AB32" s="326"/>
      <c r="AC32" s="326"/>
      <c r="AD32" s="326"/>
      <c r="AE32" s="326"/>
      <c r="AF32" s="326"/>
      <c r="AH32" s="326"/>
      <c r="AI32" s="326"/>
      <c r="AJ32" s="326"/>
      <c r="AK32" s="326"/>
      <c r="AL32" s="326"/>
      <c r="AM32" s="326"/>
      <c r="AN32" s="326"/>
      <c r="AO32" s="326"/>
      <c r="AP32" s="326"/>
      <c r="AQ32" s="326"/>
      <c r="AR32" s="326"/>
      <c r="AS32" s="326"/>
      <c r="AT32" s="326"/>
      <c r="AU32" s="326"/>
      <c r="AV32" s="326"/>
    </row>
    <row r="33" spans="8:48" x14ac:dyDescent="0.3">
      <c r="H33" s="325"/>
      <c r="Q33" s="326"/>
      <c r="R33" s="326"/>
      <c r="S33" s="326"/>
      <c r="T33" s="326"/>
      <c r="U33" s="326"/>
      <c r="V33" s="326"/>
      <c r="W33" s="326"/>
      <c r="X33" s="326"/>
      <c r="Y33" s="326"/>
      <c r="Z33" s="326"/>
      <c r="AA33" s="326"/>
      <c r="AB33" s="326"/>
      <c r="AC33" s="326"/>
      <c r="AD33" s="326"/>
      <c r="AE33" s="326"/>
      <c r="AF33" s="326"/>
      <c r="AH33" s="326"/>
      <c r="AI33" s="326"/>
      <c r="AJ33" s="326"/>
      <c r="AK33" s="326"/>
      <c r="AL33" s="326"/>
      <c r="AM33" s="326"/>
      <c r="AN33" s="326"/>
      <c r="AO33" s="326"/>
      <c r="AP33" s="326"/>
      <c r="AQ33" s="326"/>
      <c r="AR33" s="326"/>
      <c r="AS33" s="326"/>
      <c r="AT33" s="326"/>
      <c r="AU33" s="326"/>
      <c r="AV33" s="326"/>
    </row>
    <row r="34" spans="8:48" x14ac:dyDescent="0.3">
      <c r="H34" s="325"/>
      <c r="Q34" s="326"/>
      <c r="R34" s="326"/>
      <c r="S34" s="326"/>
      <c r="T34" s="326"/>
      <c r="U34" s="326"/>
      <c r="V34" s="326"/>
      <c r="W34" s="326"/>
      <c r="X34" s="326"/>
      <c r="Y34" s="326"/>
      <c r="Z34" s="326"/>
      <c r="AA34" s="326"/>
      <c r="AB34" s="326"/>
      <c r="AC34" s="326"/>
      <c r="AD34" s="326"/>
      <c r="AE34" s="326"/>
      <c r="AF34" s="326"/>
      <c r="AH34" s="326"/>
      <c r="AI34" s="326"/>
      <c r="AJ34" s="326"/>
      <c r="AK34" s="326"/>
      <c r="AL34" s="326"/>
      <c r="AM34" s="326"/>
      <c r="AN34" s="326"/>
      <c r="AO34" s="326"/>
      <c r="AP34" s="326"/>
      <c r="AQ34" s="326"/>
      <c r="AR34" s="326"/>
      <c r="AS34" s="326"/>
      <c r="AT34" s="326"/>
      <c r="AU34" s="326"/>
      <c r="AV34" s="326"/>
    </row>
    <row r="35" spans="8:48" x14ac:dyDescent="0.3">
      <c r="H35" s="325"/>
      <c r="Q35" s="326"/>
      <c r="R35" s="326"/>
      <c r="S35" s="326"/>
      <c r="T35" s="326"/>
      <c r="U35" s="326"/>
      <c r="V35" s="326"/>
      <c r="W35" s="326"/>
      <c r="X35" s="326"/>
      <c r="Y35" s="326"/>
      <c r="Z35" s="326"/>
      <c r="AA35" s="326"/>
      <c r="AB35" s="326"/>
      <c r="AC35" s="326"/>
      <c r="AD35" s="326"/>
      <c r="AE35" s="326"/>
      <c r="AF35" s="326"/>
      <c r="AH35" s="326"/>
      <c r="AI35" s="326"/>
      <c r="AJ35" s="326"/>
      <c r="AK35" s="326"/>
      <c r="AL35" s="326"/>
      <c r="AM35" s="326"/>
      <c r="AN35" s="326"/>
      <c r="AO35" s="326"/>
      <c r="AP35" s="326"/>
      <c r="AQ35" s="326"/>
      <c r="AR35" s="326"/>
      <c r="AS35" s="326"/>
      <c r="AT35" s="326"/>
      <c r="AU35" s="326"/>
      <c r="AV35" s="326"/>
    </row>
    <row r="36" spans="8:48" x14ac:dyDescent="0.3">
      <c r="H36" s="325"/>
      <c r="Q36" s="326"/>
      <c r="R36" s="326"/>
      <c r="S36" s="326"/>
      <c r="T36" s="326"/>
      <c r="U36" s="326"/>
      <c r="V36" s="326"/>
      <c r="W36" s="326"/>
      <c r="X36" s="326"/>
      <c r="Y36" s="326"/>
      <c r="Z36" s="326"/>
      <c r="AA36" s="326"/>
      <c r="AB36" s="326"/>
      <c r="AC36" s="326"/>
      <c r="AD36" s="326"/>
      <c r="AE36" s="326"/>
      <c r="AF36" s="326"/>
      <c r="AH36" s="326"/>
      <c r="AI36" s="326"/>
      <c r="AJ36" s="326"/>
      <c r="AK36" s="326"/>
      <c r="AL36" s="326"/>
      <c r="AM36" s="326"/>
      <c r="AN36" s="326"/>
      <c r="AO36" s="326"/>
      <c r="AP36" s="326"/>
      <c r="AQ36" s="326"/>
      <c r="AR36" s="326"/>
      <c r="AS36" s="326"/>
      <c r="AT36" s="326"/>
      <c r="AU36" s="326"/>
      <c r="AV36" s="326"/>
    </row>
    <row r="37" spans="8:48" x14ac:dyDescent="0.3">
      <c r="H37" s="325"/>
      <c r="Q37" s="326"/>
      <c r="R37" s="326"/>
      <c r="S37" s="326"/>
      <c r="T37" s="326"/>
      <c r="U37" s="326"/>
      <c r="V37" s="326"/>
      <c r="W37" s="326"/>
      <c r="X37" s="326"/>
      <c r="Y37" s="326"/>
      <c r="Z37" s="326"/>
      <c r="AA37" s="326"/>
      <c r="AB37" s="326"/>
      <c r="AC37" s="326"/>
      <c r="AD37" s="326"/>
      <c r="AE37" s="326"/>
      <c r="AF37" s="326"/>
      <c r="AH37" s="326"/>
      <c r="AI37" s="326"/>
      <c r="AJ37" s="326"/>
      <c r="AK37" s="326"/>
      <c r="AL37" s="326"/>
      <c r="AM37" s="326"/>
      <c r="AN37" s="326"/>
      <c r="AO37" s="326"/>
      <c r="AP37" s="326"/>
      <c r="AQ37" s="326"/>
      <c r="AR37" s="326"/>
      <c r="AS37" s="326"/>
      <c r="AT37" s="326"/>
      <c r="AU37" s="326"/>
      <c r="AV37" s="326"/>
    </row>
    <row r="38" spans="8:48" x14ac:dyDescent="0.3">
      <c r="H38" s="325"/>
      <c r="Q38" s="326"/>
      <c r="R38" s="326"/>
      <c r="S38" s="326"/>
      <c r="T38" s="326"/>
      <c r="U38" s="326"/>
      <c r="V38" s="326"/>
      <c r="W38" s="326"/>
      <c r="X38" s="326"/>
      <c r="Y38" s="326"/>
      <c r="Z38" s="326"/>
      <c r="AA38" s="326"/>
      <c r="AB38" s="326"/>
      <c r="AC38" s="326"/>
      <c r="AD38" s="326"/>
      <c r="AE38" s="326"/>
      <c r="AF38" s="326"/>
      <c r="AH38" s="326"/>
      <c r="AI38" s="326"/>
      <c r="AJ38" s="326"/>
      <c r="AK38" s="326"/>
      <c r="AL38" s="326"/>
      <c r="AM38" s="326"/>
      <c r="AN38" s="326"/>
      <c r="AO38" s="326"/>
      <c r="AP38" s="326"/>
      <c r="AQ38" s="326"/>
      <c r="AR38" s="326"/>
      <c r="AS38" s="326"/>
      <c r="AT38" s="326"/>
      <c r="AU38" s="326"/>
      <c r="AV38" s="326"/>
    </row>
    <row r="39" spans="8:48" x14ac:dyDescent="0.3">
      <c r="H39" s="325"/>
      <c r="Q39" s="326"/>
      <c r="R39" s="326"/>
      <c r="S39" s="326"/>
      <c r="T39" s="326"/>
      <c r="U39" s="326"/>
      <c r="V39" s="326"/>
      <c r="W39" s="326"/>
      <c r="X39" s="326"/>
      <c r="Y39" s="326"/>
      <c r="Z39" s="326"/>
      <c r="AA39" s="326"/>
      <c r="AB39" s="326"/>
      <c r="AC39" s="326"/>
      <c r="AD39" s="326"/>
      <c r="AE39" s="326"/>
      <c r="AF39" s="326"/>
      <c r="AH39" s="326"/>
      <c r="AI39" s="326"/>
      <c r="AJ39" s="326"/>
      <c r="AK39" s="326"/>
      <c r="AL39" s="326"/>
      <c r="AM39" s="326"/>
      <c r="AN39" s="326"/>
      <c r="AO39" s="326"/>
      <c r="AP39" s="326"/>
      <c r="AQ39" s="326"/>
      <c r="AR39" s="326"/>
      <c r="AS39" s="326"/>
      <c r="AT39" s="326"/>
      <c r="AU39" s="326"/>
      <c r="AV39" s="326"/>
    </row>
    <row r="40" spans="8:48" x14ac:dyDescent="0.3">
      <c r="H40" s="325"/>
      <c r="Q40" s="326"/>
      <c r="R40" s="326"/>
      <c r="S40" s="326"/>
      <c r="T40" s="326"/>
      <c r="U40" s="326"/>
      <c r="V40" s="326"/>
      <c r="W40" s="326"/>
      <c r="X40" s="326"/>
      <c r="Y40" s="326"/>
      <c r="Z40" s="326"/>
      <c r="AA40" s="326"/>
      <c r="AB40" s="326"/>
      <c r="AC40" s="326"/>
      <c r="AD40" s="326"/>
      <c r="AE40" s="326"/>
      <c r="AF40" s="326"/>
      <c r="AH40" s="326"/>
      <c r="AI40" s="326"/>
      <c r="AJ40" s="326"/>
      <c r="AK40" s="326"/>
      <c r="AL40" s="326"/>
      <c r="AM40" s="326"/>
      <c r="AN40" s="326"/>
      <c r="AO40" s="326"/>
      <c r="AP40" s="326"/>
      <c r="AQ40" s="326"/>
      <c r="AR40" s="326"/>
      <c r="AS40" s="326"/>
      <c r="AT40" s="326"/>
      <c r="AU40" s="326"/>
      <c r="AV40" s="326"/>
    </row>
    <row r="41" spans="8:48" x14ac:dyDescent="0.3">
      <c r="H41" s="325"/>
      <c r="Q41" s="326"/>
      <c r="R41" s="326"/>
      <c r="S41" s="326"/>
      <c r="T41" s="326"/>
      <c r="U41" s="326"/>
      <c r="V41" s="326"/>
      <c r="W41" s="326"/>
      <c r="X41" s="326"/>
      <c r="Y41" s="326"/>
      <c r="Z41" s="326"/>
      <c r="AA41" s="326"/>
      <c r="AB41" s="326"/>
      <c r="AC41" s="326"/>
      <c r="AD41" s="326"/>
      <c r="AE41" s="326"/>
      <c r="AF41" s="326"/>
      <c r="AH41" s="326"/>
      <c r="AI41" s="326"/>
      <c r="AJ41" s="326"/>
      <c r="AK41" s="326"/>
      <c r="AL41" s="326"/>
      <c r="AM41" s="326"/>
      <c r="AN41" s="326"/>
      <c r="AO41" s="326"/>
      <c r="AP41" s="326"/>
      <c r="AQ41" s="326"/>
      <c r="AR41" s="326"/>
      <c r="AS41" s="326"/>
      <c r="AT41" s="326"/>
      <c r="AU41" s="326"/>
      <c r="AV41" s="326"/>
    </row>
    <row r="42" spans="8:48" x14ac:dyDescent="0.3">
      <c r="H42" s="325"/>
      <c r="Q42" s="326"/>
      <c r="R42" s="326"/>
      <c r="S42" s="326"/>
      <c r="T42" s="326"/>
      <c r="U42" s="326"/>
      <c r="V42" s="326"/>
      <c r="W42" s="326"/>
      <c r="X42" s="326"/>
      <c r="Y42" s="326"/>
      <c r="Z42" s="326"/>
      <c r="AA42" s="326"/>
      <c r="AB42" s="326"/>
      <c r="AC42" s="326"/>
      <c r="AD42" s="326"/>
      <c r="AE42" s="326"/>
      <c r="AF42" s="326"/>
      <c r="AH42" s="326"/>
      <c r="AI42" s="326"/>
      <c r="AJ42" s="326"/>
      <c r="AK42" s="326"/>
      <c r="AL42" s="326"/>
      <c r="AM42" s="326"/>
      <c r="AN42" s="326"/>
      <c r="AO42" s="326"/>
      <c r="AP42" s="326"/>
      <c r="AQ42" s="326"/>
      <c r="AR42" s="326"/>
      <c r="AS42" s="326"/>
      <c r="AT42" s="326"/>
      <c r="AU42" s="326"/>
      <c r="AV42" s="326"/>
    </row>
    <row r="43" spans="8:48" x14ac:dyDescent="0.3">
      <c r="H43" s="325"/>
      <c r="Q43" s="326"/>
      <c r="R43" s="326"/>
      <c r="S43" s="326"/>
      <c r="T43" s="326"/>
      <c r="U43" s="326"/>
      <c r="V43" s="326"/>
      <c r="W43" s="326"/>
      <c r="X43" s="326"/>
      <c r="Y43" s="326"/>
      <c r="Z43" s="326"/>
      <c r="AA43" s="326"/>
      <c r="AB43" s="326"/>
      <c r="AC43" s="326"/>
      <c r="AD43" s="326"/>
      <c r="AE43" s="326"/>
      <c r="AF43" s="326"/>
      <c r="AH43" s="326"/>
      <c r="AI43" s="326"/>
      <c r="AJ43" s="326"/>
      <c r="AK43" s="326"/>
      <c r="AL43" s="326"/>
      <c r="AM43" s="326"/>
      <c r="AN43" s="326"/>
      <c r="AO43" s="326"/>
      <c r="AP43" s="326"/>
      <c r="AQ43" s="326"/>
      <c r="AR43" s="326"/>
      <c r="AS43" s="326"/>
      <c r="AT43" s="326"/>
      <c r="AU43" s="326"/>
      <c r="AV43" s="326"/>
    </row>
    <row r="44" spans="8:48" x14ac:dyDescent="0.3">
      <c r="H44" s="325"/>
    </row>
    <row r="45" spans="8:48" x14ac:dyDescent="0.3">
      <c r="H45" s="325"/>
    </row>
    <row r="46" spans="8:48" x14ac:dyDescent="0.3">
      <c r="H46" s="325"/>
    </row>
    <row r="47" spans="8:48" x14ac:dyDescent="0.3">
      <c r="H47" s="325"/>
    </row>
    <row r="48" spans="8:48" x14ac:dyDescent="0.3">
      <c r="H48" s="325"/>
    </row>
    <row r="49" spans="8:8" x14ac:dyDescent="0.3">
      <c r="H49" s="325"/>
    </row>
  </sheetData>
  <mergeCells count="15">
    <mergeCell ref="AH1:AW1"/>
    <mergeCell ref="AH2:AK2"/>
    <mergeCell ref="AL2:AO2"/>
    <mergeCell ref="AP2:AS2"/>
    <mergeCell ref="AT2:AW2"/>
    <mergeCell ref="M2:P2"/>
    <mergeCell ref="E1:H2"/>
    <mergeCell ref="B1:D2"/>
    <mergeCell ref="I1:P1"/>
    <mergeCell ref="I2:L2"/>
    <mergeCell ref="Y2:AB2"/>
    <mergeCell ref="AC2:AF2"/>
    <mergeCell ref="Q1:T1"/>
    <mergeCell ref="Q2:T2"/>
    <mergeCell ref="U2:X2"/>
  </mergeCells>
  <phoneticPr fontId="5" type="noConversion"/>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11260-5145-46DC-94C1-193D1B26FD00}">
  <sheetPr>
    <tabColor theme="4" tint="0.39997558519241921"/>
  </sheetPr>
  <dimension ref="A1:AM38"/>
  <sheetViews>
    <sheetView zoomScaleNormal="100" workbookViewId="0">
      <pane xSplit="1" ySplit="2" topLeftCell="Q3" activePane="bottomRight" state="frozen"/>
      <selection pane="topRight" activeCell="D1" sqref="D1"/>
      <selection pane="bottomLeft" activeCell="A7" sqref="A7"/>
      <selection pane="bottomRight" activeCell="R3" sqref="R3:S7"/>
    </sheetView>
  </sheetViews>
  <sheetFormatPr defaultColWidth="9" defaultRowHeight="16.5" x14ac:dyDescent="0.3"/>
  <cols>
    <col min="1" max="1" width="21.140625" style="381" customWidth="1"/>
    <col min="2" max="2" width="8.140625" style="269" customWidth="1"/>
    <col min="3" max="5" width="6.140625" style="269" customWidth="1"/>
    <col min="6" max="6" width="7.85546875" style="269" customWidth="1"/>
    <col min="7" max="7" width="9.85546875" style="269" customWidth="1"/>
    <col min="8" max="8" width="6.42578125" style="269" customWidth="1"/>
    <col min="9" max="9" width="9.85546875" style="269" customWidth="1"/>
    <col min="10" max="11" width="11" style="269" customWidth="1"/>
    <col min="12" max="12" width="10.5703125" style="317" customWidth="1"/>
    <col min="13" max="16" width="10" style="269" customWidth="1"/>
    <col min="17" max="17" width="10.5703125" style="317" customWidth="1"/>
    <col min="18" max="18" width="9.42578125" style="310" customWidth="1"/>
    <col min="19" max="19" width="8.85546875" style="317" customWidth="1"/>
    <col min="20" max="20" width="7.85546875" style="317" customWidth="1"/>
    <col min="21" max="25" width="7.85546875" style="317" hidden="1" customWidth="1"/>
    <col min="26" max="30" width="7.85546875" style="317" customWidth="1"/>
    <col min="31" max="31" width="10.42578125" style="310" customWidth="1"/>
    <col min="32" max="38" width="8.5703125" style="310" customWidth="1"/>
    <col min="39" max="16384" width="9" style="269"/>
  </cols>
  <sheetData>
    <row r="1" spans="1:38" s="406" customFormat="1" ht="67.150000000000006" customHeight="1" x14ac:dyDescent="0.3">
      <c r="A1" s="637"/>
      <c r="B1" s="851" t="s">
        <v>547</v>
      </c>
      <c r="C1" s="852"/>
      <c r="D1" s="852"/>
      <c r="E1" s="852"/>
      <c r="F1" s="852"/>
      <c r="G1" s="853"/>
      <c r="H1" s="741"/>
      <c r="I1" s="741"/>
      <c r="J1" s="741"/>
      <c r="K1" s="741"/>
      <c r="L1" s="854"/>
      <c r="M1" s="854"/>
      <c r="N1" s="854"/>
      <c r="O1" s="854"/>
      <c r="P1" s="854"/>
      <c r="Q1" s="854"/>
      <c r="R1" s="854"/>
      <c r="S1" s="855"/>
      <c r="T1" s="844" t="s">
        <v>548</v>
      </c>
      <c r="U1" s="856" t="s">
        <v>549</v>
      </c>
      <c r="V1" s="856"/>
      <c r="W1" s="856"/>
      <c r="X1" s="856"/>
      <c r="Y1" s="844" t="s">
        <v>550</v>
      </c>
      <c r="Z1" s="844" t="s">
        <v>551</v>
      </c>
      <c r="AA1" s="857" t="s">
        <v>552</v>
      </c>
      <c r="AB1" s="858"/>
      <c r="AC1" s="857" t="s">
        <v>553</v>
      </c>
      <c r="AD1" s="858"/>
      <c r="AE1" s="841" t="s">
        <v>554</v>
      </c>
      <c r="AF1" s="842"/>
      <c r="AG1" s="842"/>
      <c r="AH1" s="843"/>
      <c r="AI1" s="841" t="s">
        <v>499</v>
      </c>
      <c r="AJ1" s="842"/>
      <c r="AK1" s="842"/>
      <c r="AL1" s="843"/>
    </row>
    <row r="2" spans="1:38" s="350" customFormat="1" ht="73.349999999999994" customHeight="1" x14ac:dyDescent="0.3">
      <c r="A2" s="638" t="s">
        <v>555</v>
      </c>
      <c r="B2" s="729" t="s">
        <v>556</v>
      </c>
      <c r="C2" s="730" t="s">
        <v>557</v>
      </c>
      <c r="D2" s="730" t="s">
        <v>558</v>
      </c>
      <c r="E2" s="730" t="s">
        <v>559</v>
      </c>
      <c r="F2" s="731" t="s">
        <v>560</v>
      </c>
      <c r="G2" s="732" t="s">
        <v>561</v>
      </c>
      <c r="H2" s="731" t="s">
        <v>562</v>
      </c>
      <c r="I2" s="731" t="s">
        <v>563</v>
      </c>
      <c r="J2" s="731" t="s">
        <v>564</v>
      </c>
      <c r="K2" s="731" t="s">
        <v>565</v>
      </c>
      <c r="L2" s="733" t="s">
        <v>566</v>
      </c>
      <c r="M2" s="734" t="s">
        <v>567</v>
      </c>
      <c r="N2" s="733" t="s">
        <v>568</v>
      </c>
      <c r="O2" s="733" t="s">
        <v>569</v>
      </c>
      <c r="P2" s="734" t="s">
        <v>570</v>
      </c>
      <c r="Q2" s="733" t="s">
        <v>571</v>
      </c>
      <c r="R2" s="641" t="s">
        <v>572</v>
      </c>
      <c r="S2" s="640" t="s">
        <v>573</v>
      </c>
      <c r="T2" s="844"/>
      <c r="U2" s="639" t="s">
        <v>574</v>
      </c>
      <c r="V2" s="641" t="s">
        <v>575</v>
      </c>
      <c r="W2" s="640" t="s">
        <v>576</v>
      </c>
      <c r="X2" s="640" t="s">
        <v>577</v>
      </c>
      <c r="Y2" s="844"/>
      <c r="Z2" s="844"/>
      <c r="AA2" s="642" t="s">
        <v>578</v>
      </c>
      <c r="AB2" s="642" t="s">
        <v>579</v>
      </c>
      <c r="AC2" s="642" t="s">
        <v>580</v>
      </c>
      <c r="AD2" s="642" t="s">
        <v>579</v>
      </c>
      <c r="AE2" s="643" t="s">
        <v>501</v>
      </c>
      <c r="AF2" s="643" t="s">
        <v>502</v>
      </c>
      <c r="AG2" s="643" t="s">
        <v>503</v>
      </c>
      <c r="AH2" s="643" t="s">
        <v>504</v>
      </c>
      <c r="AI2" s="643" t="s">
        <v>505</v>
      </c>
      <c r="AJ2" s="643" t="s">
        <v>506</v>
      </c>
      <c r="AK2" s="643" t="s">
        <v>507</v>
      </c>
      <c r="AL2" s="643" t="s">
        <v>508</v>
      </c>
    </row>
    <row r="3" spans="1:38" x14ac:dyDescent="0.3">
      <c r="A3" s="379" t="s">
        <v>581</v>
      </c>
      <c r="B3" s="354">
        <v>10</v>
      </c>
      <c r="C3" s="355">
        <v>14</v>
      </c>
      <c r="D3" s="355">
        <v>164</v>
      </c>
      <c r="E3" s="355">
        <v>4</v>
      </c>
      <c r="F3" s="664">
        <f>+D3*E3</f>
        <v>656</v>
      </c>
      <c r="G3" s="356">
        <f>(60/B3)*C3*F3</f>
        <v>55104</v>
      </c>
      <c r="H3" s="646">
        <f>10.86+8.6</f>
        <v>19.46</v>
      </c>
      <c r="I3" s="372">
        <f>+G3*H3</f>
        <v>1072323.8400000001</v>
      </c>
      <c r="J3" s="735">
        <f>2145+1895</f>
        <v>4040</v>
      </c>
      <c r="K3" s="736">
        <f>228+1895</f>
        <v>2123</v>
      </c>
      <c r="L3" s="301">
        <f>+J3*1000000/I3</f>
        <v>3767.5185884144848</v>
      </c>
      <c r="M3" s="301">
        <f>+K3*1000000/I3</f>
        <v>1979.8123671296908</v>
      </c>
      <c r="N3" s="358">
        <v>0.2</v>
      </c>
      <c r="O3" s="301">
        <f>+M3*N3</f>
        <v>395.96247342593819</v>
      </c>
      <c r="P3" s="358">
        <v>0.26</v>
      </c>
      <c r="Q3" s="301">
        <f>+O3*P3</f>
        <v>102.95024309074392</v>
      </c>
      <c r="R3" s="859"/>
      <c r="S3" s="859"/>
      <c r="T3" s="275">
        <f>+L3-S3</f>
        <v>3767.5185884144848</v>
      </c>
      <c r="U3" s="273"/>
      <c r="V3" s="274"/>
      <c r="W3" s="275"/>
      <c r="X3" s="276"/>
      <c r="Y3" s="338"/>
      <c r="Z3" s="338">
        <f>+T3+Y3</f>
        <v>3767.5185884144848</v>
      </c>
      <c r="AA3" s="359"/>
      <c r="AB3" s="359"/>
      <c r="AC3" s="359"/>
      <c r="AD3" s="359"/>
      <c r="AE3" s="360"/>
      <c r="AF3" s="360"/>
      <c r="AG3" s="360"/>
      <c r="AH3" s="360"/>
      <c r="AI3" s="360"/>
      <c r="AJ3" s="360"/>
      <c r="AK3" s="360"/>
      <c r="AL3" s="361"/>
    </row>
    <row r="4" spans="1:38" ht="15" customHeight="1" x14ac:dyDescent="0.3">
      <c r="A4" s="379" t="s">
        <v>582</v>
      </c>
      <c r="B4" s="354">
        <v>10</v>
      </c>
      <c r="C4" s="355">
        <v>14</v>
      </c>
      <c r="D4" s="355">
        <v>164</v>
      </c>
      <c r="E4" s="355">
        <v>2</v>
      </c>
      <c r="F4" s="664">
        <f>+D4*E4</f>
        <v>328</v>
      </c>
      <c r="G4" s="356">
        <f>(60/B4)*C4*F4</f>
        <v>27552</v>
      </c>
      <c r="H4" s="646">
        <v>11.24</v>
      </c>
      <c r="I4" s="372">
        <f t="shared" ref="I4:I6" si="0">+G4*H4</f>
        <v>309684.47999999998</v>
      </c>
      <c r="J4" s="735">
        <v>897</v>
      </c>
      <c r="K4" s="736">
        <v>54</v>
      </c>
      <c r="L4" s="301">
        <f t="shared" ref="L4:L5" si="1">+J4*1000000/I4</f>
        <v>2896.4964598807151</v>
      </c>
      <c r="M4" s="301">
        <f t="shared" ref="M4:M5" si="2">+K4*1000000/I4</f>
        <v>174.37102434064505</v>
      </c>
      <c r="N4" s="358">
        <v>0.2</v>
      </c>
      <c r="O4" s="301">
        <f t="shared" ref="O4:O7" si="3">+M4*N4</f>
        <v>34.874204868129013</v>
      </c>
      <c r="P4" s="358">
        <v>0.13</v>
      </c>
      <c r="Q4" s="301">
        <f t="shared" ref="Q4:Q7" si="4">+O4*P4</f>
        <v>4.5336466328567715</v>
      </c>
      <c r="R4" s="860"/>
      <c r="S4" s="860"/>
      <c r="T4" s="275">
        <f>+L4-S4</f>
        <v>2896.4964598807151</v>
      </c>
      <c r="U4" s="273"/>
      <c r="V4" s="274"/>
      <c r="W4" s="275"/>
      <c r="X4" s="276"/>
      <c r="Y4" s="338"/>
      <c r="Z4" s="338">
        <f>+T4+Y4</f>
        <v>2896.4964598807151</v>
      </c>
      <c r="AA4" s="359"/>
      <c r="AB4" s="359"/>
      <c r="AC4" s="359"/>
      <c r="AD4" s="359"/>
      <c r="AE4" s="360"/>
      <c r="AF4" s="360"/>
      <c r="AG4" s="360"/>
      <c r="AH4" s="360"/>
      <c r="AI4" s="360"/>
      <c r="AJ4" s="360"/>
      <c r="AK4" s="360"/>
      <c r="AL4" s="361"/>
    </row>
    <row r="5" spans="1:38" ht="15" customHeight="1" x14ac:dyDescent="0.3">
      <c r="A5" s="379" t="s">
        <v>583</v>
      </c>
      <c r="B5" s="354">
        <v>10</v>
      </c>
      <c r="C5" s="355">
        <v>14</v>
      </c>
      <c r="D5" s="355">
        <v>100</v>
      </c>
      <c r="E5" s="355">
        <v>1</v>
      </c>
      <c r="F5" s="664">
        <f>+D5*E5</f>
        <v>100</v>
      </c>
      <c r="G5" s="356">
        <f>(60/B5)*C5*F5</f>
        <v>8400</v>
      </c>
      <c r="H5" s="646">
        <f>19.37+9.87+14</f>
        <v>43.24</v>
      </c>
      <c r="I5" s="372">
        <f t="shared" si="0"/>
        <v>363216</v>
      </c>
      <c r="J5" s="735">
        <f>300+312+621</f>
        <v>1233</v>
      </c>
      <c r="K5" s="736">
        <f>300+312+197</f>
        <v>809</v>
      </c>
      <c r="L5" s="301">
        <f t="shared" si="1"/>
        <v>3394.6742434253997</v>
      </c>
      <c r="M5" s="301">
        <f t="shared" si="2"/>
        <v>2227.3247874542972</v>
      </c>
      <c r="N5" s="358">
        <v>0.51</v>
      </c>
      <c r="O5" s="301">
        <f t="shared" si="3"/>
        <v>1135.9356416016915</v>
      </c>
      <c r="P5" s="358">
        <v>0.57999999999999996</v>
      </c>
      <c r="Q5" s="301">
        <f t="shared" si="4"/>
        <v>658.84267212898101</v>
      </c>
      <c r="R5" s="860"/>
      <c r="S5" s="860"/>
      <c r="T5" s="275">
        <f>+L5-S5</f>
        <v>3394.6742434253997</v>
      </c>
      <c r="U5" s="273"/>
      <c r="V5" s="274"/>
      <c r="W5" s="275"/>
      <c r="X5" s="276"/>
      <c r="Y5" s="338"/>
      <c r="Z5" s="338">
        <f>+T5+Y5</f>
        <v>3394.6742434253997</v>
      </c>
      <c r="AA5" s="359"/>
      <c r="AB5" s="359"/>
      <c r="AC5" s="359"/>
      <c r="AD5" s="359"/>
      <c r="AE5" s="360"/>
      <c r="AF5" s="360"/>
      <c r="AG5" s="360"/>
      <c r="AH5" s="360"/>
      <c r="AI5" s="360"/>
      <c r="AJ5" s="360"/>
      <c r="AK5" s="360"/>
      <c r="AL5" s="361"/>
    </row>
    <row r="6" spans="1:38" ht="15" customHeight="1" x14ac:dyDescent="0.3">
      <c r="A6" s="379" t="s">
        <v>584</v>
      </c>
      <c r="B6" s="354">
        <v>15</v>
      </c>
      <c r="C6" s="355">
        <v>4</v>
      </c>
      <c r="D6" s="355">
        <v>59</v>
      </c>
      <c r="E6" s="355">
        <v>1</v>
      </c>
      <c r="F6" s="664">
        <f>+D6*E6</f>
        <v>59</v>
      </c>
      <c r="G6" s="356">
        <f>(60/B6)*C6*F6</f>
        <v>944</v>
      </c>
      <c r="H6" s="646">
        <v>103.9</v>
      </c>
      <c r="I6" s="372">
        <f t="shared" si="0"/>
        <v>98081.600000000006</v>
      </c>
      <c r="J6" s="735">
        <v>62.3</v>
      </c>
      <c r="K6" s="736">
        <v>62.3</v>
      </c>
      <c r="L6" s="301">
        <f t="shared" ref="L6" si="5">+J6*1000000/I6</f>
        <v>635.18539664932052</v>
      </c>
      <c r="M6" s="301">
        <f t="shared" ref="M6" si="6">+K6*1000000/I6</f>
        <v>635.18539664932052</v>
      </c>
      <c r="N6" s="358">
        <v>0.25</v>
      </c>
      <c r="O6" s="301">
        <f t="shared" si="3"/>
        <v>158.79634916233013</v>
      </c>
      <c r="P6" s="358">
        <v>1</v>
      </c>
      <c r="Q6" s="301">
        <f t="shared" si="4"/>
        <v>158.79634916233013</v>
      </c>
      <c r="R6" s="860"/>
      <c r="S6" s="860"/>
      <c r="T6" s="275">
        <f>+L6-S6</f>
        <v>635.18539664932052</v>
      </c>
      <c r="U6" s="273"/>
      <c r="V6" s="274"/>
      <c r="W6" s="275"/>
      <c r="X6" s="276"/>
      <c r="Y6" s="338"/>
      <c r="Z6" s="338">
        <f>+T6+Y6</f>
        <v>635.18539664932052</v>
      </c>
      <c r="AA6" s="359"/>
      <c r="AB6" s="359"/>
      <c r="AC6" s="359"/>
      <c r="AD6" s="359"/>
      <c r="AE6" s="360"/>
      <c r="AF6" s="360"/>
      <c r="AG6" s="360"/>
      <c r="AH6" s="360"/>
      <c r="AI6" s="360"/>
      <c r="AJ6" s="360"/>
      <c r="AK6" s="360"/>
      <c r="AL6" s="361"/>
    </row>
    <row r="7" spans="1:38" ht="15" customHeight="1" x14ac:dyDescent="0.3">
      <c r="A7" s="379" t="s">
        <v>585</v>
      </c>
      <c r="B7" s="354">
        <v>30</v>
      </c>
      <c r="C7" s="355">
        <v>10</v>
      </c>
      <c r="D7" s="355">
        <v>40</v>
      </c>
      <c r="E7" s="355">
        <v>1</v>
      </c>
      <c r="F7" s="664">
        <f>+D7*E7</f>
        <v>40</v>
      </c>
      <c r="G7" s="356">
        <f>(60/B7)*C7*F7</f>
        <v>800</v>
      </c>
      <c r="H7" s="645">
        <v>2617</v>
      </c>
      <c r="I7" s="372">
        <f>+G7*H7</f>
        <v>2093600</v>
      </c>
      <c r="J7" s="735">
        <v>677.7</v>
      </c>
      <c r="K7" s="736">
        <v>677.7</v>
      </c>
      <c r="L7" s="301">
        <f t="shared" ref="L7" si="7">+J7*1000000/I7</f>
        <v>323.70080244554833</v>
      </c>
      <c r="M7" s="301">
        <f t="shared" ref="M7" si="8">+K7*1000000/I7</f>
        <v>323.70080244554833</v>
      </c>
      <c r="N7" s="358">
        <v>0.32</v>
      </c>
      <c r="O7" s="301">
        <f t="shared" si="3"/>
        <v>103.58425678257547</v>
      </c>
      <c r="P7" s="358">
        <v>1</v>
      </c>
      <c r="Q7" s="301">
        <f t="shared" si="4"/>
        <v>103.58425678257547</v>
      </c>
      <c r="R7" s="861"/>
      <c r="S7" s="861"/>
      <c r="T7" s="275">
        <f>+L7-S7</f>
        <v>323.70080244554833</v>
      </c>
      <c r="U7" s="273"/>
      <c r="V7" s="274"/>
      <c r="W7" s="275"/>
      <c r="X7" s="276"/>
      <c r="Y7" s="338"/>
      <c r="Z7" s="338">
        <f>+T7+Y7</f>
        <v>323.70080244554833</v>
      </c>
      <c r="AA7" s="359"/>
      <c r="AB7" s="359"/>
      <c r="AC7" s="359"/>
      <c r="AD7" s="359"/>
      <c r="AE7" s="360"/>
      <c r="AF7" s="360"/>
      <c r="AG7" s="360"/>
      <c r="AH7" s="360"/>
      <c r="AI7" s="360"/>
      <c r="AJ7" s="360"/>
      <c r="AK7" s="360"/>
      <c r="AL7" s="361"/>
    </row>
    <row r="8" spans="1:38" x14ac:dyDescent="0.3">
      <c r="A8" s="380" t="s">
        <v>586</v>
      </c>
      <c r="B8" s="362"/>
      <c r="C8" s="363"/>
      <c r="D8" s="363"/>
      <c r="E8" s="363"/>
      <c r="F8" s="363"/>
      <c r="G8" s="364"/>
      <c r="H8" s="363"/>
      <c r="I8" s="363"/>
      <c r="J8" s="363"/>
      <c r="K8" s="363"/>
      <c r="L8" s="366"/>
      <c r="M8" s="363"/>
      <c r="N8" s="366"/>
      <c r="O8" s="366"/>
      <c r="P8" s="363"/>
      <c r="Q8" s="366"/>
      <c r="R8" s="367"/>
      <c r="S8" s="366"/>
      <c r="T8" s="368"/>
      <c r="U8" s="365"/>
      <c r="V8" s="367"/>
      <c r="W8" s="366"/>
      <c r="X8" s="369"/>
      <c r="Y8" s="368"/>
      <c r="Z8" s="365"/>
      <c r="AA8" s="370"/>
      <c r="AB8" s="370"/>
      <c r="AC8" s="370"/>
      <c r="AD8" s="370"/>
      <c r="AE8" s="370"/>
      <c r="AF8" s="370"/>
      <c r="AG8" s="370"/>
      <c r="AH8" s="370"/>
      <c r="AI8" s="370"/>
      <c r="AJ8" s="370"/>
      <c r="AK8" s="370"/>
      <c r="AL8" s="371"/>
    </row>
    <row r="9" spans="1:38" ht="15" customHeight="1" x14ac:dyDescent="0.3">
      <c r="A9" s="379" t="s">
        <v>587</v>
      </c>
      <c r="B9" s="845"/>
      <c r="C9" s="846"/>
      <c r="D9" s="846"/>
      <c r="E9" s="846"/>
      <c r="F9" s="846"/>
      <c r="G9" s="372">
        <f>+G3+G4+G5</f>
        <v>91056</v>
      </c>
      <c r="H9" s="846"/>
      <c r="I9" s="846"/>
      <c r="J9" s="846"/>
      <c r="K9" s="846"/>
      <c r="L9" s="846"/>
      <c r="M9" s="846"/>
      <c r="N9" s="846"/>
      <c r="O9" s="846"/>
      <c r="P9" s="846"/>
      <c r="Q9" s="357">
        <f>+Q3+Q4+Q5</f>
        <v>766.32656185258168</v>
      </c>
      <c r="R9" s="373">
        <v>0.28000000000000003</v>
      </c>
      <c r="S9" s="275">
        <f>+Q9*R9</f>
        <v>214.5714373187229</v>
      </c>
      <c r="T9" s="338">
        <f>+Q9-S9</f>
        <v>551.75512453385875</v>
      </c>
      <c r="U9" s="273"/>
      <c r="V9" s="274"/>
      <c r="W9" s="275"/>
      <c r="X9" s="276"/>
      <c r="Y9" s="338"/>
      <c r="Z9" s="338">
        <f>+T9+Y9</f>
        <v>551.75512453385875</v>
      </c>
      <c r="AA9" s="360">
        <v>0.69</v>
      </c>
      <c r="AB9" s="338">
        <f>+Z9*AA9</f>
        <v>380.71103592836249</v>
      </c>
      <c r="AC9" s="360">
        <v>0.15</v>
      </c>
      <c r="AD9" s="338">
        <f>+Z9*AC9</f>
        <v>82.763268680078809</v>
      </c>
      <c r="AE9" s="360"/>
      <c r="AF9" s="360"/>
      <c r="AG9" s="360"/>
      <c r="AH9" s="360"/>
      <c r="AI9" s="360"/>
      <c r="AJ9" s="360"/>
      <c r="AK9" s="360"/>
      <c r="AL9" s="361"/>
    </row>
    <row r="10" spans="1:38" ht="15" customHeight="1" x14ac:dyDescent="0.3">
      <c r="A10" s="379" t="s">
        <v>584</v>
      </c>
      <c r="B10" s="847"/>
      <c r="C10" s="848"/>
      <c r="D10" s="848"/>
      <c r="E10" s="848"/>
      <c r="F10" s="848"/>
      <c r="G10" s="356">
        <f>+G6</f>
        <v>944</v>
      </c>
      <c r="H10" s="848"/>
      <c r="I10" s="848"/>
      <c r="J10" s="848"/>
      <c r="K10" s="848"/>
      <c r="L10" s="848"/>
      <c r="M10" s="848"/>
      <c r="N10" s="848"/>
      <c r="O10" s="848"/>
      <c r="P10" s="848"/>
      <c r="Q10" s="301">
        <f>+Q6</f>
        <v>158.79634916233013</v>
      </c>
      <c r="R10" s="373">
        <v>0.28000000000000003</v>
      </c>
      <c r="S10" s="275">
        <f>+Q10*R10</f>
        <v>44.462977765452443</v>
      </c>
      <c r="T10" s="338">
        <f>+Q10-S10</f>
        <v>114.33337139687768</v>
      </c>
      <c r="U10" s="273"/>
      <c r="V10" s="274"/>
      <c r="W10" s="275"/>
      <c r="X10" s="276"/>
      <c r="Y10" s="338"/>
      <c r="Z10" s="338">
        <f>+T10+Y10</f>
        <v>114.33337139687768</v>
      </c>
      <c r="AA10" s="360">
        <v>0.04</v>
      </c>
      <c r="AB10" s="338">
        <f>+Z10*AA10</f>
        <v>4.5733348558751077</v>
      </c>
      <c r="AC10" s="360">
        <v>0.21</v>
      </c>
      <c r="AD10" s="338">
        <f>+Z10*AC10</f>
        <v>24.010007993344313</v>
      </c>
      <c r="AE10" s="360"/>
      <c r="AF10" s="360"/>
      <c r="AG10" s="360"/>
      <c r="AH10" s="360"/>
      <c r="AI10" s="360"/>
      <c r="AJ10" s="360"/>
      <c r="AK10" s="360"/>
      <c r="AL10" s="361"/>
    </row>
    <row r="11" spans="1:38" s="350" customFormat="1" ht="16.149999999999999" customHeight="1" thickBot="1" x14ac:dyDescent="0.35">
      <c r="A11" s="385" t="s">
        <v>588</v>
      </c>
      <c r="B11" s="849"/>
      <c r="C11" s="850"/>
      <c r="D11" s="850"/>
      <c r="E11" s="850"/>
      <c r="F11" s="850"/>
      <c r="G11" s="396">
        <f>+G7</f>
        <v>800</v>
      </c>
      <c r="H11" s="850"/>
      <c r="I11" s="850"/>
      <c r="J11" s="850"/>
      <c r="K11" s="850"/>
      <c r="L11" s="850"/>
      <c r="M11" s="850"/>
      <c r="N11" s="850"/>
      <c r="O11" s="850"/>
      <c r="P11" s="850"/>
      <c r="Q11" s="397">
        <f>+Q7</f>
        <v>103.58425678257547</v>
      </c>
      <c r="R11" s="398">
        <v>0.28000000000000003</v>
      </c>
      <c r="S11" s="390">
        <f>+Q11*R11</f>
        <v>29.003591899121133</v>
      </c>
      <c r="T11" s="392">
        <f>+Q11-S11</f>
        <v>74.580664883454332</v>
      </c>
      <c r="U11" s="389"/>
      <c r="V11" s="391"/>
      <c r="W11" s="390"/>
      <c r="X11" s="393"/>
      <c r="Y11" s="392"/>
      <c r="Z11" s="392">
        <f>+T11+Y11</f>
        <v>74.580664883454332</v>
      </c>
      <c r="AA11" s="399">
        <v>0.27</v>
      </c>
      <c r="AB11" s="392">
        <f>+Z11*AA11</f>
        <v>20.13677951853267</v>
      </c>
      <c r="AC11" s="399">
        <v>0.64</v>
      </c>
      <c r="AD11" s="392">
        <f>+Z11*AC11</f>
        <v>47.731625525410777</v>
      </c>
      <c r="AE11" s="399"/>
      <c r="AF11" s="399"/>
      <c r="AG11" s="399"/>
      <c r="AH11" s="399"/>
      <c r="AI11" s="399"/>
      <c r="AJ11" s="399"/>
      <c r="AK11" s="399"/>
      <c r="AL11" s="400"/>
    </row>
    <row r="12" spans="1:38" s="350" customFormat="1" ht="17.25" thickBot="1" x14ac:dyDescent="0.35">
      <c r="A12" s="385"/>
      <c r="B12" s="386"/>
      <c r="C12" s="387"/>
      <c r="D12" s="387"/>
      <c r="E12" s="387"/>
      <c r="F12" s="387"/>
      <c r="G12" s="388"/>
      <c r="H12" s="387"/>
      <c r="I12" s="387"/>
      <c r="J12" s="387"/>
      <c r="K12" s="387"/>
      <c r="L12" s="390"/>
      <c r="M12" s="387"/>
      <c r="N12" s="387"/>
      <c r="O12" s="387"/>
      <c r="P12" s="387"/>
      <c r="Q12" s="390"/>
      <c r="R12" s="391"/>
      <c r="S12" s="390"/>
      <c r="T12" s="392"/>
      <c r="U12" s="389"/>
      <c r="V12" s="391"/>
      <c r="W12" s="390"/>
      <c r="X12" s="393"/>
      <c r="Y12" s="392"/>
      <c r="Z12" s="389"/>
      <c r="AA12" s="394"/>
      <c r="AB12" s="394"/>
      <c r="AC12" s="394"/>
      <c r="AD12" s="394"/>
      <c r="AE12" s="394"/>
      <c r="AF12" s="394"/>
      <c r="AG12" s="394"/>
      <c r="AH12" s="394"/>
      <c r="AI12" s="394"/>
      <c r="AJ12" s="394"/>
      <c r="AK12" s="394"/>
      <c r="AL12" s="395"/>
    </row>
    <row r="13" spans="1:38" ht="17.25" thickBot="1" x14ac:dyDescent="0.35">
      <c r="A13" s="384"/>
      <c r="B13" s="299"/>
      <c r="C13" s="299"/>
      <c r="D13" s="299"/>
      <c r="E13" s="299"/>
      <c r="F13" s="299"/>
      <c r="G13" s="372"/>
      <c r="H13" s="372"/>
      <c r="I13" s="372"/>
      <c r="J13" s="372"/>
      <c r="K13" s="372"/>
      <c r="M13" s="372"/>
      <c r="N13" s="372"/>
      <c r="O13" s="372"/>
      <c r="P13" s="372"/>
      <c r="Z13" s="401" t="s">
        <v>98</v>
      </c>
      <c r="AA13" s="402">
        <f>SUM(AA3:AA12)</f>
        <v>1</v>
      </c>
      <c r="AB13" s="403">
        <f>SUM(AB9:AB11)</f>
        <v>405.42115030277023</v>
      </c>
      <c r="AC13" s="402">
        <f>SUM(AC3:AC12)</f>
        <v>1</v>
      </c>
      <c r="AD13" s="404">
        <f>SUM(AD9:AD11)</f>
        <v>154.50490219883392</v>
      </c>
      <c r="AE13" s="375">
        <f>SUM(AE3:AE12)</f>
        <v>0</v>
      </c>
      <c r="AF13" s="374">
        <f t="shared" ref="AF13:AL13" si="9">SUM(AF3:AF12)</f>
        <v>0</v>
      </c>
      <c r="AG13" s="374">
        <f t="shared" si="9"/>
        <v>0</v>
      </c>
      <c r="AH13" s="374">
        <f t="shared" si="9"/>
        <v>0</v>
      </c>
      <c r="AI13" s="374">
        <f t="shared" si="9"/>
        <v>0</v>
      </c>
      <c r="AJ13" s="374">
        <f t="shared" si="9"/>
        <v>0</v>
      </c>
      <c r="AK13" s="374">
        <f t="shared" si="9"/>
        <v>0</v>
      </c>
      <c r="AL13" s="375">
        <f t="shared" si="9"/>
        <v>0</v>
      </c>
    </row>
    <row r="14" spans="1:38" x14ac:dyDescent="0.3">
      <c r="G14" s="325"/>
      <c r="H14" s="325"/>
      <c r="I14" s="325"/>
      <c r="J14" s="325"/>
      <c r="K14" s="325"/>
      <c r="L14" s="325"/>
      <c r="M14" s="325"/>
      <c r="N14" s="325"/>
      <c r="O14" s="325"/>
      <c r="P14" s="325"/>
    </row>
    <row r="15" spans="1:38" x14ac:dyDescent="0.3">
      <c r="A15" s="382" t="s">
        <v>536</v>
      </c>
      <c r="B15" s="406"/>
      <c r="G15" s="325"/>
      <c r="H15" s="325"/>
      <c r="I15" s="325"/>
      <c r="J15" s="325"/>
      <c r="K15" s="325"/>
      <c r="L15" s="325"/>
      <c r="M15" s="325"/>
      <c r="N15" s="325"/>
      <c r="O15" s="325"/>
      <c r="P15" s="325"/>
      <c r="U15" s="376"/>
      <c r="V15" s="310"/>
    </row>
    <row r="16" spans="1:38" x14ac:dyDescent="0.3">
      <c r="A16" s="383" t="s">
        <v>537</v>
      </c>
      <c r="B16" s="406"/>
      <c r="G16" s="325"/>
      <c r="H16" s="325"/>
      <c r="I16" s="325"/>
      <c r="J16" s="325"/>
      <c r="K16" s="325"/>
      <c r="L16" s="325"/>
      <c r="M16" s="325"/>
      <c r="N16" s="325"/>
      <c r="O16" s="325"/>
      <c r="P16" s="325"/>
      <c r="R16" s="405"/>
      <c r="V16" s="377"/>
    </row>
    <row r="17" spans="1:39" x14ac:dyDescent="0.3">
      <c r="B17" s="406"/>
      <c r="G17" s="317"/>
      <c r="H17" s="317"/>
      <c r="I17" s="317"/>
      <c r="J17" s="317"/>
      <c r="K17" s="317"/>
      <c r="V17" s="377"/>
    </row>
    <row r="18" spans="1:39" x14ac:dyDescent="0.3">
      <c r="A18" s="382" t="s">
        <v>589</v>
      </c>
      <c r="B18" s="406"/>
      <c r="G18" s="317"/>
      <c r="H18" s="317"/>
      <c r="I18" s="317"/>
      <c r="J18" s="317"/>
      <c r="K18" s="317"/>
      <c r="V18" s="377"/>
      <c r="Y18" s="275"/>
      <c r="Z18" s="275"/>
      <c r="AA18" s="275"/>
      <c r="AB18" s="275"/>
      <c r="AC18" s="275"/>
      <c r="AD18" s="275"/>
      <c r="AE18" s="274"/>
      <c r="AF18" s="274"/>
      <c r="AG18" s="274"/>
      <c r="AH18" s="274"/>
      <c r="AI18" s="274"/>
      <c r="AJ18" s="274"/>
      <c r="AK18" s="274"/>
      <c r="AL18" s="274"/>
      <c r="AM18" s="299"/>
    </row>
    <row r="19" spans="1:39" x14ac:dyDescent="0.3">
      <c r="A19" s="381" t="s">
        <v>590</v>
      </c>
      <c r="G19" s="317"/>
      <c r="H19" s="317"/>
      <c r="I19" s="317"/>
      <c r="J19" s="317"/>
      <c r="K19" s="317"/>
      <c r="V19" s="377"/>
      <c r="Y19" s="275"/>
      <c r="Z19" s="275"/>
      <c r="AA19" s="274"/>
      <c r="AB19" s="274"/>
      <c r="AC19" s="274"/>
      <c r="AD19" s="274"/>
      <c r="AE19" s="274"/>
      <c r="AF19" s="274"/>
      <c r="AG19" s="274"/>
      <c r="AH19" s="274"/>
      <c r="AI19" s="274"/>
      <c r="AJ19" s="274"/>
      <c r="AK19" s="274"/>
      <c r="AL19" s="274"/>
      <c r="AM19" s="299"/>
    </row>
    <row r="20" spans="1:39" x14ac:dyDescent="0.3">
      <c r="G20" s="317"/>
      <c r="H20" s="317"/>
      <c r="I20" s="317"/>
      <c r="J20" s="317"/>
      <c r="K20" s="317"/>
      <c r="V20" s="377"/>
      <c r="Y20" s="275"/>
      <c r="Z20" s="275"/>
      <c r="AA20" s="274"/>
      <c r="AB20" s="274"/>
      <c r="AC20" s="274"/>
      <c r="AD20" s="274"/>
      <c r="AE20" s="274"/>
      <c r="AF20" s="274"/>
      <c r="AG20" s="274"/>
      <c r="AH20" s="274"/>
      <c r="AI20" s="274"/>
      <c r="AJ20" s="274"/>
      <c r="AK20" s="274"/>
      <c r="AL20" s="274"/>
      <c r="AM20" s="299"/>
    </row>
    <row r="21" spans="1:39" x14ac:dyDescent="0.3">
      <c r="A21" s="382" t="s">
        <v>540</v>
      </c>
      <c r="V21" s="377"/>
      <c r="Y21" s="275"/>
      <c r="Z21" s="275"/>
      <c r="AA21" s="275"/>
      <c r="AB21" s="275"/>
      <c r="AC21" s="275"/>
      <c r="AD21" s="275"/>
      <c r="AE21" s="274"/>
      <c r="AF21" s="274"/>
      <c r="AG21" s="274"/>
      <c r="AH21" s="274"/>
      <c r="AI21" s="274"/>
      <c r="AJ21" s="274"/>
      <c r="AK21" s="274"/>
      <c r="AL21" s="274"/>
      <c r="AM21" s="299"/>
    </row>
    <row r="22" spans="1:39" x14ac:dyDescent="0.3">
      <c r="A22" s="381" t="s">
        <v>591</v>
      </c>
      <c r="AG22" s="378"/>
    </row>
    <row r="23" spans="1:39" x14ac:dyDescent="0.3">
      <c r="A23" s="381" t="s">
        <v>592</v>
      </c>
    </row>
    <row r="24" spans="1:39" x14ac:dyDescent="0.3">
      <c r="A24" s="381" t="s">
        <v>593</v>
      </c>
    </row>
    <row r="25" spans="1:39" x14ac:dyDescent="0.3">
      <c r="AE25" s="317"/>
      <c r="AF25" s="317"/>
    </row>
    <row r="26" spans="1:39" x14ac:dyDescent="0.3">
      <c r="AE26" s="317"/>
      <c r="AF26" s="317"/>
    </row>
    <row r="27" spans="1:39" x14ac:dyDescent="0.3">
      <c r="AE27" s="317"/>
      <c r="AF27" s="317"/>
    </row>
    <row r="28" spans="1:39" x14ac:dyDescent="0.3">
      <c r="AE28" s="317"/>
      <c r="AF28" s="317"/>
    </row>
    <row r="29" spans="1:39" x14ac:dyDescent="0.3">
      <c r="AE29" s="317"/>
      <c r="AF29" s="317"/>
    </row>
    <row r="30" spans="1:39" x14ac:dyDescent="0.3">
      <c r="AE30" s="317"/>
      <c r="AF30" s="317"/>
    </row>
    <row r="31" spans="1:39" x14ac:dyDescent="0.3">
      <c r="AE31" s="317"/>
      <c r="AF31" s="317"/>
    </row>
    <row r="32" spans="1:39" x14ac:dyDescent="0.3">
      <c r="AE32" s="317"/>
      <c r="AF32" s="317"/>
    </row>
    <row r="33" spans="31:32" x14ac:dyDescent="0.3">
      <c r="AE33" s="317"/>
      <c r="AF33" s="317"/>
    </row>
    <row r="34" spans="31:32" x14ac:dyDescent="0.3">
      <c r="AE34" s="317"/>
      <c r="AF34" s="317"/>
    </row>
    <row r="35" spans="31:32" x14ac:dyDescent="0.3">
      <c r="AE35" s="317"/>
      <c r="AF35" s="317"/>
    </row>
    <row r="36" spans="31:32" x14ac:dyDescent="0.3">
      <c r="AE36" s="317"/>
      <c r="AF36" s="317"/>
    </row>
    <row r="37" spans="31:32" x14ac:dyDescent="0.3">
      <c r="AE37" s="317"/>
      <c r="AF37" s="317"/>
    </row>
    <row r="38" spans="31:32" x14ac:dyDescent="0.3">
      <c r="AE38" s="317"/>
      <c r="AF38" s="317"/>
    </row>
  </sheetData>
  <mergeCells count="13">
    <mergeCell ref="AE1:AH1"/>
    <mergeCell ref="AI1:AL1"/>
    <mergeCell ref="Z1:Z2"/>
    <mergeCell ref="B9:F11"/>
    <mergeCell ref="B1:G1"/>
    <mergeCell ref="L1:S1"/>
    <mergeCell ref="U1:X1"/>
    <mergeCell ref="T1:T2"/>
    <mergeCell ref="Y1:Y2"/>
    <mergeCell ref="AA1:AB1"/>
    <mergeCell ref="AC1:AD1"/>
    <mergeCell ref="H9:P11"/>
    <mergeCell ref="R3:S7"/>
  </mergeCells>
  <phoneticPr fontId="5" type="noConversion"/>
  <hyperlinks>
    <hyperlink ref="M2" r:id="rId1" display="Proportion of the LRTP" xr:uid="{B8668064-BDD3-4E9C-89B5-CD483A1BF162}"/>
    <hyperlink ref="P2" r:id="rId2" display="Proportion of the LRTP" xr:uid="{D981F87F-CE7F-4AD3-8E3B-349C18D058D9}"/>
  </hyperlinks>
  <pageMargins left="0.7" right="0.7" top="0.75" bottom="0.75" header="0.3" footer="0.3"/>
  <pageSetup orientation="portrait" r:id="rId3"/>
  <legacyDrawing r:id="rId4"/>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9FC31-0848-4AF9-992E-9300E3229633}">
  <sheetPr>
    <tabColor theme="4" tint="0.39997558519241921"/>
  </sheetPr>
  <dimension ref="A1:AGQ86"/>
  <sheetViews>
    <sheetView topLeftCell="J1" zoomScale="217" zoomScaleNormal="100" workbookViewId="0">
      <selection activeCell="X11" sqref="X11"/>
    </sheetView>
  </sheetViews>
  <sheetFormatPr defaultColWidth="9" defaultRowHeight="15.75" x14ac:dyDescent="0.25"/>
  <cols>
    <col min="1" max="1" width="0.85546875" style="457" customWidth="1"/>
    <col min="2" max="2" width="24.85546875" style="467" customWidth="1"/>
    <col min="3" max="8" width="9" style="467" customWidth="1"/>
    <col min="9" max="9" width="7.5703125" style="467" customWidth="1"/>
    <col min="10" max="10" width="9" style="477" customWidth="1"/>
    <col min="11" max="11" width="10.140625" style="475" customWidth="1"/>
    <col min="12" max="12" width="8.85546875" style="2" customWidth="1"/>
    <col min="13" max="13" width="9" style="475" customWidth="1"/>
    <col min="14" max="18" width="10.5703125" style="475" hidden="1" customWidth="1"/>
    <col min="19" max="26" width="8.85546875" style="475" customWidth="1"/>
    <col min="27" max="27" width="9" style="467" customWidth="1"/>
    <col min="28" max="16384" width="9" style="467"/>
  </cols>
  <sheetData>
    <row r="1" spans="1:875" s="458" customFormat="1" ht="47.1" customHeight="1" x14ac:dyDescent="0.3">
      <c r="A1" s="457"/>
      <c r="B1" s="490"/>
      <c r="C1" s="868" t="s">
        <v>594</v>
      </c>
      <c r="D1" s="869"/>
      <c r="E1" s="870"/>
      <c r="F1" s="491"/>
      <c r="G1" s="868" t="s">
        <v>595</v>
      </c>
      <c r="H1" s="869"/>
      <c r="I1" s="870"/>
      <c r="J1" s="872" t="s">
        <v>596</v>
      </c>
      <c r="K1" s="873"/>
      <c r="L1" s="873"/>
      <c r="M1" s="874"/>
      <c r="N1" s="872" t="s">
        <v>597</v>
      </c>
      <c r="O1" s="873"/>
      <c r="P1" s="873"/>
      <c r="Q1" s="874"/>
      <c r="R1" s="875" t="s">
        <v>598</v>
      </c>
      <c r="S1" s="866" t="s">
        <v>599</v>
      </c>
      <c r="T1" s="867"/>
      <c r="U1" s="867"/>
      <c r="V1" s="867"/>
      <c r="W1" s="742"/>
      <c r="X1" s="866" t="s">
        <v>600</v>
      </c>
      <c r="Y1" s="867"/>
      <c r="Z1" s="871"/>
      <c r="AA1" s="457"/>
      <c r="AB1" s="457"/>
      <c r="AC1" s="457"/>
      <c r="AD1" s="457"/>
      <c r="AE1" s="457"/>
      <c r="AF1" s="457"/>
      <c r="AG1" s="457"/>
      <c r="AH1" s="457"/>
      <c r="AI1" s="457"/>
      <c r="AJ1" s="457"/>
      <c r="AK1" s="457"/>
      <c r="AL1" s="457"/>
      <c r="AM1" s="457"/>
      <c r="AN1" s="457"/>
      <c r="AO1" s="457"/>
      <c r="AP1" s="457"/>
      <c r="AQ1" s="457"/>
      <c r="AR1" s="457"/>
      <c r="AS1" s="457"/>
      <c r="AT1" s="457"/>
      <c r="AU1" s="457"/>
      <c r="AV1" s="457"/>
      <c r="AW1" s="457"/>
      <c r="AX1" s="457"/>
      <c r="AY1" s="457"/>
      <c r="AZ1" s="457"/>
      <c r="BA1" s="457"/>
      <c r="BB1" s="457"/>
      <c r="BC1" s="457"/>
      <c r="BD1" s="457"/>
      <c r="BE1" s="457"/>
      <c r="BF1" s="457"/>
      <c r="BG1" s="457"/>
      <c r="BH1" s="457"/>
      <c r="BI1" s="457"/>
      <c r="BJ1" s="457"/>
      <c r="BK1" s="457"/>
      <c r="BL1" s="457"/>
      <c r="BM1" s="457"/>
      <c r="BN1" s="457"/>
      <c r="BO1" s="457"/>
      <c r="BP1" s="457"/>
      <c r="BQ1" s="457"/>
      <c r="BR1" s="457"/>
      <c r="BS1" s="457"/>
      <c r="BT1" s="457"/>
      <c r="BU1" s="457"/>
      <c r="BV1" s="457"/>
      <c r="BW1" s="457"/>
      <c r="BX1" s="457"/>
      <c r="BY1" s="457"/>
      <c r="BZ1" s="457"/>
      <c r="CA1" s="457"/>
      <c r="CB1" s="457"/>
      <c r="CC1" s="457"/>
      <c r="CD1" s="457"/>
      <c r="CE1" s="457"/>
      <c r="CF1" s="457"/>
      <c r="CG1" s="457"/>
      <c r="CH1" s="457"/>
      <c r="CI1" s="457"/>
      <c r="CJ1" s="457"/>
      <c r="CK1" s="457"/>
      <c r="CL1" s="457"/>
      <c r="CM1" s="457"/>
      <c r="CN1" s="457"/>
      <c r="CO1" s="457"/>
      <c r="CP1" s="457"/>
      <c r="CQ1" s="457"/>
      <c r="CR1" s="457"/>
      <c r="CS1" s="457"/>
      <c r="CT1" s="457"/>
      <c r="CU1" s="457"/>
      <c r="CV1" s="457"/>
      <c r="CW1" s="457"/>
      <c r="CX1" s="457"/>
      <c r="CY1" s="457"/>
      <c r="CZ1" s="457"/>
      <c r="DA1" s="457"/>
      <c r="DB1" s="457"/>
      <c r="DC1" s="457"/>
      <c r="DD1" s="457"/>
      <c r="DE1" s="457"/>
      <c r="DF1" s="457"/>
      <c r="DG1" s="457"/>
      <c r="DH1" s="457"/>
      <c r="DI1" s="457"/>
      <c r="DJ1" s="457"/>
      <c r="DK1" s="457"/>
      <c r="DL1" s="457"/>
      <c r="DM1" s="457"/>
      <c r="DN1" s="457"/>
      <c r="DO1" s="457"/>
      <c r="DP1" s="457"/>
      <c r="DQ1" s="457"/>
      <c r="DR1" s="457"/>
      <c r="DS1" s="457"/>
      <c r="DT1" s="457"/>
      <c r="DU1" s="457"/>
      <c r="DV1" s="457"/>
      <c r="DW1" s="457"/>
      <c r="DX1" s="457"/>
      <c r="DY1" s="457"/>
      <c r="DZ1" s="457"/>
      <c r="EA1" s="457"/>
      <c r="EB1" s="457"/>
      <c r="EC1" s="457"/>
      <c r="ED1" s="457"/>
      <c r="EE1" s="457"/>
      <c r="EF1" s="457"/>
      <c r="EG1" s="457"/>
      <c r="EH1" s="457"/>
      <c r="EI1" s="457"/>
      <c r="EJ1" s="457"/>
      <c r="EK1" s="457"/>
      <c r="EL1" s="457"/>
      <c r="EM1" s="457"/>
      <c r="EN1" s="457"/>
      <c r="EO1" s="457"/>
      <c r="EP1" s="457"/>
      <c r="EQ1" s="457"/>
      <c r="ER1" s="457"/>
      <c r="ES1" s="457"/>
      <c r="ET1" s="457"/>
      <c r="EU1" s="457"/>
      <c r="EV1" s="457"/>
      <c r="EW1" s="457"/>
      <c r="EX1" s="457"/>
      <c r="EY1" s="457"/>
      <c r="EZ1" s="457"/>
      <c r="FA1" s="457"/>
      <c r="FB1" s="457"/>
      <c r="FC1" s="457"/>
      <c r="FD1" s="457"/>
      <c r="FE1" s="457"/>
      <c r="FF1" s="457"/>
      <c r="FG1" s="457"/>
      <c r="FH1" s="457"/>
      <c r="FI1" s="457"/>
      <c r="FJ1" s="457"/>
      <c r="FK1" s="457"/>
      <c r="FL1" s="457"/>
      <c r="FM1" s="457"/>
      <c r="FN1" s="457"/>
      <c r="FO1" s="457"/>
      <c r="FP1" s="457"/>
      <c r="FQ1" s="457"/>
      <c r="FR1" s="457"/>
      <c r="FS1" s="457"/>
      <c r="FT1" s="457"/>
      <c r="FU1" s="457"/>
      <c r="FV1" s="457"/>
      <c r="FW1" s="457"/>
      <c r="FX1" s="457"/>
      <c r="FY1" s="457"/>
      <c r="FZ1" s="457"/>
      <c r="GA1" s="457"/>
      <c r="GB1" s="457"/>
      <c r="GC1" s="457"/>
      <c r="GD1" s="457"/>
      <c r="GE1" s="457"/>
      <c r="GF1" s="457"/>
      <c r="GG1" s="457"/>
      <c r="GH1" s="457"/>
      <c r="GI1" s="457"/>
      <c r="GJ1" s="457"/>
      <c r="GK1" s="457"/>
      <c r="GL1" s="457"/>
      <c r="GM1" s="457"/>
      <c r="GN1" s="457"/>
      <c r="GO1" s="457"/>
      <c r="GP1" s="457"/>
      <c r="GQ1" s="457"/>
      <c r="GR1" s="457"/>
      <c r="GS1" s="457"/>
      <c r="GT1" s="457"/>
      <c r="GU1" s="457"/>
      <c r="GV1" s="457"/>
      <c r="GW1" s="457"/>
      <c r="GX1" s="457"/>
      <c r="GY1" s="457"/>
      <c r="GZ1" s="457"/>
      <c r="HA1" s="457"/>
      <c r="HB1" s="457"/>
      <c r="HC1" s="457"/>
      <c r="HD1" s="457"/>
      <c r="HE1" s="457"/>
      <c r="HF1" s="457"/>
      <c r="HG1" s="457"/>
      <c r="HH1" s="457"/>
      <c r="HI1" s="457"/>
      <c r="HJ1" s="457"/>
      <c r="HK1" s="457"/>
      <c r="HL1" s="457"/>
      <c r="HM1" s="457"/>
      <c r="HN1" s="457"/>
      <c r="HO1" s="457"/>
      <c r="HP1" s="457"/>
      <c r="HQ1" s="457"/>
      <c r="HR1" s="457"/>
      <c r="HS1" s="457"/>
      <c r="HT1" s="457"/>
      <c r="HU1" s="457"/>
      <c r="HV1" s="457"/>
      <c r="HW1" s="457"/>
      <c r="HX1" s="457"/>
      <c r="HY1" s="457"/>
      <c r="HZ1" s="457"/>
      <c r="IA1" s="457"/>
      <c r="IB1" s="457"/>
      <c r="IC1" s="457"/>
      <c r="ID1" s="457"/>
      <c r="IE1" s="457"/>
      <c r="IF1" s="457"/>
      <c r="IG1" s="457"/>
      <c r="IH1" s="457"/>
      <c r="II1" s="457"/>
      <c r="IJ1" s="457"/>
      <c r="IK1" s="457"/>
      <c r="IL1" s="457"/>
      <c r="IM1" s="457"/>
      <c r="IN1" s="457"/>
      <c r="IO1" s="457"/>
      <c r="IP1" s="457"/>
      <c r="IQ1" s="457"/>
      <c r="IR1" s="457"/>
      <c r="IS1" s="457"/>
      <c r="IT1" s="457"/>
      <c r="IU1" s="457"/>
      <c r="IV1" s="457"/>
      <c r="IW1" s="457"/>
      <c r="IX1" s="457"/>
      <c r="IY1" s="457"/>
      <c r="IZ1" s="457"/>
      <c r="JA1" s="457"/>
      <c r="JB1" s="457"/>
      <c r="JC1" s="457"/>
      <c r="JD1" s="457"/>
      <c r="JE1" s="457"/>
      <c r="JF1" s="457"/>
      <c r="JG1" s="457"/>
      <c r="JH1" s="457"/>
      <c r="JI1" s="457"/>
      <c r="JJ1" s="457"/>
      <c r="JK1" s="457"/>
      <c r="JL1" s="457"/>
      <c r="JM1" s="457"/>
      <c r="JN1" s="457"/>
      <c r="JO1" s="457"/>
      <c r="JP1" s="457"/>
      <c r="JQ1" s="457"/>
      <c r="JR1" s="457"/>
      <c r="JS1" s="457"/>
      <c r="JT1" s="457"/>
      <c r="JU1" s="457"/>
      <c r="JV1" s="457"/>
      <c r="JW1" s="457"/>
      <c r="JX1" s="457"/>
      <c r="JY1" s="457"/>
      <c r="JZ1" s="457"/>
      <c r="KA1" s="457"/>
      <c r="KB1" s="457"/>
      <c r="KC1" s="457"/>
      <c r="KD1" s="457"/>
      <c r="KE1" s="457"/>
      <c r="KF1" s="457"/>
      <c r="KG1" s="457"/>
      <c r="KH1" s="457"/>
      <c r="KI1" s="457"/>
      <c r="KJ1" s="457"/>
      <c r="KK1" s="457"/>
      <c r="KL1" s="457"/>
      <c r="KM1" s="457"/>
      <c r="KN1" s="457"/>
      <c r="KO1" s="457"/>
      <c r="KP1" s="457"/>
      <c r="KQ1" s="457"/>
      <c r="KR1" s="457"/>
      <c r="KS1" s="457"/>
      <c r="KT1" s="457"/>
      <c r="KU1" s="457"/>
      <c r="KV1" s="457"/>
      <c r="KW1" s="457"/>
      <c r="KX1" s="457"/>
      <c r="KY1" s="457"/>
      <c r="KZ1" s="457"/>
      <c r="LA1" s="457"/>
      <c r="LB1" s="457"/>
      <c r="LC1" s="457"/>
      <c r="LD1" s="457"/>
      <c r="LE1" s="457"/>
      <c r="LF1" s="457"/>
      <c r="LG1" s="457"/>
      <c r="LH1" s="457"/>
      <c r="LI1" s="457"/>
      <c r="LJ1" s="457"/>
      <c r="LK1" s="457"/>
      <c r="LL1" s="457"/>
      <c r="LM1" s="457"/>
      <c r="LN1" s="457"/>
      <c r="LO1" s="457"/>
      <c r="LP1" s="457"/>
      <c r="LQ1" s="457"/>
      <c r="LR1" s="457"/>
      <c r="LS1" s="457"/>
      <c r="LT1" s="457"/>
      <c r="LU1" s="457"/>
      <c r="LV1" s="457"/>
      <c r="LW1" s="457"/>
      <c r="LX1" s="457"/>
      <c r="LY1" s="457"/>
      <c r="LZ1" s="457"/>
      <c r="MA1" s="457"/>
      <c r="MB1" s="457"/>
      <c r="MC1" s="457"/>
      <c r="MD1" s="457"/>
      <c r="ME1" s="457"/>
      <c r="MF1" s="457"/>
      <c r="MG1" s="457"/>
      <c r="MH1" s="457"/>
      <c r="MI1" s="457"/>
      <c r="MJ1" s="457"/>
      <c r="MK1" s="457"/>
      <c r="ML1" s="457"/>
      <c r="MM1" s="457"/>
      <c r="MN1" s="457"/>
      <c r="MO1" s="457"/>
      <c r="MP1" s="457"/>
      <c r="MQ1" s="457"/>
      <c r="MR1" s="457"/>
      <c r="MS1" s="457"/>
      <c r="MT1" s="457"/>
      <c r="MU1" s="457"/>
      <c r="MV1" s="457"/>
      <c r="MW1" s="457"/>
      <c r="MX1" s="457"/>
      <c r="MY1" s="457"/>
      <c r="MZ1" s="457"/>
      <c r="NA1" s="457"/>
      <c r="NB1" s="457"/>
      <c r="NC1" s="457"/>
      <c r="ND1" s="457"/>
      <c r="NE1" s="457"/>
      <c r="NF1" s="457"/>
      <c r="NG1" s="457"/>
      <c r="NH1" s="457"/>
      <c r="NI1" s="457"/>
      <c r="NJ1" s="457"/>
      <c r="NK1" s="457"/>
      <c r="NL1" s="457"/>
      <c r="NM1" s="457"/>
      <c r="NN1" s="457"/>
      <c r="NO1" s="457"/>
      <c r="NP1" s="457"/>
      <c r="NQ1" s="457"/>
      <c r="NR1" s="457"/>
      <c r="NS1" s="457"/>
      <c r="NT1" s="457"/>
      <c r="NU1" s="457"/>
      <c r="NV1" s="457"/>
      <c r="NW1" s="457"/>
      <c r="NX1" s="457"/>
      <c r="NY1" s="457"/>
      <c r="NZ1" s="457"/>
      <c r="OA1" s="457"/>
      <c r="OB1" s="457"/>
      <c r="OC1" s="457"/>
      <c r="OD1" s="457"/>
      <c r="OE1" s="457"/>
      <c r="OF1" s="457"/>
      <c r="OG1" s="457"/>
      <c r="OH1" s="457"/>
      <c r="OI1" s="457"/>
      <c r="OJ1" s="457"/>
      <c r="OK1" s="457"/>
      <c r="OL1" s="457"/>
      <c r="OM1" s="457"/>
      <c r="ON1" s="457"/>
      <c r="OO1" s="457"/>
      <c r="OP1" s="457"/>
      <c r="OQ1" s="457"/>
      <c r="OR1" s="457"/>
      <c r="OS1" s="457"/>
      <c r="OT1" s="457"/>
      <c r="OU1" s="457"/>
      <c r="OV1" s="457"/>
      <c r="OW1" s="457"/>
      <c r="OX1" s="457"/>
      <c r="OY1" s="457"/>
      <c r="OZ1" s="457"/>
      <c r="PA1" s="457"/>
      <c r="PB1" s="457"/>
      <c r="PC1" s="457"/>
      <c r="PD1" s="457"/>
      <c r="PE1" s="457"/>
      <c r="PF1" s="457"/>
      <c r="PG1" s="457"/>
      <c r="PH1" s="457"/>
      <c r="PI1" s="457"/>
      <c r="PJ1" s="457"/>
      <c r="PK1" s="457"/>
      <c r="PL1" s="457"/>
      <c r="PM1" s="457"/>
      <c r="PN1" s="457"/>
      <c r="PO1" s="457"/>
      <c r="PP1" s="457"/>
      <c r="PQ1" s="457"/>
      <c r="PR1" s="457"/>
      <c r="PS1" s="457"/>
      <c r="PT1" s="457"/>
      <c r="PU1" s="457"/>
      <c r="PV1" s="457"/>
      <c r="PW1" s="457"/>
      <c r="PX1" s="457"/>
      <c r="PY1" s="457"/>
      <c r="PZ1" s="457"/>
      <c r="QA1" s="457"/>
      <c r="QB1" s="457"/>
      <c r="QC1" s="457"/>
      <c r="QD1" s="457"/>
      <c r="QE1" s="457"/>
      <c r="QF1" s="457"/>
      <c r="QG1" s="457"/>
      <c r="QH1" s="457"/>
      <c r="QI1" s="457"/>
      <c r="QJ1" s="457"/>
      <c r="QK1" s="457"/>
      <c r="QL1" s="457"/>
      <c r="QM1" s="457"/>
      <c r="QN1" s="457"/>
      <c r="QO1" s="457"/>
      <c r="QP1" s="457"/>
      <c r="QQ1" s="457"/>
      <c r="QR1" s="457"/>
      <c r="QS1" s="457"/>
      <c r="QT1" s="457"/>
      <c r="QU1" s="457"/>
      <c r="QV1" s="457"/>
      <c r="QW1" s="457"/>
      <c r="QX1" s="457"/>
      <c r="QY1" s="457"/>
      <c r="QZ1" s="457"/>
      <c r="RA1" s="457"/>
      <c r="RB1" s="457"/>
      <c r="RC1" s="457"/>
      <c r="RD1" s="457"/>
      <c r="RE1" s="457"/>
      <c r="RF1" s="457"/>
      <c r="RG1" s="457"/>
      <c r="RH1" s="457"/>
      <c r="RI1" s="457"/>
      <c r="RJ1" s="457"/>
      <c r="RK1" s="457"/>
      <c r="RL1" s="457"/>
      <c r="RM1" s="457"/>
      <c r="RN1" s="457"/>
      <c r="RO1" s="457"/>
      <c r="RP1" s="457"/>
      <c r="RQ1" s="457"/>
      <c r="RR1" s="457"/>
      <c r="RS1" s="457"/>
      <c r="RT1" s="457"/>
      <c r="RU1" s="457"/>
      <c r="RV1" s="457"/>
      <c r="RW1" s="457"/>
      <c r="RX1" s="457"/>
      <c r="RY1" s="457"/>
      <c r="RZ1" s="457"/>
      <c r="SA1" s="457"/>
      <c r="SB1" s="457"/>
      <c r="SC1" s="457"/>
      <c r="SD1" s="457"/>
      <c r="SE1" s="457"/>
      <c r="SF1" s="457"/>
      <c r="SG1" s="457"/>
      <c r="SH1" s="457"/>
      <c r="SI1" s="457"/>
      <c r="SJ1" s="457"/>
      <c r="SK1" s="457"/>
      <c r="SL1" s="457"/>
      <c r="SM1" s="457"/>
      <c r="SN1" s="457"/>
      <c r="SO1" s="457"/>
      <c r="SP1" s="457"/>
      <c r="SQ1" s="457"/>
      <c r="SR1" s="457"/>
      <c r="SS1" s="457"/>
      <c r="ST1" s="457"/>
      <c r="SU1" s="457"/>
      <c r="SV1" s="457"/>
      <c r="SW1" s="457"/>
      <c r="SX1" s="457"/>
      <c r="SY1" s="457"/>
      <c r="SZ1" s="457"/>
      <c r="TA1" s="457"/>
      <c r="TB1" s="457"/>
      <c r="TC1" s="457"/>
      <c r="TD1" s="457"/>
      <c r="TE1" s="457"/>
      <c r="TF1" s="457"/>
      <c r="TG1" s="457"/>
      <c r="TH1" s="457"/>
      <c r="TI1" s="457"/>
      <c r="TJ1" s="457"/>
      <c r="TK1" s="457"/>
      <c r="TL1" s="457"/>
      <c r="TM1" s="457"/>
      <c r="TN1" s="457"/>
      <c r="TO1" s="457"/>
      <c r="TP1" s="457"/>
      <c r="TQ1" s="457"/>
      <c r="TR1" s="457"/>
      <c r="TS1" s="457"/>
      <c r="TT1" s="457"/>
      <c r="TU1" s="457"/>
      <c r="TV1" s="457"/>
      <c r="TW1" s="457"/>
      <c r="TX1" s="457"/>
      <c r="TY1" s="457"/>
      <c r="TZ1" s="457"/>
      <c r="UA1" s="457"/>
      <c r="UB1" s="457"/>
      <c r="UC1" s="457"/>
      <c r="UD1" s="457"/>
      <c r="UE1" s="457"/>
      <c r="UF1" s="457"/>
      <c r="UG1" s="457"/>
      <c r="UH1" s="457"/>
      <c r="UI1" s="457"/>
      <c r="UJ1" s="457"/>
      <c r="UK1" s="457"/>
      <c r="UL1" s="457"/>
      <c r="UM1" s="457"/>
      <c r="UN1" s="457"/>
      <c r="UO1" s="457"/>
      <c r="UP1" s="457"/>
      <c r="UQ1" s="457"/>
      <c r="UR1" s="457"/>
      <c r="US1" s="457"/>
      <c r="UT1" s="457"/>
      <c r="UU1" s="457"/>
      <c r="UV1" s="457"/>
      <c r="UW1" s="457"/>
      <c r="UX1" s="457"/>
      <c r="UY1" s="457"/>
      <c r="UZ1" s="457"/>
      <c r="VA1" s="457"/>
      <c r="VB1" s="457"/>
      <c r="VC1" s="457"/>
      <c r="VD1" s="457"/>
      <c r="VE1" s="457"/>
      <c r="VF1" s="457"/>
      <c r="VG1" s="457"/>
      <c r="VH1" s="457"/>
      <c r="VI1" s="457"/>
      <c r="VJ1" s="457"/>
      <c r="VK1" s="457"/>
      <c r="VL1" s="457"/>
      <c r="VM1" s="457"/>
      <c r="VN1" s="457"/>
      <c r="VO1" s="457"/>
      <c r="VP1" s="457"/>
      <c r="VQ1" s="457"/>
      <c r="VR1" s="457"/>
      <c r="VS1" s="457"/>
      <c r="VT1" s="457"/>
      <c r="VU1" s="457"/>
      <c r="VV1" s="457"/>
      <c r="VW1" s="457"/>
      <c r="VX1" s="457"/>
      <c r="VY1" s="457"/>
      <c r="VZ1" s="457"/>
      <c r="WA1" s="457"/>
      <c r="WB1" s="457"/>
      <c r="WC1" s="457"/>
      <c r="WD1" s="457"/>
      <c r="WE1" s="457"/>
      <c r="WF1" s="457"/>
      <c r="WG1" s="457"/>
      <c r="WH1" s="457"/>
      <c r="WI1" s="457"/>
      <c r="WJ1" s="457"/>
      <c r="WK1" s="457"/>
      <c r="WL1" s="457"/>
      <c r="WM1" s="457"/>
      <c r="WN1" s="457"/>
      <c r="WO1" s="457"/>
      <c r="WP1" s="457"/>
      <c r="WQ1" s="457"/>
      <c r="WR1" s="457"/>
      <c r="WS1" s="457"/>
      <c r="WT1" s="457"/>
      <c r="WU1" s="457"/>
      <c r="WV1" s="457"/>
      <c r="WW1" s="457"/>
      <c r="WX1" s="457"/>
      <c r="WY1" s="457"/>
      <c r="WZ1" s="457"/>
      <c r="XA1" s="457"/>
      <c r="XB1" s="457"/>
      <c r="XC1" s="457"/>
      <c r="XD1" s="457"/>
      <c r="XE1" s="457"/>
      <c r="XF1" s="457"/>
      <c r="XG1" s="457"/>
      <c r="XH1" s="457"/>
      <c r="XI1" s="457"/>
      <c r="XJ1" s="457"/>
      <c r="XK1" s="457"/>
      <c r="XL1" s="457"/>
      <c r="XM1" s="457"/>
      <c r="XN1" s="457"/>
      <c r="XO1" s="457"/>
      <c r="XP1" s="457"/>
      <c r="XQ1" s="457"/>
      <c r="XR1" s="457"/>
      <c r="XS1" s="457"/>
      <c r="XT1" s="457"/>
      <c r="XU1" s="457"/>
      <c r="XV1" s="457"/>
      <c r="XW1" s="457"/>
      <c r="XX1" s="457"/>
      <c r="XY1" s="457"/>
      <c r="XZ1" s="457"/>
      <c r="YA1" s="457"/>
      <c r="YB1" s="457"/>
      <c r="YC1" s="457"/>
      <c r="YD1" s="457"/>
      <c r="YE1" s="457"/>
      <c r="YF1" s="457"/>
      <c r="YG1" s="457"/>
      <c r="YH1" s="457"/>
      <c r="YI1" s="457"/>
      <c r="YJ1" s="457"/>
      <c r="YK1" s="457"/>
      <c r="YL1" s="457"/>
      <c r="YM1" s="457"/>
      <c r="YN1" s="457"/>
      <c r="YO1" s="457"/>
      <c r="YP1" s="457"/>
      <c r="YQ1" s="457"/>
      <c r="YR1" s="457"/>
      <c r="YS1" s="457"/>
      <c r="YT1" s="457"/>
      <c r="YU1" s="457"/>
      <c r="YV1" s="457"/>
      <c r="YW1" s="457"/>
      <c r="YX1" s="457"/>
      <c r="YY1" s="457"/>
      <c r="YZ1" s="457"/>
      <c r="ZA1" s="457"/>
      <c r="ZB1" s="457"/>
      <c r="ZC1" s="457"/>
      <c r="ZD1" s="457"/>
      <c r="ZE1" s="457"/>
      <c r="ZF1" s="457"/>
      <c r="ZG1" s="457"/>
      <c r="ZH1" s="457"/>
      <c r="ZI1" s="457"/>
      <c r="ZJ1" s="457"/>
      <c r="ZK1" s="457"/>
      <c r="ZL1" s="457"/>
      <c r="ZM1" s="457"/>
      <c r="ZN1" s="457"/>
      <c r="ZO1" s="457"/>
      <c r="ZP1" s="457"/>
      <c r="ZQ1" s="457"/>
      <c r="ZR1" s="457"/>
      <c r="ZS1" s="457"/>
      <c r="ZT1" s="457"/>
      <c r="ZU1" s="457"/>
      <c r="ZV1" s="457"/>
      <c r="ZW1" s="457"/>
      <c r="ZX1" s="457"/>
      <c r="ZY1" s="457"/>
      <c r="ZZ1" s="457"/>
      <c r="AAA1" s="457"/>
      <c r="AAB1" s="457"/>
      <c r="AAC1" s="457"/>
      <c r="AAD1" s="457"/>
      <c r="AAE1" s="457"/>
      <c r="AAF1" s="457"/>
      <c r="AAG1" s="457"/>
      <c r="AAH1" s="457"/>
      <c r="AAI1" s="457"/>
      <c r="AAJ1" s="457"/>
      <c r="AAK1" s="457"/>
      <c r="AAL1" s="457"/>
      <c r="AAM1" s="457"/>
      <c r="AAN1" s="457"/>
      <c r="AAO1" s="457"/>
      <c r="AAP1" s="457"/>
      <c r="AAQ1" s="457"/>
      <c r="AAR1" s="457"/>
      <c r="AAS1" s="457"/>
      <c r="AAT1" s="457"/>
      <c r="AAU1" s="457"/>
      <c r="AAV1" s="457"/>
      <c r="AAW1" s="457"/>
      <c r="AAX1" s="457"/>
      <c r="AAY1" s="457"/>
      <c r="AAZ1" s="457"/>
      <c r="ABA1" s="457"/>
      <c r="ABB1" s="457"/>
      <c r="ABC1" s="457"/>
      <c r="ABD1" s="457"/>
      <c r="ABE1" s="457"/>
      <c r="ABF1" s="457"/>
      <c r="ABG1" s="457"/>
      <c r="ABH1" s="457"/>
      <c r="ABI1" s="457"/>
      <c r="ABJ1" s="457"/>
      <c r="ABK1" s="457"/>
      <c r="ABL1" s="457"/>
      <c r="ABM1" s="457"/>
      <c r="ABN1" s="457"/>
      <c r="ABO1" s="457"/>
      <c r="ABP1" s="457"/>
      <c r="ABQ1" s="457"/>
      <c r="ABR1" s="457"/>
      <c r="ABS1" s="457"/>
      <c r="ABT1" s="457"/>
      <c r="ABU1" s="457"/>
      <c r="ABV1" s="457"/>
      <c r="ABW1" s="457"/>
      <c r="ABX1" s="457"/>
      <c r="ABY1" s="457"/>
      <c r="ABZ1" s="457"/>
      <c r="ACA1" s="457"/>
      <c r="ACB1" s="457"/>
      <c r="ACC1" s="457"/>
      <c r="ACD1" s="457"/>
      <c r="ACE1" s="457"/>
      <c r="ACF1" s="457"/>
      <c r="ACG1" s="457"/>
      <c r="ACH1" s="457"/>
      <c r="ACI1" s="457"/>
      <c r="ACJ1" s="457"/>
      <c r="ACK1" s="457"/>
      <c r="ACL1" s="457"/>
      <c r="ACM1" s="457"/>
      <c r="ACN1" s="457"/>
      <c r="ACO1" s="457"/>
      <c r="ACP1" s="457"/>
      <c r="ACQ1" s="457"/>
      <c r="ACR1" s="457"/>
      <c r="ACS1" s="457"/>
      <c r="ACT1" s="457"/>
      <c r="ACU1" s="457"/>
      <c r="ACV1" s="457"/>
      <c r="ACW1" s="457"/>
      <c r="ACX1" s="457"/>
      <c r="ACY1" s="457"/>
      <c r="ACZ1" s="457"/>
      <c r="ADA1" s="457"/>
      <c r="ADB1" s="457"/>
      <c r="ADC1" s="457"/>
      <c r="ADD1" s="457"/>
      <c r="ADE1" s="457"/>
      <c r="ADF1" s="457"/>
      <c r="ADG1" s="457"/>
      <c r="ADH1" s="457"/>
      <c r="ADI1" s="457"/>
      <c r="ADJ1" s="457"/>
      <c r="ADK1" s="457"/>
      <c r="ADL1" s="457"/>
      <c r="ADM1" s="457"/>
      <c r="ADN1" s="457"/>
      <c r="ADO1" s="457"/>
      <c r="ADP1" s="457"/>
      <c r="ADQ1" s="457"/>
      <c r="ADR1" s="457"/>
      <c r="ADS1" s="457"/>
      <c r="ADT1" s="457"/>
      <c r="ADU1" s="457"/>
      <c r="ADV1" s="457"/>
      <c r="ADW1" s="457"/>
      <c r="ADX1" s="457"/>
      <c r="ADY1" s="457"/>
      <c r="ADZ1" s="457"/>
      <c r="AEA1" s="457"/>
      <c r="AEB1" s="457"/>
      <c r="AEC1" s="457"/>
      <c r="AED1" s="457"/>
      <c r="AEE1" s="457"/>
      <c r="AEF1" s="457"/>
      <c r="AEG1" s="457"/>
      <c r="AEH1" s="457"/>
      <c r="AEI1" s="457"/>
      <c r="AEJ1" s="457"/>
      <c r="AEK1" s="457"/>
      <c r="AEL1" s="457"/>
      <c r="AEM1" s="457"/>
      <c r="AEN1" s="457"/>
      <c r="AEO1" s="457"/>
      <c r="AEP1" s="457"/>
      <c r="AEQ1" s="457"/>
      <c r="AER1" s="457"/>
      <c r="AES1" s="457"/>
      <c r="AET1" s="457"/>
      <c r="AEU1" s="457"/>
      <c r="AEV1" s="457"/>
      <c r="AEW1" s="457"/>
      <c r="AEX1" s="457"/>
      <c r="AEY1" s="457"/>
      <c r="AEZ1" s="457"/>
      <c r="AFA1" s="457"/>
      <c r="AFB1" s="457"/>
      <c r="AFC1" s="457"/>
      <c r="AFD1" s="457"/>
      <c r="AFE1" s="457"/>
      <c r="AFF1" s="457"/>
      <c r="AFG1" s="457"/>
      <c r="AFH1" s="457"/>
      <c r="AFI1" s="457"/>
      <c r="AFJ1" s="457"/>
      <c r="AFK1" s="457"/>
      <c r="AFL1" s="457"/>
      <c r="AFM1" s="457"/>
      <c r="AFN1" s="457"/>
      <c r="AFO1" s="457"/>
      <c r="AFP1" s="457"/>
      <c r="AFQ1" s="457"/>
      <c r="AFR1" s="457"/>
      <c r="AFS1" s="457"/>
      <c r="AFT1" s="457"/>
      <c r="AFU1" s="457"/>
      <c r="AFV1" s="457"/>
      <c r="AFW1" s="457"/>
      <c r="AFX1" s="457"/>
      <c r="AFY1" s="457"/>
      <c r="AFZ1" s="457"/>
      <c r="AGA1" s="457"/>
      <c r="AGB1" s="457"/>
      <c r="AGC1" s="457"/>
      <c r="AGD1" s="457"/>
      <c r="AGE1" s="457"/>
      <c r="AGF1" s="457"/>
      <c r="AGG1" s="457"/>
      <c r="AGH1" s="457"/>
      <c r="AGI1" s="457"/>
      <c r="AGJ1" s="457"/>
      <c r="AGK1" s="457"/>
      <c r="AGL1" s="457"/>
      <c r="AGM1" s="457"/>
      <c r="AGN1" s="457"/>
      <c r="AGO1" s="457"/>
      <c r="AGP1" s="457"/>
      <c r="AGQ1" s="457"/>
    </row>
    <row r="2" spans="1:875" s="458" customFormat="1" ht="46.15" customHeight="1" x14ac:dyDescent="0.3">
      <c r="A2" s="457"/>
      <c r="B2" s="517" t="s">
        <v>601</v>
      </c>
      <c r="C2" s="459" t="s">
        <v>487</v>
      </c>
      <c r="D2" s="459" t="s">
        <v>488</v>
      </c>
      <c r="E2" s="459" t="s">
        <v>485</v>
      </c>
      <c r="F2" s="353" t="s">
        <v>602</v>
      </c>
      <c r="G2" s="459" t="s">
        <v>487</v>
      </c>
      <c r="H2" s="459" t="s">
        <v>488</v>
      </c>
      <c r="I2" s="459" t="s">
        <v>485</v>
      </c>
      <c r="J2" s="737" t="s">
        <v>603</v>
      </c>
      <c r="K2" s="271" t="s">
        <v>604</v>
      </c>
      <c r="L2" s="738" t="s">
        <v>576</v>
      </c>
      <c r="M2" s="738" t="s">
        <v>605</v>
      </c>
      <c r="N2" s="737" t="s">
        <v>574</v>
      </c>
      <c r="O2" s="271" t="s">
        <v>606</v>
      </c>
      <c r="P2" s="738" t="s">
        <v>576</v>
      </c>
      <c r="Q2" s="738" t="s">
        <v>605</v>
      </c>
      <c r="R2" s="876"/>
      <c r="S2" s="460" t="s">
        <v>607</v>
      </c>
      <c r="T2" s="460" t="s">
        <v>608</v>
      </c>
      <c r="U2" s="460" t="s">
        <v>609</v>
      </c>
      <c r="V2" s="460" t="s">
        <v>610</v>
      </c>
      <c r="W2" s="460" t="s">
        <v>607</v>
      </c>
      <c r="X2" s="460" t="s">
        <v>608</v>
      </c>
      <c r="Y2" s="460" t="s">
        <v>610</v>
      </c>
      <c r="Z2" s="492" t="s">
        <v>610</v>
      </c>
      <c r="AA2" s="457"/>
      <c r="AB2" s="461"/>
      <c r="AC2" s="457"/>
      <c r="AD2" s="457"/>
      <c r="AE2" s="457"/>
      <c r="AF2" s="457"/>
      <c r="AG2" s="457"/>
      <c r="AH2" s="457"/>
      <c r="AI2" s="457"/>
      <c r="AJ2" s="457"/>
      <c r="AK2" s="457"/>
      <c r="AL2" s="457"/>
      <c r="AM2" s="457"/>
      <c r="AN2" s="457"/>
      <c r="AO2" s="457"/>
      <c r="AP2" s="457"/>
      <c r="AQ2" s="457"/>
      <c r="AR2" s="457"/>
      <c r="AS2" s="457"/>
      <c r="AT2" s="457"/>
      <c r="AU2" s="457"/>
      <c r="AV2" s="457"/>
      <c r="AW2" s="457"/>
      <c r="AX2" s="457"/>
      <c r="AY2" s="457"/>
      <c r="AZ2" s="457"/>
      <c r="BA2" s="457"/>
      <c r="BB2" s="457"/>
      <c r="BC2" s="457"/>
      <c r="BD2" s="457"/>
      <c r="BE2" s="457"/>
      <c r="BF2" s="457"/>
      <c r="BG2" s="457"/>
      <c r="BH2" s="457"/>
      <c r="BI2" s="457"/>
      <c r="BJ2" s="457"/>
      <c r="BK2" s="457"/>
      <c r="BL2" s="457"/>
      <c r="BM2" s="457"/>
      <c r="BN2" s="457"/>
      <c r="BO2" s="457"/>
      <c r="BP2" s="457"/>
      <c r="BQ2" s="457"/>
      <c r="BR2" s="457"/>
      <c r="BS2" s="457"/>
      <c r="BT2" s="457"/>
      <c r="BU2" s="457"/>
      <c r="BV2" s="457"/>
      <c r="BW2" s="457"/>
      <c r="BX2" s="457"/>
      <c r="BY2" s="457"/>
      <c r="BZ2" s="457"/>
      <c r="CA2" s="457"/>
      <c r="CB2" s="457"/>
      <c r="CC2" s="457"/>
      <c r="CD2" s="457"/>
      <c r="CE2" s="457"/>
      <c r="CF2" s="457"/>
      <c r="CG2" s="457"/>
      <c r="CH2" s="457"/>
      <c r="CI2" s="457"/>
      <c r="CJ2" s="457"/>
      <c r="CK2" s="457"/>
      <c r="CL2" s="457"/>
      <c r="CM2" s="457"/>
      <c r="CN2" s="457"/>
      <c r="CO2" s="457"/>
      <c r="CP2" s="457"/>
      <c r="CQ2" s="457"/>
      <c r="CR2" s="457"/>
      <c r="CS2" s="457"/>
      <c r="CT2" s="457"/>
      <c r="CU2" s="457"/>
      <c r="CV2" s="457"/>
      <c r="CW2" s="457"/>
      <c r="CX2" s="457"/>
      <c r="CY2" s="457"/>
      <c r="CZ2" s="457"/>
      <c r="DA2" s="457"/>
      <c r="DB2" s="457"/>
      <c r="DC2" s="457"/>
      <c r="DD2" s="457"/>
      <c r="DE2" s="457"/>
      <c r="DF2" s="457"/>
      <c r="DG2" s="457"/>
      <c r="DH2" s="457"/>
      <c r="DI2" s="457"/>
      <c r="DJ2" s="457"/>
      <c r="DK2" s="457"/>
      <c r="DL2" s="457"/>
      <c r="DM2" s="457"/>
      <c r="DN2" s="457"/>
      <c r="DO2" s="457"/>
      <c r="DP2" s="457"/>
      <c r="DQ2" s="457"/>
      <c r="DR2" s="457"/>
      <c r="DS2" s="457"/>
      <c r="DT2" s="457"/>
      <c r="DU2" s="457"/>
      <c r="DV2" s="457"/>
      <c r="DW2" s="457"/>
      <c r="DX2" s="457"/>
      <c r="DY2" s="457"/>
      <c r="DZ2" s="457"/>
      <c r="EA2" s="457"/>
      <c r="EB2" s="457"/>
      <c r="EC2" s="457"/>
      <c r="ED2" s="457"/>
      <c r="EE2" s="457"/>
      <c r="EF2" s="457"/>
      <c r="EG2" s="457"/>
      <c r="EH2" s="457"/>
      <c r="EI2" s="457"/>
      <c r="EJ2" s="457"/>
      <c r="EK2" s="457"/>
      <c r="EL2" s="457"/>
      <c r="EM2" s="457"/>
      <c r="EN2" s="457"/>
      <c r="EO2" s="457"/>
      <c r="EP2" s="457"/>
      <c r="EQ2" s="457"/>
      <c r="ER2" s="457"/>
      <c r="ES2" s="457"/>
      <c r="ET2" s="457"/>
      <c r="EU2" s="457"/>
      <c r="EV2" s="457"/>
      <c r="EW2" s="457"/>
      <c r="EX2" s="457"/>
      <c r="EY2" s="457"/>
      <c r="EZ2" s="457"/>
      <c r="FA2" s="457"/>
      <c r="FB2" s="457"/>
      <c r="FC2" s="457"/>
      <c r="FD2" s="457"/>
      <c r="FE2" s="457"/>
      <c r="FF2" s="457"/>
      <c r="FG2" s="457"/>
      <c r="FH2" s="457"/>
      <c r="FI2" s="457"/>
      <c r="FJ2" s="457"/>
      <c r="FK2" s="457"/>
      <c r="FL2" s="457"/>
      <c r="FM2" s="457"/>
      <c r="FN2" s="457"/>
      <c r="FO2" s="457"/>
      <c r="FP2" s="457"/>
      <c r="FQ2" s="457"/>
      <c r="FR2" s="457"/>
      <c r="FS2" s="457"/>
      <c r="FT2" s="457"/>
      <c r="FU2" s="457"/>
      <c r="FV2" s="457"/>
      <c r="FW2" s="457"/>
      <c r="FX2" s="457"/>
      <c r="FY2" s="457"/>
      <c r="FZ2" s="457"/>
      <c r="GA2" s="457"/>
      <c r="GB2" s="457"/>
      <c r="GC2" s="457"/>
      <c r="GD2" s="457"/>
      <c r="GE2" s="457"/>
      <c r="GF2" s="457"/>
      <c r="GG2" s="457"/>
      <c r="GH2" s="457"/>
      <c r="GI2" s="457"/>
      <c r="GJ2" s="457"/>
      <c r="GK2" s="457"/>
      <c r="GL2" s="457"/>
      <c r="GM2" s="457"/>
      <c r="GN2" s="457"/>
      <c r="GO2" s="457"/>
      <c r="GP2" s="457"/>
      <c r="GQ2" s="457"/>
      <c r="GR2" s="457"/>
      <c r="GS2" s="457"/>
      <c r="GT2" s="457"/>
      <c r="GU2" s="457"/>
      <c r="GV2" s="457"/>
      <c r="GW2" s="457"/>
      <c r="GX2" s="457"/>
      <c r="GY2" s="457"/>
      <c r="GZ2" s="457"/>
      <c r="HA2" s="457"/>
      <c r="HB2" s="457"/>
      <c r="HC2" s="457"/>
      <c r="HD2" s="457"/>
      <c r="HE2" s="457"/>
      <c r="HF2" s="457"/>
      <c r="HG2" s="457"/>
      <c r="HH2" s="457"/>
      <c r="HI2" s="457"/>
      <c r="HJ2" s="457"/>
      <c r="HK2" s="457"/>
      <c r="HL2" s="457"/>
      <c r="HM2" s="457"/>
      <c r="HN2" s="457"/>
      <c r="HO2" s="457"/>
      <c r="HP2" s="457"/>
      <c r="HQ2" s="457"/>
      <c r="HR2" s="457"/>
      <c r="HS2" s="457"/>
      <c r="HT2" s="457"/>
      <c r="HU2" s="457"/>
      <c r="HV2" s="457"/>
      <c r="HW2" s="457"/>
      <c r="HX2" s="457"/>
      <c r="HY2" s="457"/>
      <c r="HZ2" s="457"/>
      <c r="IA2" s="457"/>
      <c r="IB2" s="457"/>
      <c r="IC2" s="457"/>
      <c r="ID2" s="457"/>
      <c r="IE2" s="457"/>
      <c r="IF2" s="457"/>
      <c r="IG2" s="457"/>
      <c r="IH2" s="457"/>
      <c r="II2" s="457"/>
      <c r="IJ2" s="457"/>
      <c r="IK2" s="457"/>
      <c r="IL2" s="457"/>
      <c r="IM2" s="457"/>
      <c r="IN2" s="457"/>
      <c r="IO2" s="457"/>
      <c r="IP2" s="457"/>
      <c r="IQ2" s="457"/>
      <c r="IR2" s="457"/>
      <c r="IS2" s="457"/>
      <c r="IT2" s="457"/>
      <c r="IU2" s="457"/>
      <c r="IV2" s="457"/>
      <c r="IW2" s="457"/>
      <c r="IX2" s="457"/>
      <c r="IY2" s="457"/>
      <c r="IZ2" s="457"/>
      <c r="JA2" s="457"/>
      <c r="JB2" s="457"/>
      <c r="JC2" s="457"/>
      <c r="JD2" s="457"/>
      <c r="JE2" s="457"/>
      <c r="JF2" s="457"/>
      <c r="JG2" s="457"/>
      <c r="JH2" s="457"/>
      <c r="JI2" s="457"/>
      <c r="JJ2" s="457"/>
      <c r="JK2" s="457"/>
      <c r="JL2" s="457"/>
      <c r="JM2" s="457"/>
      <c r="JN2" s="457"/>
      <c r="JO2" s="457"/>
      <c r="JP2" s="457"/>
      <c r="JQ2" s="457"/>
      <c r="JR2" s="457"/>
      <c r="JS2" s="457"/>
      <c r="JT2" s="457"/>
      <c r="JU2" s="457"/>
      <c r="JV2" s="457"/>
      <c r="JW2" s="457"/>
      <c r="JX2" s="457"/>
      <c r="JY2" s="457"/>
      <c r="JZ2" s="457"/>
      <c r="KA2" s="457"/>
      <c r="KB2" s="457"/>
      <c r="KC2" s="457"/>
      <c r="KD2" s="457"/>
      <c r="KE2" s="457"/>
      <c r="KF2" s="457"/>
      <c r="KG2" s="457"/>
      <c r="KH2" s="457"/>
      <c r="KI2" s="457"/>
      <c r="KJ2" s="457"/>
      <c r="KK2" s="457"/>
      <c r="KL2" s="457"/>
      <c r="KM2" s="457"/>
      <c r="KN2" s="457"/>
      <c r="KO2" s="457"/>
      <c r="KP2" s="457"/>
      <c r="KQ2" s="457"/>
      <c r="KR2" s="457"/>
      <c r="KS2" s="457"/>
      <c r="KT2" s="457"/>
      <c r="KU2" s="457"/>
      <c r="KV2" s="457"/>
      <c r="KW2" s="457"/>
      <c r="KX2" s="457"/>
      <c r="KY2" s="457"/>
      <c r="KZ2" s="457"/>
      <c r="LA2" s="457"/>
      <c r="LB2" s="457"/>
      <c r="LC2" s="457"/>
      <c r="LD2" s="457"/>
      <c r="LE2" s="457"/>
      <c r="LF2" s="457"/>
      <c r="LG2" s="457"/>
      <c r="LH2" s="457"/>
      <c r="LI2" s="457"/>
      <c r="LJ2" s="457"/>
      <c r="LK2" s="457"/>
      <c r="LL2" s="457"/>
      <c r="LM2" s="457"/>
      <c r="LN2" s="457"/>
      <c r="LO2" s="457"/>
      <c r="LP2" s="457"/>
      <c r="LQ2" s="457"/>
      <c r="LR2" s="457"/>
      <c r="LS2" s="457"/>
      <c r="LT2" s="457"/>
      <c r="LU2" s="457"/>
      <c r="LV2" s="457"/>
      <c r="LW2" s="457"/>
      <c r="LX2" s="457"/>
      <c r="LY2" s="457"/>
      <c r="LZ2" s="457"/>
      <c r="MA2" s="457"/>
      <c r="MB2" s="457"/>
      <c r="MC2" s="457"/>
      <c r="MD2" s="457"/>
      <c r="ME2" s="457"/>
      <c r="MF2" s="457"/>
      <c r="MG2" s="457"/>
      <c r="MH2" s="457"/>
      <c r="MI2" s="457"/>
      <c r="MJ2" s="457"/>
      <c r="MK2" s="457"/>
      <c r="ML2" s="457"/>
      <c r="MM2" s="457"/>
      <c r="MN2" s="457"/>
      <c r="MO2" s="457"/>
      <c r="MP2" s="457"/>
      <c r="MQ2" s="457"/>
      <c r="MR2" s="457"/>
      <c r="MS2" s="457"/>
      <c r="MT2" s="457"/>
      <c r="MU2" s="457"/>
      <c r="MV2" s="457"/>
      <c r="MW2" s="457"/>
      <c r="MX2" s="457"/>
      <c r="MY2" s="457"/>
      <c r="MZ2" s="457"/>
      <c r="NA2" s="457"/>
      <c r="NB2" s="457"/>
      <c r="NC2" s="457"/>
      <c r="ND2" s="457"/>
      <c r="NE2" s="457"/>
      <c r="NF2" s="457"/>
      <c r="NG2" s="457"/>
      <c r="NH2" s="457"/>
      <c r="NI2" s="457"/>
      <c r="NJ2" s="457"/>
      <c r="NK2" s="457"/>
      <c r="NL2" s="457"/>
      <c r="NM2" s="457"/>
      <c r="NN2" s="457"/>
      <c r="NO2" s="457"/>
      <c r="NP2" s="457"/>
      <c r="NQ2" s="457"/>
      <c r="NR2" s="457"/>
      <c r="NS2" s="457"/>
      <c r="NT2" s="457"/>
      <c r="NU2" s="457"/>
      <c r="NV2" s="457"/>
      <c r="NW2" s="457"/>
      <c r="NX2" s="457"/>
      <c r="NY2" s="457"/>
      <c r="NZ2" s="457"/>
      <c r="OA2" s="457"/>
      <c r="OB2" s="457"/>
      <c r="OC2" s="457"/>
      <c r="OD2" s="457"/>
      <c r="OE2" s="457"/>
      <c r="OF2" s="457"/>
      <c r="OG2" s="457"/>
      <c r="OH2" s="457"/>
      <c r="OI2" s="457"/>
      <c r="OJ2" s="457"/>
      <c r="OK2" s="457"/>
      <c r="OL2" s="457"/>
      <c r="OM2" s="457"/>
      <c r="ON2" s="457"/>
      <c r="OO2" s="457"/>
      <c r="OP2" s="457"/>
      <c r="OQ2" s="457"/>
      <c r="OR2" s="457"/>
      <c r="OS2" s="457"/>
      <c r="OT2" s="457"/>
      <c r="OU2" s="457"/>
      <c r="OV2" s="457"/>
      <c r="OW2" s="457"/>
      <c r="OX2" s="457"/>
      <c r="OY2" s="457"/>
      <c r="OZ2" s="457"/>
      <c r="PA2" s="457"/>
      <c r="PB2" s="457"/>
      <c r="PC2" s="457"/>
      <c r="PD2" s="457"/>
      <c r="PE2" s="457"/>
      <c r="PF2" s="457"/>
      <c r="PG2" s="457"/>
      <c r="PH2" s="457"/>
      <c r="PI2" s="457"/>
      <c r="PJ2" s="457"/>
      <c r="PK2" s="457"/>
      <c r="PL2" s="457"/>
      <c r="PM2" s="457"/>
      <c r="PN2" s="457"/>
      <c r="PO2" s="457"/>
      <c r="PP2" s="457"/>
      <c r="PQ2" s="457"/>
      <c r="PR2" s="457"/>
      <c r="PS2" s="457"/>
      <c r="PT2" s="457"/>
      <c r="PU2" s="457"/>
      <c r="PV2" s="457"/>
      <c r="PW2" s="457"/>
      <c r="PX2" s="457"/>
      <c r="PY2" s="457"/>
      <c r="PZ2" s="457"/>
      <c r="QA2" s="457"/>
      <c r="QB2" s="457"/>
      <c r="QC2" s="457"/>
      <c r="QD2" s="457"/>
      <c r="QE2" s="457"/>
      <c r="QF2" s="457"/>
      <c r="QG2" s="457"/>
      <c r="QH2" s="457"/>
      <c r="QI2" s="457"/>
      <c r="QJ2" s="457"/>
      <c r="QK2" s="457"/>
      <c r="QL2" s="457"/>
      <c r="QM2" s="457"/>
      <c r="QN2" s="457"/>
      <c r="QO2" s="457"/>
      <c r="QP2" s="457"/>
      <c r="QQ2" s="457"/>
      <c r="QR2" s="457"/>
      <c r="QS2" s="457"/>
      <c r="QT2" s="457"/>
      <c r="QU2" s="457"/>
      <c r="QV2" s="457"/>
      <c r="QW2" s="457"/>
      <c r="QX2" s="457"/>
      <c r="QY2" s="457"/>
      <c r="QZ2" s="457"/>
      <c r="RA2" s="457"/>
      <c r="RB2" s="457"/>
      <c r="RC2" s="457"/>
      <c r="RD2" s="457"/>
      <c r="RE2" s="457"/>
      <c r="RF2" s="457"/>
      <c r="RG2" s="457"/>
      <c r="RH2" s="457"/>
      <c r="RI2" s="457"/>
      <c r="RJ2" s="457"/>
      <c r="RK2" s="457"/>
      <c r="RL2" s="457"/>
      <c r="RM2" s="457"/>
      <c r="RN2" s="457"/>
      <c r="RO2" s="457"/>
      <c r="RP2" s="457"/>
      <c r="RQ2" s="457"/>
      <c r="RR2" s="457"/>
      <c r="RS2" s="457"/>
      <c r="RT2" s="457"/>
      <c r="RU2" s="457"/>
      <c r="RV2" s="457"/>
      <c r="RW2" s="457"/>
      <c r="RX2" s="457"/>
      <c r="RY2" s="457"/>
      <c r="RZ2" s="457"/>
      <c r="SA2" s="457"/>
      <c r="SB2" s="457"/>
      <c r="SC2" s="457"/>
      <c r="SD2" s="457"/>
      <c r="SE2" s="457"/>
      <c r="SF2" s="457"/>
      <c r="SG2" s="457"/>
      <c r="SH2" s="457"/>
      <c r="SI2" s="457"/>
      <c r="SJ2" s="457"/>
      <c r="SK2" s="457"/>
      <c r="SL2" s="457"/>
      <c r="SM2" s="457"/>
      <c r="SN2" s="457"/>
      <c r="SO2" s="457"/>
      <c r="SP2" s="457"/>
      <c r="SQ2" s="457"/>
      <c r="SR2" s="457"/>
      <c r="SS2" s="457"/>
      <c r="ST2" s="457"/>
      <c r="SU2" s="457"/>
      <c r="SV2" s="457"/>
      <c r="SW2" s="457"/>
      <c r="SX2" s="457"/>
      <c r="SY2" s="457"/>
      <c r="SZ2" s="457"/>
      <c r="TA2" s="457"/>
      <c r="TB2" s="457"/>
      <c r="TC2" s="457"/>
      <c r="TD2" s="457"/>
      <c r="TE2" s="457"/>
      <c r="TF2" s="457"/>
      <c r="TG2" s="457"/>
      <c r="TH2" s="457"/>
      <c r="TI2" s="457"/>
      <c r="TJ2" s="457"/>
      <c r="TK2" s="457"/>
      <c r="TL2" s="457"/>
      <c r="TM2" s="457"/>
      <c r="TN2" s="457"/>
      <c r="TO2" s="457"/>
      <c r="TP2" s="457"/>
      <c r="TQ2" s="457"/>
      <c r="TR2" s="457"/>
      <c r="TS2" s="457"/>
      <c r="TT2" s="457"/>
      <c r="TU2" s="457"/>
      <c r="TV2" s="457"/>
      <c r="TW2" s="457"/>
      <c r="TX2" s="457"/>
      <c r="TY2" s="457"/>
      <c r="TZ2" s="457"/>
      <c r="UA2" s="457"/>
      <c r="UB2" s="457"/>
      <c r="UC2" s="457"/>
      <c r="UD2" s="457"/>
      <c r="UE2" s="457"/>
      <c r="UF2" s="457"/>
      <c r="UG2" s="457"/>
      <c r="UH2" s="457"/>
      <c r="UI2" s="457"/>
      <c r="UJ2" s="457"/>
      <c r="UK2" s="457"/>
      <c r="UL2" s="457"/>
      <c r="UM2" s="457"/>
      <c r="UN2" s="457"/>
      <c r="UO2" s="457"/>
      <c r="UP2" s="457"/>
      <c r="UQ2" s="457"/>
      <c r="UR2" s="457"/>
      <c r="US2" s="457"/>
      <c r="UT2" s="457"/>
      <c r="UU2" s="457"/>
      <c r="UV2" s="457"/>
      <c r="UW2" s="457"/>
      <c r="UX2" s="457"/>
      <c r="UY2" s="457"/>
      <c r="UZ2" s="457"/>
      <c r="VA2" s="457"/>
      <c r="VB2" s="457"/>
      <c r="VC2" s="457"/>
      <c r="VD2" s="457"/>
      <c r="VE2" s="457"/>
      <c r="VF2" s="457"/>
      <c r="VG2" s="457"/>
      <c r="VH2" s="457"/>
      <c r="VI2" s="457"/>
      <c r="VJ2" s="457"/>
      <c r="VK2" s="457"/>
      <c r="VL2" s="457"/>
      <c r="VM2" s="457"/>
      <c r="VN2" s="457"/>
      <c r="VO2" s="457"/>
      <c r="VP2" s="457"/>
      <c r="VQ2" s="457"/>
      <c r="VR2" s="457"/>
      <c r="VS2" s="457"/>
      <c r="VT2" s="457"/>
      <c r="VU2" s="457"/>
      <c r="VV2" s="457"/>
      <c r="VW2" s="457"/>
      <c r="VX2" s="457"/>
      <c r="VY2" s="457"/>
      <c r="VZ2" s="457"/>
      <c r="WA2" s="457"/>
      <c r="WB2" s="457"/>
      <c r="WC2" s="457"/>
      <c r="WD2" s="457"/>
      <c r="WE2" s="457"/>
      <c r="WF2" s="457"/>
      <c r="WG2" s="457"/>
      <c r="WH2" s="457"/>
      <c r="WI2" s="457"/>
      <c r="WJ2" s="457"/>
      <c r="WK2" s="457"/>
      <c r="WL2" s="457"/>
      <c r="WM2" s="457"/>
      <c r="WN2" s="457"/>
      <c r="WO2" s="457"/>
      <c r="WP2" s="457"/>
      <c r="WQ2" s="457"/>
      <c r="WR2" s="457"/>
      <c r="WS2" s="457"/>
      <c r="WT2" s="457"/>
      <c r="WU2" s="457"/>
      <c r="WV2" s="457"/>
      <c r="WW2" s="457"/>
      <c r="WX2" s="457"/>
      <c r="WY2" s="457"/>
      <c r="WZ2" s="457"/>
      <c r="XA2" s="457"/>
      <c r="XB2" s="457"/>
      <c r="XC2" s="457"/>
      <c r="XD2" s="457"/>
      <c r="XE2" s="457"/>
      <c r="XF2" s="457"/>
      <c r="XG2" s="457"/>
      <c r="XH2" s="457"/>
      <c r="XI2" s="457"/>
      <c r="XJ2" s="457"/>
      <c r="XK2" s="457"/>
      <c r="XL2" s="457"/>
      <c r="XM2" s="457"/>
      <c r="XN2" s="457"/>
      <c r="XO2" s="457"/>
      <c r="XP2" s="457"/>
      <c r="XQ2" s="457"/>
      <c r="XR2" s="457"/>
      <c r="XS2" s="457"/>
      <c r="XT2" s="457"/>
      <c r="XU2" s="457"/>
      <c r="XV2" s="457"/>
      <c r="XW2" s="457"/>
      <c r="XX2" s="457"/>
      <c r="XY2" s="457"/>
      <c r="XZ2" s="457"/>
      <c r="YA2" s="457"/>
      <c r="YB2" s="457"/>
      <c r="YC2" s="457"/>
      <c r="YD2" s="457"/>
      <c r="YE2" s="457"/>
      <c r="YF2" s="457"/>
      <c r="YG2" s="457"/>
      <c r="YH2" s="457"/>
      <c r="YI2" s="457"/>
      <c r="YJ2" s="457"/>
      <c r="YK2" s="457"/>
      <c r="YL2" s="457"/>
      <c r="YM2" s="457"/>
      <c r="YN2" s="457"/>
      <c r="YO2" s="457"/>
      <c r="YP2" s="457"/>
      <c r="YQ2" s="457"/>
      <c r="YR2" s="457"/>
      <c r="YS2" s="457"/>
      <c r="YT2" s="457"/>
      <c r="YU2" s="457"/>
      <c r="YV2" s="457"/>
      <c r="YW2" s="457"/>
      <c r="YX2" s="457"/>
      <c r="YY2" s="457"/>
      <c r="YZ2" s="457"/>
      <c r="ZA2" s="457"/>
      <c r="ZB2" s="457"/>
      <c r="ZC2" s="457"/>
      <c r="ZD2" s="457"/>
      <c r="ZE2" s="457"/>
      <c r="ZF2" s="457"/>
      <c r="ZG2" s="457"/>
      <c r="ZH2" s="457"/>
      <c r="ZI2" s="457"/>
      <c r="ZJ2" s="457"/>
      <c r="ZK2" s="457"/>
      <c r="ZL2" s="457"/>
      <c r="ZM2" s="457"/>
      <c r="ZN2" s="457"/>
      <c r="ZO2" s="457"/>
      <c r="ZP2" s="457"/>
      <c r="ZQ2" s="457"/>
      <c r="ZR2" s="457"/>
      <c r="ZS2" s="457"/>
      <c r="ZT2" s="457"/>
      <c r="ZU2" s="457"/>
      <c r="ZV2" s="457"/>
      <c r="ZW2" s="457"/>
      <c r="ZX2" s="457"/>
      <c r="ZY2" s="457"/>
      <c r="ZZ2" s="457"/>
      <c r="AAA2" s="457"/>
      <c r="AAB2" s="457"/>
      <c r="AAC2" s="457"/>
      <c r="AAD2" s="457"/>
      <c r="AAE2" s="457"/>
      <c r="AAF2" s="457"/>
      <c r="AAG2" s="457"/>
      <c r="AAH2" s="457"/>
      <c r="AAI2" s="457"/>
      <c r="AAJ2" s="457"/>
      <c r="AAK2" s="457"/>
      <c r="AAL2" s="457"/>
      <c r="AAM2" s="457"/>
      <c r="AAN2" s="457"/>
      <c r="AAO2" s="457"/>
      <c r="AAP2" s="457"/>
      <c r="AAQ2" s="457"/>
      <c r="AAR2" s="457"/>
      <c r="AAS2" s="457"/>
      <c r="AAT2" s="457"/>
      <c r="AAU2" s="457"/>
      <c r="AAV2" s="457"/>
      <c r="AAW2" s="457"/>
      <c r="AAX2" s="457"/>
      <c r="AAY2" s="457"/>
      <c r="AAZ2" s="457"/>
      <c r="ABA2" s="457"/>
      <c r="ABB2" s="457"/>
      <c r="ABC2" s="457"/>
      <c r="ABD2" s="457"/>
      <c r="ABE2" s="457"/>
      <c r="ABF2" s="457"/>
      <c r="ABG2" s="457"/>
      <c r="ABH2" s="457"/>
      <c r="ABI2" s="457"/>
      <c r="ABJ2" s="457"/>
      <c r="ABK2" s="457"/>
      <c r="ABL2" s="457"/>
      <c r="ABM2" s="457"/>
      <c r="ABN2" s="457"/>
      <c r="ABO2" s="457"/>
      <c r="ABP2" s="457"/>
      <c r="ABQ2" s="457"/>
      <c r="ABR2" s="457"/>
      <c r="ABS2" s="457"/>
      <c r="ABT2" s="457"/>
      <c r="ABU2" s="457"/>
      <c r="ABV2" s="457"/>
      <c r="ABW2" s="457"/>
      <c r="ABX2" s="457"/>
      <c r="ABY2" s="457"/>
      <c r="ABZ2" s="457"/>
      <c r="ACA2" s="457"/>
      <c r="ACB2" s="457"/>
      <c r="ACC2" s="457"/>
      <c r="ACD2" s="457"/>
      <c r="ACE2" s="457"/>
      <c r="ACF2" s="457"/>
      <c r="ACG2" s="457"/>
      <c r="ACH2" s="457"/>
      <c r="ACI2" s="457"/>
      <c r="ACJ2" s="457"/>
      <c r="ACK2" s="457"/>
      <c r="ACL2" s="457"/>
      <c r="ACM2" s="457"/>
      <c r="ACN2" s="457"/>
      <c r="ACO2" s="457"/>
      <c r="ACP2" s="457"/>
      <c r="ACQ2" s="457"/>
      <c r="ACR2" s="457"/>
      <c r="ACS2" s="457"/>
      <c r="ACT2" s="457"/>
      <c r="ACU2" s="457"/>
      <c r="ACV2" s="457"/>
      <c r="ACW2" s="457"/>
      <c r="ACX2" s="457"/>
      <c r="ACY2" s="457"/>
      <c r="ACZ2" s="457"/>
      <c r="ADA2" s="457"/>
      <c r="ADB2" s="457"/>
      <c r="ADC2" s="457"/>
      <c r="ADD2" s="457"/>
      <c r="ADE2" s="457"/>
      <c r="ADF2" s="457"/>
      <c r="ADG2" s="457"/>
      <c r="ADH2" s="457"/>
      <c r="ADI2" s="457"/>
      <c r="ADJ2" s="457"/>
      <c r="ADK2" s="457"/>
      <c r="ADL2" s="457"/>
      <c r="ADM2" s="457"/>
      <c r="ADN2" s="457"/>
      <c r="ADO2" s="457"/>
      <c r="ADP2" s="457"/>
      <c r="ADQ2" s="457"/>
      <c r="ADR2" s="457"/>
      <c r="ADS2" s="457"/>
      <c r="ADT2" s="457"/>
      <c r="ADU2" s="457"/>
      <c r="ADV2" s="457"/>
      <c r="ADW2" s="457"/>
      <c r="ADX2" s="457"/>
      <c r="ADY2" s="457"/>
      <c r="ADZ2" s="457"/>
      <c r="AEA2" s="457"/>
      <c r="AEB2" s="457"/>
      <c r="AEC2" s="457"/>
      <c r="AED2" s="457"/>
      <c r="AEE2" s="457"/>
      <c r="AEF2" s="457"/>
      <c r="AEG2" s="457"/>
      <c r="AEH2" s="457"/>
      <c r="AEI2" s="457"/>
      <c r="AEJ2" s="457"/>
      <c r="AEK2" s="457"/>
      <c r="AEL2" s="457"/>
      <c r="AEM2" s="457"/>
      <c r="AEN2" s="457"/>
      <c r="AEO2" s="457"/>
      <c r="AEP2" s="457"/>
      <c r="AEQ2" s="457"/>
      <c r="AER2" s="457"/>
      <c r="AES2" s="457"/>
      <c r="AET2" s="457"/>
      <c r="AEU2" s="457"/>
      <c r="AEV2" s="457"/>
      <c r="AEW2" s="457"/>
      <c r="AEX2" s="457"/>
      <c r="AEY2" s="457"/>
      <c r="AEZ2" s="457"/>
      <c r="AFA2" s="457"/>
      <c r="AFB2" s="457"/>
      <c r="AFC2" s="457"/>
      <c r="AFD2" s="457"/>
      <c r="AFE2" s="457"/>
      <c r="AFF2" s="457"/>
      <c r="AFG2" s="457"/>
      <c r="AFH2" s="457"/>
      <c r="AFI2" s="457"/>
      <c r="AFJ2" s="457"/>
      <c r="AFK2" s="457"/>
      <c r="AFL2" s="457"/>
      <c r="AFM2" s="457"/>
      <c r="AFN2" s="457"/>
      <c r="AFO2" s="457"/>
      <c r="AFP2" s="457"/>
      <c r="AFQ2" s="457"/>
      <c r="AFR2" s="457"/>
      <c r="AFS2" s="457"/>
      <c r="AFT2" s="457"/>
      <c r="AFU2" s="457"/>
      <c r="AFV2" s="457"/>
      <c r="AFW2" s="457"/>
      <c r="AFX2" s="457"/>
      <c r="AFY2" s="457"/>
      <c r="AFZ2" s="457"/>
      <c r="AGA2" s="457"/>
      <c r="AGB2" s="457"/>
      <c r="AGC2" s="457"/>
      <c r="AGD2" s="457"/>
      <c r="AGE2" s="457"/>
      <c r="AGF2" s="457"/>
      <c r="AGG2" s="457"/>
      <c r="AGH2" s="457"/>
      <c r="AGI2" s="457"/>
      <c r="AGJ2" s="457"/>
      <c r="AGK2" s="457"/>
      <c r="AGL2" s="457"/>
      <c r="AGM2" s="457"/>
      <c r="AGN2" s="457"/>
      <c r="AGO2" s="457"/>
      <c r="AGP2" s="457"/>
      <c r="AGQ2" s="457"/>
    </row>
    <row r="3" spans="1:875" x14ac:dyDescent="0.25">
      <c r="B3" s="493" t="s">
        <v>611</v>
      </c>
      <c r="C3" s="462">
        <v>400</v>
      </c>
      <c r="D3" s="462">
        <v>600</v>
      </c>
      <c r="E3" s="462">
        <v>800</v>
      </c>
      <c r="F3" s="265">
        <v>0.1</v>
      </c>
      <c r="G3" s="463">
        <f>+C3/$F3</f>
        <v>4000</v>
      </c>
      <c r="H3" s="463">
        <f t="shared" ref="H3:I6" si="0">+D3/$F3</f>
        <v>6000</v>
      </c>
      <c r="I3" s="464">
        <f t="shared" si="0"/>
        <v>8000</v>
      </c>
      <c r="J3" s="483">
        <v>160</v>
      </c>
      <c r="K3" s="147">
        <v>0.45</v>
      </c>
      <c r="L3" s="465">
        <f>+J3*K3</f>
        <v>72</v>
      </c>
      <c r="M3" s="465">
        <f>+J3-L3</f>
        <v>88</v>
      </c>
      <c r="N3" s="465"/>
      <c r="O3" s="6"/>
      <c r="P3" s="465"/>
      <c r="Q3" s="465"/>
      <c r="R3" s="465">
        <f>+M3+Q3</f>
        <v>88</v>
      </c>
      <c r="S3" s="466" t="s">
        <v>487</v>
      </c>
      <c r="T3" s="464">
        <f>HLOOKUP(S3,G2:I6,2,TRUE)</f>
        <v>4000</v>
      </c>
      <c r="U3" s="489">
        <v>0.15</v>
      </c>
      <c r="V3" s="465">
        <f>+R3*1000/T3*U3</f>
        <v>3.3</v>
      </c>
      <c r="W3" s="466" t="s">
        <v>487</v>
      </c>
      <c r="X3" s="464">
        <f>HLOOKUP(W3,G2:I6,2,TRUE)</f>
        <v>4000</v>
      </c>
      <c r="Y3" s="147">
        <v>0.15</v>
      </c>
      <c r="Z3" s="494">
        <f>+M3*1000/X3*Y3</f>
        <v>3.3</v>
      </c>
    </row>
    <row r="4" spans="1:875" x14ac:dyDescent="0.25">
      <c r="B4" s="495" t="s">
        <v>612</v>
      </c>
      <c r="C4" s="462">
        <v>400</v>
      </c>
      <c r="D4" s="462">
        <v>600</v>
      </c>
      <c r="E4" s="462">
        <v>800</v>
      </c>
      <c r="F4" s="266">
        <v>0.1</v>
      </c>
      <c r="G4" s="469">
        <f>+C4/$F4</f>
        <v>4000</v>
      </c>
      <c r="H4" s="469">
        <f t="shared" si="0"/>
        <v>6000</v>
      </c>
      <c r="I4" s="468">
        <f t="shared" si="0"/>
        <v>8000</v>
      </c>
      <c r="J4" s="482">
        <v>375</v>
      </c>
      <c r="K4" s="147">
        <v>0.45</v>
      </c>
      <c r="L4" s="470">
        <f>+J4*K4</f>
        <v>168.75</v>
      </c>
      <c r="M4" s="470">
        <f>+J4-L4</f>
        <v>206.25</v>
      </c>
      <c r="N4" s="470"/>
      <c r="O4" s="5"/>
      <c r="P4" s="470"/>
      <c r="Q4" s="470"/>
      <c r="R4" s="470">
        <f>+M4+Q4</f>
        <v>206.25</v>
      </c>
      <c r="S4" s="471" t="s">
        <v>487</v>
      </c>
      <c r="T4" s="468">
        <f>HLOOKUP(S4,G2:I6,3,TRUE)</f>
        <v>4000</v>
      </c>
      <c r="U4" s="488">
        <v>0.35</v>
      </c>
      <c r="V4" s="470">
        <f>+R4*1000/T4*U4</f>
        <v>18.046875</v>
      </c>
      <c r="W4" s="471" t="s">
        <v>487</v>
      </c>
      <c r="X4" s="468">
        <f>HLOOKUP(W4,$G$2:$I$6,3,TRUE)</f>
        <v>4000</v>
      </c>
      <c r="Y4" s="148">
        <v>0.35</v>
      </c>
      <c r="Z4" s="496">
        <f>+M4*1000/X4*Y4</f>
        <v>18.046875</v>
      </c>
    </row>
    <row r="5" spans="1:875" x14ac:dyDescent="0.25">
      <c r="B5" s="495" t="s">
        <v>613</v>
      </c>
      <c r="C5" s="462">
        <v>170</v>
      </c>
      <c r="D5" s="462">
        <v>250</v>
      </c>
      <c r="E5" s="462">
        <v>375</v>
      </c>
      <c r="F5" s="266">
        <v>0.1</v>
      </c>
      <c r="G5" s="469">
        <f>+C5/$F5</f>
        <v>1700</v>
      </c>
      <c r="H5" s="469">
        <f t="shared" si="0"/>
        <v>2500</v>
      </c>
      <c r="I5" s="468">
        <f t="shared" si="0"/>
        <v>3750</v>
      </c>
      <c r="J5" s="482">
        <v>64</v>
      </c>
      <c r="K5" s="147">
        <v>0.45</v>
      </c>
      <c r="L5" s="470">
        <f>+J5*K5</f>
        <v>28.8</v>
      </c>
      <c r="M5" s="470">
        <f>+J5-L5</f>
        <v>35.200000000000003</v>
      </c>
      <c r="N5" s="470"/>
      <c r="O5" s="5"/>
      <c r="P5" s="470"/>
      <c r="Q5" s="470"/>
      <c r="R5" s="470">
        <f>+M5+Q5</f>
        <v>35.200000000000003</v>
      </c>
      <c r="S5" s="471" t="s">
        <v>487</v>
      </c>
      <c r="T5" s="468">
        <f>HLOOKUP(S5,G2:I6,4,TRUE)</f>
        <v>1700</v>
      </c>
      <c r="U5" s="488">
        <v>7.0000000000000007E-2</v>
      </c>
      <c r="V5" s="470">
        <f>+R5*1000/T5*U5</f>
        <v>1.4494117647058826</v>
      </c>
      <c r="W5" s="471" t="s">
        <v>487</v>
      </c>
      <c r="X5" s="468">
        <f>HLOOKUP(W5,$G$2:$I$6,4,TRUE)</f>
        <v>1700</v>
      </c>
      <c r="Y5" s="148">
        <v>7.0000000000000007E-2</v>
      </c>
      <c r="Z5" s="496">
        <f>+M5*1000/X5*Y5</f>
        <v>1.4494117647058826</v>
      </c>
    </row>
    <row r="6" spans="1:875" ht="16.5" thickBot="1" x14ac:dyDescent="0.3">
      <c r="B6" s="497" t="s">
        <v>614</v>
      </c>
      <c r="C6" s="498">
        <f>30*60*0.4</f>
        <v>720</v>
      </c>
      <c r="D6" s="498">
        <f>41*60*0.4</f>
        <v>984</v>
      </c>
      <c r="E6" s="498">
        <f>62*60*0.4</f>
        <v>1488</v>
      </c>
      <c r="F6" s="499">
        <v>0.1</v>
      </c>
      <c r="G6" s="500">
        <f>+C6/$F6</f>
        <v>7200</v>
      </c>
      <c r="H6" s="500">
        <f t="shared" si="0"/>
        <v>9840</v>
      </c>
      <c r="I6" s="501">
        <f t="shared" si="0"/>
        <v>14880</v>
      </c>
      <c r="J6" s="502">
        <v>460</v>
      </c>
      <c r="K6" s="503">
        <v>0.45</v>
      </c>
      <c r="L6" s="504">
        <f>+J6*K6</f>
        <v>207</v>
      </c>
      <c r="M6" s="504">
        <f>+J6-L6</f>
        <v>253</v>
      </c>
      <c r="N6" s="504"/>
      <c r="O6" s="505"/>
      <c r="P6" s="504"/>
      <c r="Q6" s="504"/>
      <c r="R6" s="504">
        <f>+M6+Q6</f>
        <v>253</v>
      </c>
      <c r="S6" s="506" t="s">
        <v>487</v>
      </c>
      <c r="T6" s="501">
        <f>HLOOKUP(S6,G2:I6,5,TRUE)</f>
        <v>7200</v>
      </c>
      <c r="U6" s="507">
        <v>0.43</v>
      </c>
      <c r="V6" s="504">
        <f>+R6*1000/T6*U6</f>
        <v>15.109722222222221</v>
      </c>
      <c r="W6" s="506" t="s">
        <v>487</v>
      </c>
      <c r="X6" s="501">
        <f>HLOOKUP(W6,$G$2:$I$6,5,TRUE)</f>
        <v>7200</v>
      </c>
      <c r="Y6" s="508">
        <v>0.43</v>
      </c>
      <c r="Z6" s="509">
        <f>+M6*1000/X6*Y6</f>
        <v>15.109722222222221</v>
      </c>
    </row>
    <row r="7" spans="1:875" ht="17.25" thickBot="1" x14ac:dyDescent="0.35">
      <c r="C7" s="484"/>
      <c r="D7" s="484"/>
      <c r="E7" s="484"/>
      <c r="F7" s="484"/>
      <c r="G7" s="484"/>
      <c r="H7" s="484"/>
      <c r="I7" s="484"/>
      <c r="J7" s="473"/>
      <c r="K7" s="474"/>
      <c r="L7" s="1"/>
      <c r="N7" s="382"/>
      <c r="O7" s="382"/>
      <c r="P7" s="382"/>
      <c r="Q7" s="382"/>
      <c r="R7" s="382"/>
      <c r="S7" s="862" t="s">
        <v>98</v>
      </c>
      <c r="T7" s="863"/>
      <c r="U7" s="485">
        <f>SUM(U3:U6)</f>
        <v>1</v>
      </c>
      <c r="V7" s="486">
        <f>SUM(V3:V6)</f>
        <v>37.9060089869281</v>
      </c>
      <c r="W7" s="864"/>
      <c r="X7" s="865"/>
      <c r="Y7" s="485">
        <f>SUM(Y3:Y6)</f>
        <v>1</v>
      </c>
      <c r="Z7" s="487">
        <f>SUM(Z3:Z6)</f>
        <v>37.9060089869281</v>
      </c>
    </row>
    <row r="8" spans="1:875" x14ac:dyDescent="0.25">
      <c r="C8" s="472"/>
      <c r="D8" s="472"/>
      <c r="E8" s="472"/>
      <c r="F8" s="472"/>
      <c r="G8" s="472"/>
      <c r="H8" s="472"/>
      <c r="I8" s="472"/>
      <c r="J8" s="473"/>
      <c r="K8" s="474"/>
      <c r="L8" s="1"/>
      <c r="X8" s="474"/>
      <c r="Y8" s="474"/>
      <c r="Z8" s="474"/>
      <c r="AA8" s="472"/>
    </row>
    <row r="9" spans="1:875" ht="16.5" x14ac:dyDescent="0.3">
      <c r="B9" s="322" t="s">
        <v>536</v>
      </c>
      <c r="C9" s="476"/>
      <c r="D9" s="476"/>
      <c r="E9" s="476"/>
      <c r="M9" s="477"/>
      <c r="X9" s="474"/>
      <c r="Y9" s="247"/>
      <c r="Z9" s="247"/>
      <c r="AA9" s="472"/>
    </row>
    <row r="10" spans="1:875" x14ac:dyDescent="0.25">
      <c r="B10" s="478" t="s">
        <v>537</v>
      </c>
      <c r="D10" s="476"/>
      <c r="E10" s="476"/>
      <c r="M10" s="477"/>
      <c r="T10" s="246"/>
      <c r="U10" s="246"/>
      <c r="V10" s="247"/>
      <c r="W10" s="247"/>
      <c r="X10" s="474"/>
      <c r="Y10" s="246"/>
      <c r="Z10" s="247"/>
      <c r="AA10" s="472"/>
    </row>
    <row r="11" spans="1:875" x14ac:dyDescent="0.25">
      <c r="B11" s="467" t="s">
        <v>615</v>
      </c>
      <c r="C11" s="457"/>
      <c r="D11" s="476"/>
      <c r="E11" s="476"/>
      <c r="M11" s="477"/>
      <c r="T11" s="246"/>
      <c r="U11" s="246"/>
      <c r="V11" s="247"/>
      <c r="W11" s="247"/>
      <c r="X11" s="474"/>
      <c r="Y11" s="246"/>
      <c r="Z11" s="247"/>
      <c r="AA11" s="472"/>
    </row>
    <row r="12" spans="1:875" x14ac:dyDescent="0.25">
      <c r="D12" s="476"/>
      <c r="E12" s="476"/>
      <c r="M12" s="477"/>
      <c r="T12" s="246"/>
      <c r="U12" s="246"/>
      <c r="V12" s="247"/>
      <c r="W12" s="247"/>
      <c r="Y12" s="246"/>
      <c r="Z12" s="247"/>
    </row>
    <row r="13" spans="1:875" ht="16.5" x14ac:dyDescent="0.3">
      <c r="B13" s="322" t="s">
        <v>589</v>
      </c>
      <c r="D13" s="476"/>
      <c r="E13" s="476"/>
      <c r="M13" s="477"/>
      <c r="T13" s="246"/>
      <c r="U13" s="246"/>
      <c r="V13" s="247"/>
      <c r="W13" s="247"/>
      <c r="Y13" s="246"/>
      <c r="Z13" s="247"/>
    </row>
    <row r="14" spans="1:875" x14ac:dyDescent="0.25">
      <c r="B14" s="467" t="s">
        <v>616</v>
      </c>
      <c r="D14" s="476"/>
      <c r="E14" s="476"/>
      <c r="M14" s="477"/>
      <c r="T14" s="246"/>
      <c r="U14" s="246"/>
      <c r="V14" s="247"/>
      <c r="W14" s="247"/>
      <c r="Y14" s="246"/>
      <c r="Z14" s="247"/>
    </row>
    <row r="15" spans="1:875" x14ac:dyDescent="0.25">
      <c r="D15" s="476"/>
      <c r="E15" s="476"/>
      <c r="M15" s="477"/>
      <c r="T15" s="246"/>
      <c r="U15" s="246"/>
      <c r="V15" s="247"/>
      <c r="W15" s="247"/>
      <c r="Y15" s="246"/>
      <c r="Z15" s="247"/>
    </row>
    <row r="16" spans="1:875" ht="16.5" x14ac:dyDescent="0.3">
      <c r="B16" s="322" t="s">
        <v>540</v>
      </c>
      <c r="D16" s="476"/>
      <c r="E16" s="476"/>
      <c r="M16" s="477"/>
      <c r="T16" s="246"/>
      <c r="U16" s="246"/>
      <c r="V16" s="247"/>
      <c r="W16" s="247"/>
      <c r="Y16" s="246"/>
      <c r="Z16" s="247"/>
    </row>
    <row r="17" spans="2:26" x14ac:dyDescent="0.25">
      <c r="B17" s="467" t="s">
        <v>617</v>
      </c>
      <c r="D17" s="476"/>
      <c r="E17" s="476"/>
      <c r="M17" s="477"/>
      <c r="T17" s="246"/>
      <c r="U17" s="246"/>
      <c r="V17" s="247"/>
      <c r="W17" s="247"/>
      <c r="Y17" s="246"/>
      <c r="Z17" s="247"/>
    </row>
    <row r="18" spans="2:26" x14ac:dyDescent="0.25">
      <c r="B18" s="467" t="s">
        <v>618</v>
      </c>
      <c r="D18" s="476"/>
      <c r="E18" s="476"/>
      <c r="M18" s="477"/>
      <c r="T18" s="246"/>
      <c r="U18" s="246"/>
      <c r="V18" s="247"/>
      <c r="W18" s="247"/>
      <c r="Y18" s="246"/>
      <c r="Z18" s="247"/>
    </row>
    <row r="19" spans="2:26" x14ac:dyDescent="0.25">
      <c r="B19" s="467" t="s">
        <v>619</v>
      </c>
      <c r="D19" s="476"/>
      <c r="E19" s="476"/>
      <c r="M19" s="477"/>
      <c r="T19" s="246"/>
      <c r="U19" s="246"/>
      <c r="V19" s="247"/>
      <c r="W19" s="247"/>
      <c r="Y19" s="246"/>
      <c r="Z19" s="247"/>
    </row>
    <row r="20" spans="2:26" x14ac:dyDescent="0.25">
      <c r="B20" s="467" t="s">
        <v>620</v>
      </c>
      <c r="D20" s="476"/>
      <c r="E20" s="476"/>
      <c r="M20" s="477"/>
      <c r="T20" s="246"/>
      <c r="U20" s="246"/>
      <c r="V20" s="247"/>
      <c r="W20" s="247"/>
      <c r="Y20" s="246"/>
      <c r="Z20" s="247"/>
    </row>
    <row r="21" spans="2:26" x14ac:dyDescent="0.25">
      <c r="B21" s="467" t="s">
        <v>621</v>
      </c>
      <c r="D21" s="476"/>
      <c r="E21" s="476"/>
      <c r="M21" s="477"/>
      <c r="T21" s="246"/>
      <c r="U21" s="246"/>
      <c r="V21" s="247"/>
      <c r="W21" s="247"/>
      <c r="Y21" s="246"/>
      <c r="Z21" s="247"/>
    </row>
    <row r="22" spans="2:26" x14ac:dyDescent="0.25">
      <c r="C22" s="476"/>
      <c r="D22" s="476"/>
      <c r="E22" s="476"/>
      <c r="M22" s="477"/>
      <c r="T22" s="246"/>
      <c r="U22" s="246"/>
      <c r="V22" s="247"/>
      <c r="W22" s="247"/>
      <c r="Y22" s="246"/>
      <c r="Z22" s="247"/>
    </row>
    <row r="23" spans="2:26" x14ac:dyDescent="0.25">
      <c r="C23" s="476"/>
      <c r="D23" s="476"/>
      <c r="E23" s="476"/>
      <c r="M23" s="477"/>
      <c r="T23" s="246"/>
      <c r="U23" s="246"/>
      <c r="V23" s="247"/>
      <c r="W23" s="247"/>
      <c r="Y23" s="246"/>
      <c r="Z23" s="247"/>
    </row>
    <row r="24" spans="2:26" x14ac:dyDescent="0.25">
      <c r="B24" s="467" t="s">
        <v>622</v>
      </c>
    </row>
    <row r="25" spans="2:26" ht="16.5" x14ac:dyDescent="0.3">
      <c r="B25" s="316" t="s">
        <v>623</v>
      </c>
    </row>
    <row r="26" spans="2:26" ht="16.5" x14ac:dyDescent="0.3">
      <c r="B26" s="316" t="s">
        <v>624</v>
      </c>
      <c r="K26" s="479"/>
      <c r="M26" s="479"/>
    </row>
    <row r="27" spans="2:26" ht="16.5" x14ac:dyDescent="0.3">
      <c r="B27" s="316" t="s">
        <v>625</v>
      </c>
      <c r="D27" s="480"/>
      <c r="J27" s="467"/>
      <c r="M27" s="477"/>
      <c r="N27" s="2"/>
    </row>
    <row r="28" spans="2:26" x14ac:dyDescent="0.25">
      <c r="D28" s="480"/>
      <c r="J28" s="467"/>
      <c r="L28" s="467"/>
      <c r="M28" s="477"/>
      <c r="N28" s="2"/>
      <c r="X28" s="467"/>
      <c r="Y28" s="467"/>
      <c r="Z28" s="467"/>
    </row>
    <row r="29" spans="2:26" x14ac:dyDescent="0.25">
      <c r="E29" s="480"/>
      <c r="J29" s="467"/>
      <c r="K29" s="467"/>
      <c r="L29" s="467"/>
      <c r="M29" s="477"/>
      <c r="N29" s="2"/>
      <c r="X29" s="467"/>
      <c r="Y29" s="467"/>
      <c r="Z29" s="467"/>
    </row>
    <row r="30" spans="2:26" x14ac:dyDescent="0.25">
      <c r="E30" s="480"/>
      <c r="J30" s="467"/>
      <c r="K30" s="467"/>
      <c r="L30" s="467"/>
      <c r="M30" s="477"/>
      <c r="N30" s="2"/>
      <c r="Z30" s="467"/>
    </row>
    <row r="31" spans="2:26" x14ac:dyDescent="0.25">
      <c r="B31" s="475"/>
      <c r="C31" s="475"/>
      <c r="D31" s="475"/>
      <c r="E31" s="475"/>
      <c r="F31" s="475"/>
      <c r="J31" s="467"/>
      <c r="K31" s="467"/>
      <c r="L31" s="167"/>
      <c r="M31" s="477"/>
      <c r="N31" s="2"/>
    </row>
    <row r="32" spans="2:26" x14ac:dyDescent="0.25">
      <c r="B32" s="475"/>
      <c r="C32" s="475"/>
      <c r="D32" s="475"/>
      <c r="E32" s="475"/>
      <c r="F32" s="475"/>
      <c r="J32" s="467"/>
      <c r="K32" s="467"/>
      <c r="L32" s="467"/>
    </row>
    <row r="33" spans="2:26" ht="64.150000000000006" customHeight="1" x14ac:dyDescent="0.25">
      <c r="B33" s="877" t="s">
        <v>626</v>
      </c>
      <c r="C33" s="878"/>
      <c r="D33" s="879"/>
      <c r="G33" s="877" t="s">
        <v>627</v>
      </c>
      <c r="H33" s="878"/>
      <c r="I33" s="879"/>
      <c r="K33" s="880" t="s">
        <v>628</v>
      </c>
      <c r="L33" s="880"/>
      <c r="Z33" s="467"/>
    </row>
    <row r="34" spans="2:26" ht="13.15" customHeight="1" x14ac:dyDescent="0.25">
      <c r="B34" s="515" t="s">
        <v>521</v>
      </c>
      <c r="C34" s="515" t="s">
        <v>629</v>
      </c>
      <c r="D34" s="515" t="s">
        <v>630</v>
      </c>
      <c r="G34" s="515" t="s">
        <v>521</v>
      </c>
      <c r="H34" s="515" t="s">
        <v>629</v>
      </c>
      <c r="I34" s="515" t="s">
        <v>631</v>
      </c>
      <c r="K34" s="515" t="s">
        <v>632</v>
      </c>
      <c r="L34" s="515" t="s">
        <v>633</v>
      </c>
      <c r="N34" s="515" t="s">
        <v>634</v>
      </c>
      <c r="Z34" s="467"/>
    </row>
    <row r="35" spans="2:26" ht="13.15" customHeight="1" x14ac:dyDescent="0.25">
      <c r="B35" s="515" t="s">
        <v>484</v>
      </c>
      <c r="C35" s="515" t="s">
        <v>635</v>
      </c>
      <c r="D35" s="515">
        <v>65</v>
      </c>
      <c r="G35" s="515" t="s">
        <v>484</v>
      </c>
      <c r="H35" s="515" t="s">
        <v>636</v>
      </c>
      <c r="I35" s="515">
        <v>150</v>
      </c>
      <c r="K35" s="515" t="s">
        <v>521</v>
      </c>
      <c r="L35" s="515" t="s">
        <v>637</v>
      </c>
      <c r="N35" s="515" t="s">
        <v>638</v>
      </c>
    </row>
    <row r="36" spans="2:26" ht="13.15" customHeight="1" x14ac:dyDescent="0.25">
      <c r="B36" s="515" t="s">
        <v>486</v>
      </c>
      <c r="C36" s="515" t="s">
        <v>639</v>
      </c>
      <c r="D36" s="515">
        <v>105</v>
      </c>
      <c r="G36" s="515" t="s">
        <v>486</v>
      </c>
      <c r="H36" s="515" t="s">
        <v>640</v>
      </c>
      <c r="I36" s="515">
        <v>230</v>
      </c>
      <c r="K36" s="515" t="s">
        <v>484</v>
      </c>
      <c r="L36" s="515" t="s">
        <v>641</v>
      </c>
      <c r="N36" s="515" t="s">
        <v>642</v>
      </c>
    </row>
    <row r="37" spans="2:26" ht="13.15" customHeight="1" x14ac:dyDescent="0.25">
      <c r="B37" s="515" t="s">
        <v>487</v>
      </c>
      <c r="C37" s="515" t="s">
        <v>643</v>
      </c>
      <c r="D37" s="515">
        <v>170</v>
      </c>
      <c r="G37" s="515" t="s">
        <v>487</v>
      </c>
      <c r="H37" s="515" t="s">
        <v>644</v>
      </c>
      <c r="I37" s="515">
        <v>350</v>
      </c>
      <c r="K37" s="515" t="s">
        <v>486</v>
      </c>
      <c r="L37" s="515" t="s">
        <v>645</v>
      </c>
      <c r="N37" s="515" t="s">
        <v>646</v>
      </c>
    </row>
    <row r="38" spans="2:26" ht="13.15" customHeight="1" x14ac:dyDescent="0.25">
      <c r="B38" s="515" t="s">
        <v>488</v>
      </c>
      <c r="C38" s="515" t="s">
        <v>647</v>
      </c>
      <c r="D38" s="515">
        <v>250</v>
      </c>
      <c r="G38" s="515" t="s">
        <v>488</v>
      </c>
      <c r="H38" s="515" t="s">
        <v>648</v>
      </c>
      <c r="I38" s="515">
        <v>500</v>
      </c>
      <c r="K38" s="515" t="s">
        <v>487</v>
      </c>
      <c r="L38" s="515" t="s">
        <v>649</v>
      </c>
      <c r="N38" s="515" t="s">
        <v>650</v>
      </c>
    </row>
    <row r="39" spans="2:26" ht="13.15" customHeight="1" x14ac:dyDescent="0.25">
      <c r="B39" s="515" t="s">
        <v>485</v>
      </c>
      <c r="C39" s="515" t="s">
        <v>651</v>
      </c>
      <c r="D39" s="515">
        <v>325</v>
      </c>
      <c r="G39" s="515" t="s">
        <v>485</v>
      </c>
      <c r="H39" s="515" t="s">
        <v>652</v>
      </c>
      <c r="I39" s="515">
        <v>630</v>
      </c>
      <c r="K39" s="515" t="s">
        <v>488</v>
      </c>
      <c r="L39" s="515" t="s">
        <v>653</v>
      </c>
      <c r="N39" s="515" t="s">
        <v>654</v>
      </c>
    </row>
    <row r="40" spans="2:26" ht="13.15" customHeight="1" x14ac:dyDescent="0.25">
      <c r="B40" s="515" t="s">
        <v>655</v>
      </c>
      <c r="C40" s="515" t="s">
        <v>656</v>
      </c>
      <c r="D40" s="515" t="s">
        <v>657</v>
      </c>
      <c r="G40" s="515" t="s">
        <v>655</v>
      </c>
      <c r="H40" s="515" t="s">
        <v>658</v>
      </c>
      <c r="I40" s="515" t="s">
        <v>657</v>
      </c>
      <c r="K40" s="515" t="s">
        <v>485</v>
      </c>
      <c r="L40" s="515" t="s">
        <v>659</v>
      </c>
      <c r="N40" s="515" t="s">
        <v>660</v>
      </c>
    </row>
    <row r="41" spans="2:26" ht="13.15" customHeight="1" x14ac:dyDescent="0.3">
      <c r="B41" s="289"/>
      <c r="C41" s="289"/>
      <c r="D41" s="514"/>
      <c r="G41" s="289"/>
      <c r="H41" s="289"/>
      <c r="I41" s="289"/>
      <c r="K41" s="515" t="s">
        <v>655</v>
      </c>
      <c r="L41" s="515" t="s">
        <v>661</v>
      </c>
      <c r="N41" s="516"/>
    </row>
    <row r="42" spans="2:26" ht="13.15" customHeight="1" x14ac:dyDescent="0.25"/>
    <row r="43" spans="2:26" ht="13.15" customHeight="1" x14ac:dyDescent="0.25">
      <c r="B43" s="882" t="s">
        <v>662</v>
      </c>
      <c r="C43" s="883"/>
      <c r="D43" s="883"/>
      <c r="E43" s="883"/>
      <c r="F43" s="883"/>
      <c r="G43" s="883"/>
    </row>
    <row r="44" spans="2:26" ht="13.15" customHeight="1" x14ac:dyDescent="0.25">
      <c r="C44" s="515" t="s">
        <v>663</v>
      </c>
      <c r="D44" s="515"/>
      <c r="E44" s="515" t="s">
        <v>664</v>
      </c>
      <c r="F44" s="515"/>
      <c r="G44" s="515" t="s">
        <v>665</v>
      </c>
    </row>
    <row r="45" spans="2:26" ht="13.15" customHeight="1" x14ac:dyDescent="0.25">
      <c r="B45" s="515" t="s">
        <v>666</v>
      </c>
      <c r="C45" s="515" t="s">
        <v>667</v>
      </c>
      <c r="D45" s="515" t="s">
        <v>668</v>
      </c>
      <c r="E45" s="515" t="s">
        <v>669</v>
      </c>
      <c r="F45" s="515" t="s">
        <v>670</v>
      </c>
      <c r="G45" s="515"/>
    </row>
    <row r="46" spans="2:26" ht="13.15" customHeight="1" x14ac:dyDescent="0.25">
      <c r="B46" s="515" t="s">
        <v>671</v>
      </c>
      <c r="C46" s="515" t="s">
        <v>672</v>
      </c>
      <c r="D46" s="515" t="s">
        <v>673</v>
      </c>
      <c r="E46" s="515" t="s">
        <v>674</v>
      </c>
      <c r="F46" s="515" t="s">
        <v>675</v>
      </c>
      <c r="G46" s="515">
        <v>0.21</v>
      </c>
    </row>
    <row r="47" spans="2:26" ht="13.15" customHeight="1" x14ac:dyDescent="0.25">
      <c r="B47" s="515" t="s">
        <v>676</v>
      </c>
      <c r="C47" s="515" t="s">
        <v>677</v>
      </c>
      <c r="D47" s="515" t="s">
        <v>678</v>
      </c>
      <c r="E47" s="515" t="s">
        <v>679</v>
      </c>
      <c r="F47" s="515" t="s">
        <v>680</v>
      </c>
      <c r="G47" s="515" t="s">
        <v>681</v>
      </c>
    </row>
    <row r="48" spans="2:26" ht="13.15" customHeight="1" x14ac:dyDescent="0.25">
      <c r="B48" s="515" t="s">
        <v>682</v>
      </c>
      <c r="C48" s="515" t="s">
        <v>683</v>
      </c>
      <c r="D48" s="515" t="s">
        <v>684</v>
      </c>
      <c r="E48" s="515" t="s">
        <v>685</v>
      </c>
      <c r="F48" s="515" t="s">
        <v>686</v>
      </c>
      <c r="G48" s="515" t="s">
        <v>687</v>
      </c>
      <c r="K48" s="881" t="s">
        <v>688</v>
      </c>
      <c r="L48" s="881"/>
    </row>
    <row r="49" spans="2:27" ht="13.15" customHeight="1" x14ac:dyDescent="0.25">
      <c r="B49" s="515" t="s">
        <v>689</v>
      </c>
      <c r="C49" s="515" t="s">
        <v>690</v>
      </c>
      <c r="D49" s="515" t="s">
        <v>691</v>
      </c>
      <c r="E49" s="515" t="s">
        <v>692</v>
      </c>
      <c r="F49" s="515" t="s">
        <v>693</v>
      </c>
      <c r="G49" s="515" t="s">
        <v>694</v>
      </c>
      <c r="K49" s="881"/>
      <c r="L49" s="881"/>
    </row>
    <row r="50" spans="2:27" ht="13.15" customHeight="1" x14ac:dyDescent="0.25">
      <c r="B50" s="515" t="s">
        <v>695</v>
      </c>
      <c r="C50" s="515" t="s">
        <v>696</v>
      </c>
      <c r="D50" s="515" t="s">
        <v>697</v>
      </c>
      <c r="E50" s="515" t="s">
        <v>698</v>
      </c>
      <c r="F50" s="515" t="s">
        <v>699</v>
      </c>
      <c r="G50" s="515" t="s">
        <v>700</v>
      </c>
      <c r="K50" s="881"/>
      <c r="L50" s="881"/>
    </row>
    <row r="51" spans="2:27" ht="13.15" customHeight="1" x14ac:dyDescent="0.25">
      <c r="B51" s="515" t="s">
        <v>701</v>
      </c>
      <c r="C51" s="515" t="s">
        <v>702</v>
      </c>
      <c r="D51" s="515" t="s">
        <v>702</v>
      </c>
      <c r="E51" s="515" t="s">
        <v>703</v>
      </c>
      <c r="F51" s="515" t="s">
        <v>704</v>
      </c>
      <c r="G51" s="515" t="s">
        <v>702</v>
      </c>
      <c r="V51" s="117"/>
      <c r="W51" s="117"/>
      <c r="X51" s="117"/>
      <c r="Y51" s="117"/>
      <c r="Z51" s="117"/>
      <c r="AA51" s="117"/>
    </row>
    <row r="52" spans="2:27" ht="13.15" customHeight="1" x14ac:dyDescent="0.25">
      <c r="E52" s="475"/>
      <c r="F52" s="475"/>
      <c r="G52" s="475"/>
      <c r="H52" s="475"/>
      <c r="I52" s="475"/>
      <c r="J52" s="475"/>
      <c r="K52" s="472"/>
      <c r="L52" s="1"/>
      <c r="M52" s="473"/>
      <c r="N52" s="1"/>
      <c r="O52" s="474"/>
      <c r="P52" s="474"/>
      <c r="Q52" s="511"/>
      <c r="R52" s="511"/>
      <c r="S52" s="511"/>
      <c r="T52" s="511"/>
      <c r="U52" s="511"/>
      <c r="V52" s="117"/>
      <c r="W52" s="117"/>
      <c r="X52" s="117"/>
      <c r="Y52" s="117"/>
      <c r="Z52" s="117"/>
      <c r="AA52" s="117"/>
    </row>
    <row r="53" spans="2:27" ht="13.15" customHeight="1" x14ac:dyDescent="0.25">
      <c r="E53" s="472"/>
      <c r="F53" s="472"/>
      <c r="G53" s="472"/>
      <c r="H53" s="472"/>
      <c r="I53" s="472"/>
      <c r="J53" s="472"/>
      <c r="K53" s="472"/>
      <c r="L53" s="1"/>
      <c r="M53" s="473"/>
      <c r="N53" s="1"/>
      <c r="O53" s="474"/>
      <c r="P53" s="474"/>
      <c r="Q53" s="512" t="s">
        <v>521</v>
      </c>
      <c r="R53" s="512" t="s">
        <v>705</v>
      </c>
      <c r="S53" s="474"/>
      <c r="T53" s="474"/>
      <c r="U53" s="474"/>
    </row>
    <row r="54" spans="2:27" ht="13.15" customHeight="1" x14ac:dyDescent="0.25">
      <c r="E54" s="472"/>
      <c r="F54" s="472"/>
      <c r="G54" s="472"/>
      <c r="H54" s="472"/>
      <c r="I54" s="472"/>
      <c r="J54" s="472"/>
      <c r="K54" s="472"/>
      <c r="L54" s="1"/>
      <c r="M54" s="473"/>
      <c r="N54" s="1"/>
      <c r="O54" s="474"/>
      <c r="P54" s="474"/>
      <c r="Q54" s="513"/>
      <c r="R54" s="513" t="s">
        <v>706</v>
      </c>
      <c r="S54" s="474"/>
      <c r="T54" s="474"/>
      <c r="U54" s="474"/>
    </row>
    <row r="55" spans="2:27" ht="13.15" customHeight="1" x14ac:dyDescent="0.25">
      <c r="E55" s="472"/>
      <c r="F55" s="472"/>
      <c r="G55" s="472"/>
      <c r="H55" s="472"/>
      <c r="I55" s="472"/>
      <c r="J55" s="472"/>
      <c r="K55" s="472"/>
      <c r="L55" s="1"/>
      <c r="M55" s="473"/>
      <c r="N55" s="1"/>
      <c r="O55" s="474"/>
      <c r="P55" s="474"/>
      <c r="Q55" s="513" t="s">
        <v>484</v>
      </c>
      <c r="R55" s="513" t="s">
        <v>707</v>
      </c>
      <c r="S55" s="474"/>
      <c r="T55" s="474"/>
      <c r="U55" s="474"/>
    </row>
    <row r="56" spans="2:27" ht="13.15" customHeight="1" x14ac:dyDescent="0.25">
      <c r="E56" s="472"/>
      <c r="F56" s="472"/>
      <c r="G56" s="472"/>
      <c r="H56" s="472"/>
      <c r="I56" s="472"/>
      <c r="J56" s="472"/>
      <c r="K56" s="472"/>
      <c r="L56" s="1"/>
      <c r="M56" s="473"/>
      <c r="N56" s="1"/>
      <c r="O56" s="474"/>
      <c r="P56" s="474"/>
      <c r="Q56" s="513" t="s">
        <v>486</v>
      </c>
      <c r="R56" s="513" t="s">
        <v>708</v>
      </c>
      <c r="S56" s="474"/>
      <c r="T56" s="474"/>
      <c r="U56" s="474"/>
    </row>
    <row r="57" spans="2:27" ht="13.15" customHeight="1" x14ac:dyDescent="0.25">
      <c r="E57" s="472"/>
      <c r="F57" s="472"/>
      <c r="G57" s="472"/>
      <c r="H57" s="472"/>
      <c r="I57" s="472"/>
      <c r="J57" s="472"/>
      <c r="K57" s="472"/>
      <c r="L57" s="1"/>
      <c r="M57" s="473"/>
      <c r="N57" s="1"/>
      <c r="O57" s="474"/>
      <c r="P57" s="474"/>
      <c r="Q57" s="513" t="s">
        <v>487</v>
      </c>
      <c r="R57" s="513" t="s">
        <v>709</v>
      </c>
      <c r="S57" s="474"/>
      <c r="T57" s="474"/>
      <c r="U57" s="474"/>
    </row>
    <row r="58" spans="2:27" ht="13.15" customHeight="1" x14ac:dyDescent="0.25">
      <c r="E58" s="472"/>
      <c r="F58" s="472"/>
      <c r="G58" s="472"/>
      <c r="H58" s="472"/>
      <c r="I58" s="472"/>
      <c r="J58" s="472"/>
      <c r="K58" s="472"/>
      <c r="L58" s="1"/>
      <c r="M58" s="473"/>
      <c r="N58" s="1"/>
      <c r="O58" s="474"/>
      <c r="P58" s="474"/>
      <c r="Q58" s="513" t="s">
        <v>488</v>
      </c>
      <c r="R58" s="513" t="s">
        <v>710</v>
      </c>
      <c r="S58" s="474"/>
      <c r="T58" s="474"/>
      <c r="U58" s="474"/>
    </row>
    <row r="59" spans="2:27" ht="13.15" customHeight="1" x14ac:dyDescent="0.25">
      <c r="E59" s="472"/>
      <c r="F59" s="472"/>
      <c r="G59" s="472"/>
      <c r="H59" s="472"/>
      <c r="I59" s="472"/>
      <c r="J59" s="472"/>
      <c r="K59" s="472"/>
      <c r="L59" s="1"/>
      <c r="M59" s="473"/>
      <c r="N59" s="1"/>
      <c r="O59" s="474"/>
      <c r="P59" s="474"/>
      <c r="Q59" s="513" t="s">
        <v>485</v>
      </c>
      <c r="R59" s="513" t="s">
        <v>711</v>
      </c>
      <c r="S59" s="474"/>
      <c r="T59" s="474"/>
      <c r="U59" s="474"/>
    </row>
    <row r="60" spans="2:27" ht="13.15" customHeight="1" x14ac:dyDescent="0.25">
      <c r="E60" s="472"/>
      <c r="F60" s="472"/>
      <c r="G60" s="472"/>
      <c r="H60" s="472"/>
      <c r="I60" s="472"/>
      <c r="J60" s="472"/>
      <c r="K60" s="472"/>
      <c r="L60" s="1"/>
      <c r="M60" s="473"/>
      <c r="N60" s="1"/>
      <c r="O60" s="474"/>
      <c r="P60" s="474"/>
      <c r="Q60" s="513" t="s">
        <v>655</v>
      </c>
      <c r="R60" s="513" t="s">
        <v>703</v>
      </c>
      <c r="S60" s="474"/>
      <c r="T60" s="474"/>
      <c r="U60" s="474"/>
    </row>
    <row r="61" spans="2:27" x14ac:dyDescent="0.25">
      <c r="B61" s="472"/>
      <c r="C61" s="472"/>
      <c r="D61" s="472"/>
      <c r="E61" s="472"/>
      <c r="F61" s="472"/>
      <c r="G61" s="472"/>
      <c r="H61" s="472"/>
      <c r="I61" s="472"/>
      <c r="J61" s="472"/>
      <c r="K61" s="472"/>
      <c r="L61" s="1"/>
      <c r="M61" s="473"/>
      <c r="N61" s="1"/>
      <c r="O61" s="474"/>
      <c r="P61" s="474"/>
      <c r="Q61" s="474"/>
      <c r="R61" s="474"/>
      <c r="S61" s="474"/>
      <c r="T61" s="474"/>
      <c r="U61" s="474"/>
    </row>
    <row r="62" spans="2:27" x14ac:dyDescent="0.25">
      <c r="B62" s="472"/>
      <c r="C62" s="472"/>
      <c r="D62" s="472"/>
      <c r="E62" s="472"/>
      <c r="F62" s="472"/>
      <c r="G62" s="472"/>
      <c r="H62" s="472"/>
      <c r="I62" s="472"/>
      <c r="J62" s="472"/>
      <c r="K62" s="472"/>
      <c r="L62" s="1"/>
      <c r="M62" s="473"/>
      <c r="N62" s="1"/>
      <c r="O62" s="474"/>
      <c r="P62" s="474"/>
      <c r="Q62" s="474"/>
      <c r="R62" s="474"/>
      <c r="S62" s="474"/>
      <c r="T62" s="474"/>
      <c r="U62" s="474"/>
    </row>
    <row r="63" spans="2:27" x14ac:dyDescent="0.25">
      <c r="J63" s="467"/>
      <c r="K63" s="467"/>
      <c r="M63" s="477"/>
      <c r="N63" s="2"/>
    </row>
    <row r="64" spans="2:27" x14ac:dyDescent="0.25">
      <c r="J64" s="467"/>
      <c r="K64" s="467"/>
      <c r="M64" s="477"/>
      <c r="N64" s="2"/>
    </row>
    <row r="65" spans="2:14" x14ac:dyDescent="0.25">
      <c r="J65" s="467"/>
      <c r="K65" s="467"/>
      <c r="M65" s="477"/>
      <c r="N65" s="2"/>
    </row>
    <row r="66" spans="2:14" x14ac:dyDescent="0.25">
      <c r="J66" s="467"/>
      <c r="K66" s="467"/>
      <c r="M66" s="477"/>
      <c r="N66" s="2"/>
    </row>
    <row r="67" spans="2:14" x14ac:dyDescent="0.25">
      <c r="B67" s="481"/>
      <c r="J67" s="467"/>
      <c r="K67" s="467"/>
      <c r="M67" s="477"/>
      <c r="N67" s="2"/>
    </row>
    <row r="68" spans="2:14" x14ac:dyDescent="0.25">
      <c r="D68" s="480"/>
      <c r="J68" s="467"/>
      <c r="K68" s="467"/>
      <c r="M68" s="477"/>
      <c r="N68" s="2"/>
    </row>
    <row r="69" spans="2:14" x14ac:dyDescent="0.25">
      <c r="E69" s="480"/>
      <c r="J69" s="467"/>
      <c r="K69" s="467"/>
      <c r="L69" s="467"/>
      <c r="M69" s="477"/>
      <c r="N69" s="2"/>
    </row>
    <row r="70" spans="2:14" x14ac:dyDescent="0.25">
      <c r="E70" s="480"/>
      <c r="J70" s="467"/>
      <c r="K70" s="467"/>
      <c r="L70" s="467"/>
      <c r="M70" s="477"/>
      <c r="N70" s="2"/>
    </row>
    <row r="71" spans="2:14" x14ac:dyDescent="0.25">
      <c r="M71" s="117"/>
      <c r="N71" s="2"/>
    </row>
    <row r="72" spans="2:14" x14ac:dyDescent="0.25">
      <c r="M72" s="117"/>
      <c r="N72" s="2"/>
    </row>
    <row r="73" spans="2:14" x14ac:dyDescent="0.25">
      <c r="N73" s="2"/>
    </row>
    <row r="74" spans="2:14" ht="14.25" customHeight="1" x14ac:dyDescent="0.25">
      <c r="N74" s="2"/>
    </row>
    <row r="75" spans="2:14" x14ac:dyDescent="0.25">
      <c r="L75" s="475"/>
    </row>
    <row r="76" spans="2:14" x14ac:dyDescent="0.25">
      <c r="L76" s="475"/>
    </row>
    <row r="77" spans="2:14" x14ac:dyDescent="0.25">
      <c r="L77" s="475"/>
    </row>
    <row r="78" spans="2:14" x14ac:dyDescent="0.25">
      <c r="L78" s="475"/>
    </row>
    <row r="79" spans="2:14" x14ac:dyDescent="0.25">
      <c r="L79" s="475"/>
    </row>
    <row r="80" spans="2:14" x14ac:dyDescent="0.25">
      <c r="L80" s="475"/>
    </row>
    <row r="81" spans="2:21" x14ac:dyDescent="0.25">
      <c r="L81" s="475"/>
    </row>
    <row r="82" spans="2:21" x14ac:dyDescent="0.25">
      <c r="L82" s="475"/>
    </row>
    <row r="83" spans="2:21" x14ac:dyDescent="0.25">
      <c r="L83" s="475"/>
    </row>
    <row r="84" spans="2:21" x14ac:dyDescent="0.25">
      <c r="L84" s="475"/>
    </row>
    <row r="85" spans="2:21" x14ac:dyDescent="0.25">
      <c r="B85" s="472"/>
      <c r="C85" s="472"/>
      <c r="D85" s="472"/>
      <c r="E85" s="472"/>
      <c r="F85" s="472"/>
      <c r="G85" s="472"/>
      <c r="H85" s="472"/>
      <c r="I85" s="472"/>
      <c r="J85" s="472"/>
      <c r="K85" s="472"/>
      <c r="L85" s="1"/>
      <c r="M85" s="473"/>
      <c r="N85" s="1"/>
      <c r="O85" s="474"/>
      <c r="P85" s="474"/>
      <c r="Q85" s="474"/>
      <c r="R85" s="474"/>
      <c r="S85" s="474"/>
      <c r="T85" s="474"/>
      <c r="U85" s="474"/>
    </row>
    <row r="86" spans="2:21" ht="89.25" x14ac:dyDescent="0.25">
      <c r="C86" s="472"/>
      <c r="D86" s="472"/>
      <c r="E86" s="472"/>
      <c r="F86" s="472"/>
      <c r="G86" s="472"/>
      <c r="H86" s="472"/>
      <c r="I86" s="472"/>
      <c r="J86" s="472"/>
      <c r="K86" s="472"/>
      <c r="L86" s="1"/>
      <c r="M86" s="473"/>
      <c r="N86" s="1"/>
      <c r="O86" s="474"/>
      <c r="P86" s="474"/>
      <c r="Q86" s="510" t="s">
        <v>712</v>
      </c>
      <c r="R86" s="511"/>
      <c r="S86" s="511"/>
      <c r="T86" s="511"/>
      <c r="U86" s="511"/>
    </row>
  </sheetData>
  <mergeCells count="14">
    <mergeCell ref="G33:I33"/>
    <mergeCell ref="B33:D33"/>
    <mergeCell ref="K33:L33"/>
    <mergeCell ref="K48:L50"/>
    <mergeCell ref="B43:G43"/>
    <mergeCell ref="S7:T7"/>
    <mergeCell ref="W7:X7"/>
    <mergeCell ref="S1:V1"/>
    <mergeCell ref="C1:E1"/>
    <mergeCell ref="X1:Z1"/>
    <mergeCell ref="J1:M1"/>
    <mergeCell ref="N1:Q1"/>
    <mergeCell ref="R1:R2"/>
    <mergeCell ref="G1:I1"/>
  </mergeCells>
  <hyperlinks>
    <hyperlink ref="B27" r:id="rId1" xr:uid="{292F6D6D-4970-4524-9A6E-269F30772002}"/>
    <hyperlink ref="B26" r:id="rId2" xr:uid="{61A556B6-71AC-4E6B-A9EE-6DFFFAC3A64C}"/>
    <hyperlink ref="B25" r:id="rId3" xr:uid="{293542F1-84D5-49D5-B69F-B050CDBBD7FB}"/>
  </hyperlinks>
  <pageMargins left="0.7" right="0.7" top="0.75" bottom="0.75" header="0.3" footer="0.3"/>
  <pageSetup orientation="portrait" r:id="rId4"/>
  <legacyDrawing r:id="rId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30B68-9471-4615-8335-65978A997F26}">
  <sheetPr>
    <tabColor theme="4" tint="0.39997558519241921"/>
  </sheetPr>
  <dimension ref="C7:V42"/>
  <sheetViews>
    <sheetView workbookViewId="0">
      <selection activeCell="U16" sqref="U16"/>
    </sheetView>
  </sheetViews>
  <sheetFormatPr defaultColWidth="9" defaultRowHeight="15.75" x14ac:dyDescent="0.25"/>
  <cols>
    <col min="3" max="3" width="14.85546875" customWidth="1"/>
    <col min="17" max="17" width="12.140625" customWidth="1"/>
  </cols>
  <sheetData>
    <row r="7" spans="3:22" x14ac:dyDescent="0.25">
      <c r="E7" s="884" t="s">
        <v>713</v>
      </c>
      <c r="F7" s="884"/>
    </row>
    <row r="8" spans="3:22" x14ac:dyDescent="0.25">
      <c r="D8" t="s">
        <v>714</v>
      </c>
      <c r="E8" t="s">
        <v>715</v>
      </c>
      <c r="F8" t="s">
        <v>98</v>
      </c>
      <c r="G8" t="s">
        <v>716</v>
      </c>
      <c r="H8" t="s">
        <v>717</v>
      </c>
      <c r="I8" t="s">
        <v>718</v>
      </c>
      <c r="J8" t="s">
        <v>719</v>
      </c>
      <c r="K8" t="s">
        <v>720</v>
      </c>
      <c r="L8" t="s">
        <v>721</v>
      </c>
      <c r="M8" t="s">
        <v>722</v>
      </c>
      <c r="N8" t="s">
        <v>723</v>
      </c>
      <c r="O8" t="s">
        <v>724</v>
      </c>
      <c r="Q8" t="s">
        <v>725</v>
      </c>
      <c r="R8" t="s">
        <v>726</v>
      </c>
      <c r="S8" t="s">
        <v>727</v>
      </c>
      <c r="T8" t="s">
        <v>98</v>
      </c>
      <c r="V8" t="s">
        <v>728</v>
      </c>
    </row>
    <row r="9" spans="3:22" x14ac:dyDescent="0.25">
      <c r="C9" t="s">
        <v>729</v>
      </c>
      <c r="D9">
        <v>8.76</v>
      </c>
      <c r="E9">
        <v>6.62</v>
      </c>
      <c r="F9">
        <v>7.12</v>
      </c>
      <c r="G9" s="2">
        <v>1</v>
      </c>
      <c r="H9" s="225">
        <v>0.36599999999999999</v>
      </c>
      <c r="I9">
        <f>+D9/2*E9*G9*(1-H9)</f>
        <v>18.383210399999999</v>
      </c>
      <c r="J9">
        <v>1.3</v>
      </c>
      <c r="K9">
        <f>+I9*J9</f>
        <v>23.89817352</v>
      </c>
      <c r="L9">
        <v>401.78</v>
      </c>
      <c r="M9">
        <f>+K9*L9</f>
        <v>9601.8081568655998</v>
      </c>
      <c r="N9">
        <v>2450</v>
      </c>
      <c r="O9">
        <f>+M9-N9</f>
        <v>7151.8081568655998</v>
      </c>
      <c r="Q9">
        <v>365</v>
      </c>
      <c r="R9">
        <f>+R17</f>
        <v>0.21299999999999999</v>
      </c>
      <c r="S9">
        <v>18.18</v>
      </c>
      <c r="T9">
        <f>+R10</f>
        <v>133.36218217821784</v>
      </c>
      <c r="V9">
        <v>18.420000000000002</v>
      </c>
    </row>
    <row r="10" spans="3:22" x14ac:dyDescent="0.25">
      <c r="N10">
        <f>+N9/M9</f>
        <v>0.25516027397903923</v>
      </c>
      <c r="Q10">
        <f>+D9/2*F9*Q9</f>
        <v>11382.744000000001</v>
      </c>
      <c r="R10">
        <f>+S10*R9</f>
        <v>133.36218217821784</v>
      </c>
      <c r="S10">
        <f>+Q10/S9</f>
        <v>626.11353135313539</v>
      </c>
      <c r="T10">
        <f>+T9*V9</f>
        <v>2456.5313957227727</v>
      </c>
      <c r="U10">
        <f>+T9/V9</f>
        <v>7.2400750368196434</v>
      </c>
    </row>
    <row r="13" spans="3:22" x14ac:dyDescent="0.25">
      <c r="C13" t="s">
        <v>730</v>
      </c>
      <c r="D13">
        <v>0.21299999999999999</v>
      </c>
    </row>
    <row r="14" spans="3:22" x14ac:dyDescent="0.25">
      <c r="C14" t="s">
        <v>731</v>
      </c>
      <c r="D14" s="226"/>
      <c r="Q14" t="s">
        <v>732</v>
      </c>
      <c r="R14">
        <v>7.0000000000000001E-3</v>
      </c>
      <c r="S14">
        <f>+R14+R15+R16</f>
        <v>0.21299999999999999</v>
      </c>
      <c r="U14">
        <v>2450</v>
      </c>
    </row>
    <row r="15" spans="3:22" x14ac:dyDescent="0.25">
      <c r="Q15" t="s">
        <v>733</v>
      </c>
      <c r="R15">
        <v>8.6999999999999994E-2</v>
      </c>
      <c r="U15">
        <v>133</v>
      </c>
    </row>
    <row r="16" spans="3:22" x14ac:dyDescent="0.25">
      <c r="D16" s="225">
        <v>2.5000000000000001E-2</v>
      </c>
      <c r="E16">
        <v>25</v>
      </c>
      <c r="F16">
        <v>0.21299999999999999</v>
      </c>
      <c r="Q16" t="s">
        <v>734</v>
      </c>
      <c r="R16">
        <v>0.11899999999999999</v>
      </c>
      <c r="U16">
        <f>+U14/U15</f>
        <v>18.421052631578949</v>
      </c>
    </row>
    <row r="17" spans="3:19" x14ac:dyDescent="0.25">
      <c r="C17">
        <v>1</v>
      </c>
      <c r="D17">
        <v>0.21299999999999999</v>
      </c>
      <c r="F17" s="227">
        <f>PV(D16,E16,F16,,1)</f>
        <v>-4.0225019823394383</v>
      </c>
      <c r="R17">
        <f>+R13+R14+R15+R16</f>
        <v>0.21299999999999999</v>
      </c>
    </row>
    <row r="18" spans="3:19" x14ac:dyDescent="0.25">
      <c r="C18">
        <v>2</v>
      </c>
      <c r="D18">
        <f t="shared" ref="D18:D42" si="0">+D17*(1+$D$16)</f>
        <v>0.21832499999999996</v>
      </c>
    </row>
    <row r="19" spans="3:19" x14ac:dyDescent="0.25">
      <c r="C19">
        <v>3</v>
      </c>
      <c r="D19">
        <f t="shared" si="0"/>
        <v>0.22378312499999994</v>
      </c>
    </row>
    <row r="20" spans="3:19" x14ac:dyDescent="0.25">
      <c r="C20">
        <v>4</v>
      </c>
      <c r="D20">
        <f t="shared" si="0"/>
        <v>0.22937770312499992</v>
      </c>
      <c r="Q20" t="s">
        <v>725</v>
      </c>
      <c r="R20">
        <v>365</v>
      </c>
    </row>
    <row r="21" spans="3:19" x14ac:dyDescent="0.25">
      <c r="C21">
        <v>5</v>
      </c>
      <c r="D21">
        <f t="shared" si="0"/>
        <v>0.23511214570312489</v>
      </c>
      <c r="Q21" t="s">
        <v>735</v>
      </c>
      <c r="R21">
        <v>0.21299999999999999</v>
      </c>
    </row>
    <row r="22" spans="3:19" x14ac:dyDescent="0.25">
      <c r="C22">
        <v>6</v>
      </c>
      <c r="D22">
        <f t="shared" si="0"/>
        <v>0.24098994934570298</v>
      </c>
      <c r="Q22" t="s">
        <v>727</v>
      </c>
      <c r="R22">
        <v>18.18</v>
      </c>
    </row>
    <row r="23" spans="3:19" x14ac:dyDescent="0.25">
      <c r="C23">
        <v>7</v>
      </c>
      <c r="D23">
        <f t="shared" si="0"/>
        <v>0.24701469807934553</v>
      </c>
      <c r="Q23" t="s">
        <v>728</v>
      </c>
      <c r="R23">
        <v>18.420000000000002</v>
      </c>
    </row>
    <row r="24" spans="3:19" x14ac:dyDescent="0.25">
      <c r="C24">
        <v>8</v>
      </c>
      <c r="D24">
        <f t="shared" si="0"/>
        <v>0.25319006553132917</v>
      </c>
      <c r="Q24" t="s">
        <v>736</v>
      </c>
      <c r="R24">
        <f>+R20*R21/R22*R23</f>
        <v>78.771336633663381</v>
      </c>
      <c r="S24" t="s">
        <v>737</v>
      </c>
    </row>
    <row r="25" spans="3:19" x14ac:dyDescent="0.25">
      <c r="C25">
        <v>9</v>
      </c>
      <c r="D25">
        <f t="shared" si="0"/>
        <v>0.25951981716961237</v>
      </c>
      <c r="Q25" t="s">
        <v>719</v>
      </c>
      <c r="R25">
        <v>1.3</v>
      </c>
    </row>
    <row r="26" spans="3:19" x14ac:dyDescent="0.25">
      <c r="C26">
        <v>10</v>
      </c>
      <c r="D26">
        <f t="shared" si="0"/>
        <v>0.26600781259885264</v>
      </c>
      <c r="Q26" t="s">
        <v>738</v>
      </c>
      <c r="R26">
        <f>+R24*R25</f>
        <v>102.40273762376241</v>
      </c>
    </row>
    <row r="27" spans="3:19" x14ac:dyDescent="0.25">
      <c r="C27">
        <v>11</v>
      </c>
      <c r="D27">
        <f t="shared" si="0"/>
        <v>0.27265800791382394</v>
      </c>
    </row>
    <row r="28" spans="3:19" x14ac:dyDescent="0.25">
      <c r="C28">
        <v>12</v>
      </c>
      <c r="D28">
        <f t="shared" si="0"/>
        <v>0.27947445811166949</v>
      </c>
      <c r="Q28" t="s">
        <v>739</v>
      </c>
      <c r="R28">
        <v>401.78</v>
      </c>
    </row>
    <row r="29" spans="3:19" x14ac:dyDescent="0.25">
      <c r="C29">
        <v>13</v>
      </c>
      <c r="D29">
        <f t="shared" si="0"/>
        <v>0.28646131956446119</v>
      </c>
      <c r="Q29" t="s">
        <v>740</v>
      </c>
      <c r="R29" s="2">
        <f>+R26/R28</f>
        <v>0.25487266071920556</v>
      </c>
    </row>
    <row r="30" spans="3:19" x14ac:dyDescent="0.25">
      <c r="C30">
        <v>14</v>
      </c>
      <c r="D30">
        <f t="shared" si="0"/>
        <v>0.29362285255357268</v>
      </c>
    </row>
    <row r="31" spans="3:19" x14ac:dyDescent="0.25">
      <c r="C31">
        <v>15</v>
      </c>
      <c r="D31">
        <f t="shared" si="0"/>
        <v>0.30096342386741198</v>
      </c>
    </row>
    <row r="32" spans="3:19" x14ac:dyDescent="0.25">
      <c r="C32">
        <v>16</v>
      </c>
      <c r="D32">
        <f t="shared" si="0"/>
        <v>0.30848750946409725</v>
      </c>
    </row>
    <row r="33" spans="3:4" x14ac:dyDescent="0.25">
      <c r="C33">
        <v>17</v>
      </c>
      <c r="D33">
        <f t="shared" si="0"/>
        <v>0.31619969720069968</v>
      </c>
    </row>
    <row r="34" spans="3:4" x14ac:dyDescent="0.25">
      <c r="C34">
        <v>18</v>
      </c>
      <c r="D34">
        <f t="shared" si="0"/>
        <v>0.32410468963071715</v>
      </c>
    </row>
    <row r="35" spans="3:4" x14ac:dyDescent="0.25">
      <c r="C35">
        <v>19</v>
      </c>
      <c r="D35">
        <f t="shared" si="0"/>
        <v>0.33220730687148503</v>
      </c>
    </row>
    <row r="36" spans="3:4" x14ac:dyDescent="0.25">
      <c r="C36">
        <v>20</v>
      </c>
      <c r="D36">
        <f t="shared" si="0"/>
        <v>0.34051248954327212</v>
      </c>
    </row>
    <row r="37" spans="3:4" x14ac:dyDescent="0.25">
      <c r="C37">
        <v>21</v>
      </c>
      <c r="D37">
        <f t="shared" si="0"/>
        <v>0.34902530178185387</v>
      </c>
    </row>
    <row r="38" spans="3:4" x14ac:dyDescent="0.25">
      <c r="C38">
        <v>22</v>
      </c>
      <c r="D38">
        <f t="shared" si="0"/>
        <v>0.35775093432640021</v>
      </c>
    </row>
    <row r="39" spans="3:4" x14ac:dyDescent="0.25">
      <c r="C39">
        <v>23</v>
      </c>
      <c r="D39">
        <f t="shared" si="0"/>
        <v>0.36669470768456019</v>
      </c>
    </row>
    <row r="40" spans="3:4" x14ac:dyDescent="0.25">
      <c r="C40">
        <v>24</v>
      </c>
      <c r="D40">
        <f t="shared" si="0"/>
        <v>0.37586207537667415</v>
      </c>
    </row>
    <row r="41" spans="3:4" x14ac:dyDescent="0.25">
      <c r="C41">
        <v>25</v>
      </c>
      <c r="D41">
        <f t="shared" si="0"/>
        <v>0.38525862726109095</v>
      </c>
    </row>
    <row r="42" spans="3:4" x14ac:dyDescent="0.25">
      <c r="C42">
        <v>26</v>
      </c>
      <c r="D42">
        <f t="shared" si="0"/>
        <v>0.39489009294261818</v>
      </c>
    </row>
  </sheetData>
  <mergeCells count="1">
    <mergeCell ref="E7:F7"/>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91866-86DA-4682-B6CD-52E40B6F92B9}">
  <sheetPr>
    <tabColor theme="7" tint="0.39997558519241921"/>
  </sheetPr>
  <dimension ref="A1:Z138"/>
  <sheetViews>
    <sheetView topLeftCell="A64" workbookViewId="0">
      <selection activeCell="I102" sqref="I102"/>
    </sheetView>
  </sheetViews>
  <sheetFormatPr defaultColWidth="9.42578125" defaultRowHeight="16.5" x14ac:dyDescent="0.25"/>
  <cols>
    <col min="1" max="1" width="9.42578125" style="36"/>
    <col min="2" max="2" width="5.140625" style="37" customWidth="1"/>
    <col min="3" max="3" width="36" style="38" customWidth="1"/>
    <col min="4" max="4" width="11.5703125" style="36" customWidth="1"/>
    <col min="5" max="5" width="9.42578125" style="35"/>
    <col min="6" max="6" width="15.5703125" style="35" customWidth="1"/>
    <col min="7" max="7" width="9.42578125" style="35"/>
    <col min="8" max="8" width="12.5703125" style="35" customWidth="1"/>
    <col min="9" max="10" width="9.42578125" style="35"/>
    <col min="11" max="11" width="13.140625" style="35" customWidth="1"/>
    <col min="12" max="13" width="9.42578125" style="39"/>
    <col min="14" max="14" width="12.140625" style="36" customWidth="1"/>
    <col min="15" max="15" width="13" style="40" customWidth="1"/>
    <col min="16" max="16" width="12.5703125" style="41" customWidth="1"/>
    <col min="17" max="17" width="12.5703125" style="42" customWidth="1"/>
    <col min="18" max="19" width="12" style="42" customWidth="1"/>
    <col min="20" max="20" width="12.42578125" style="42" customWidth="1"/>
    <col min="21" max="21" width="10.5703125" style="42" customWidth="1"/>
    <col min="22" max="23" width="13.5703125" style="43" customWidth="1"/>
    <col min="24" max="25" width="9.42578125" style="36"/>
    <col min="26" max="26" width="17.5703125" style="36" customWidth="1"/>
    <col min="27" max="16384" width="9.42578125" style="36"/>
  </cols>
  <sheetData>
    <row r="1" spans="2:26" x14ac:dyDescent="0.25">
      <c r="C1" s="702" t="s">
        <v>741</v>
      </c>
      <c r="D1" s="703">
        <v>44169</v>
      </c>
      <c r="E1" s="704"/>
      <c r="F1" s="704"/>
      <c r="G1" s="704"/>
      <c r="H1" s="704"/>
      <c r="I1" s="704"/>
      <c r="J1" s="704"/>
      <c r="K1" s="704"/>
      <c r="L1" s="705"/>
      <c r="M1" s="705"/>
      <c r="N1" s="706"/>
      <c r="O1" s="707"/>
      <c r="P1" s="708"/>
      <c r="Q1" s="709"/>
      <c r="R1" s="709"/>
      <c r="S1" s="709"/>
      <c r="T1" s="709"/>
      <c r="U1" s="709"/>
      <c r="V1" s="710"/>
      <c r="W1" s="710"/>
      <c r="X1" s="706"/>
      <c r="Y1" s="706"/>
      <c r="Z1" s="706"/>
    </row>
    <row r="2" spans="2:26" x14ac:dyDescent="0.25">
      <c r="C2" s="702"/>
      <c r="D2" s="706"/>
      <c r="E2" s="704"/>
      <c r="F2" s="886" t="s">
        <v>742</v>
      </c>
      <c r="G2" s="886"/>
      <c r="H2" s="886"/>
      <c r="I2" s="704" t="s">
        <v>743</v>
      </c>
      <c r="J2" s="704"/>
      <c r="K2" s="704"/>
      <c r="L2" s="705"/>
      <c r="M2" s="705"/>
      <c r="N2" s="706"/>
      <c r="O2" s="707"/>
      <c r="P2" s="708"/>
      <c r="Q2" s="709"/>
      <c r="R2" s="709"/>
      <c r="S2" s="709"/>
      <c r="T2" s="709"/>
      <c r="U2" s="709"/>
      <c r="V2" s="710"/>
      <c r="W2" s="710"/>
      <c r="X2" s="706"/>
      <c r="Y2" s="706"/>
      <c r="Z2" s="706"/>
    </row>
    <row r="3" spans="2:26" s="44" customFormat="1" ht="64.5" customHeight="1" x14ac:dyDescent="0.25">
      <c r="B3" s="44" t="s">
        <v>141</v>
      </c>
      <c r="C3" s="45" t="s">
        <v>77</v>
      </c>
      <c r="D3" s="46" t="s">
        <v>78</v>
      </c>
      <c r="E3" s="47" t="s">
        <v>744</v>
      </c>
      <c r="F3" s="47" t="s">
        <v>745</v>
      </c>
      <c r="G3" s="47" t="s">
        <v>746</v>
      </c>
      <c r="H3" s="47" t="s">
        <v>747</v>
      </c>
      <c r="I3" s="47" t="s">
        <v>748</v>
      </c>
      <c r="J3" s="47" t="s">
        <v>749</v>
      </c>
      <c r="K3" s="47" t="s">
        <v>750</v>
      </c>
      <c r="L3" s="48" t="s">
        <v>751</v>
      </c>
      <c r="M3" s="48" t="s">
        <v>752</v>
      </c>
      <c r="N3" s="46" t="s">
        <v>753</v>
      </c>
      <c r="O3" s="49" t="s">
        <v>754</v>
      </c>
      <c r="P3" s="50" t="s">
        <v>755</v>
      </c>
      <c r="Q3" s="51" t="s">
        <v>756</v>
      </c>
      <c r="R3" s="51" t="s">
        <v>515</v>
      </c>
      <c r="S3" s="51" t="s">
        <v>757</v>
      </c>
      <c r="T3" s="51" t="s">
        <v>143</v>
      </c>
      <c r="U3" s="51" t="s">
        <v>758</v>
      </c>
      <c r="V3" s="52" t="s">
        <v>759</v>
      </c>
      <c r="W3" s="52" t="s">
        <v>760</v>
      </c>
      <c r="Y3" s="52" t="s">
        <v>761</v>
      </c>
      <c r="Z3" s="52" t="s">
        <v>762</v>
      </c>
    </row>
    <row r="4" spans="2:26" x14ac:dyDescent="0.25">
      <c r="B4" s="53" t="s">
        <v>140</v>
      </c>
      <c r="C4" s="711"/>
      <c r="D4" s="712"/>
      <c r="E4" s="713"/>
      <c r="F4" s="713"/>
      <c r="G4" s="713"/>
      <c r="H4" s="713"/>
      <c r="I4" s="713"/>
      <c r="J4" s="713"/>
      <c r="K4" s="713"/>
      <c r="L4" s="714"/>
      <c r="M4" s="714"/>
      <c r="N4" s="712"/>
      <c r="O4" s="715"/>
      <c r="P4" s="716"/>
      <c r="Q4" s="717"/>
      <c r="R4" s="717"/>
      <c r="S4" s="717"/>
      <c r="T4" s="717"/>
      <c r="U4" s="717"/>
      <c r="V4" s="718"/>
      <c r="W4" s="718"/>
      <c r="X4" s="706"/>
      <c r="Y4" s="706"/>
      <c r="Z4" s="706"/>
    </row>
    <row r="5" spans="2:26" x14ac:dyDescent="0.25">
      <c r="B5" s="37">
        <v>30</v>
      </c>
      <c r="C5" s="702" t="s">
        <v>435</v>
      </c>
      <c r="D5" s="706" t="s">
        <v>110</v>
      </c>
      <c r="E5" s="704">
        <v>9.85</v>
      </c>
      <c r="F5" s="54" t="s">
        <v>763</v>
      </c>
      <c r="G5" s="704"/>
      <c r="H5" s="704"/>
      <c r="I5" s="704"/>
      <c r="J5" s="704"/>
      <c r="K5" s="704">
        <v>6.25</v>
      </c>
      <c r="L5" s="705">
        <v>1</v>
      </c>
      <c r="M5" s="705">
        <v>0.98</v>
      </c>
      <c r="N5" s="704">
        <f>+E5*K5*L5*M5</f>
        <v>60.331249999999997</v>
      </c>
      <c r="O5" s="707">
        <v>8100</v>
      </c>
      <c r="P5" s="708">
        <f>IF(O5=0,0,N5/O5)</f>
        <v>7.4483024691358018E-3</v>
      </c>
      <c r="Q5" s="709">
        <v>1951500</v>
      </c>
      <c r="R5" s="709">
        <v>265680</v>
      </c>
      <c r="S5" s="709">
        <f>+Q5-R5</f>
        <v>1685820</v>
      </c>
      <c r="T5" s="709">
        <f>+P5*S5</f>
        <v>12556.497268518517</v>
      </c>
      <c r="U5" s="709">
        <f>+T5*0.5</f>
        <v>6278.2486342592583</v>
      </c>
      <c r="V5" s="710">
        <v>10.32</v>
      </c>
      <c r="W5" s="710">
        <v>9.76</v>
      </c>
      <c r="X5" s="706"/>
      <c r="Y5" s="705">
        <f>+W5*1000/U5</f>
        <v>1.5545736667295174</v>
      </c>
      <c r="Z5" s="709">
        <f>+S5*Y5</f>
        <v>2620731.3788459548</v>
      </c>
    </row>
    <row r="6" spans="2:26" x14ac:dyDescent="0.25">
      <c r="B6" s="53" t="s">
        <v>148</v>
      </c>
      <c r="C6" s="711"/>
      <c r="D6" s="712"/>
      <c r="E6" s="713"/>
      <c r="F6" s="713"/>
      <c r="G6" s="713"/>
      <c r="H6" s="713"/>
      <c r="I6" s="713"/>
      <c r="J6" s="713"/>
      <c r="K6" s="713"/>
      <c r="L6" s="714"/>
      <c r="M6" s="714"/>
      <c r="N6" s="713"/>
      <c r="O6" s="715"/>
      <c r="P6" s="716"/>
      <c r="Q6" s="717"/>
      <c r="R6" s="717"/>
      <c r="S6" s="717"/>
      <c r="T6" s="717"/>
      <c r="U6" s="717"/>
      <c r="V6" s="718"/>
      <c r="W6" s="718"/>
      <c r="X6" s="706"/>
      <c r="Y6" s="706"/>
      <c r="Z6" s="706"/>
    </row>
    <row r="7" spans="2:26" x14ac:dyDescent="0.25">
      <c r="B7" s="37">
        <v>110</v>
      </c>
      <c r="C7" s="702" t="s">
        <v>144</v>
      </c>
      <c r="D7" s="706" t="s">
        <v>110</v>
      </c>
      <c r="E7" s="704"/>
      <c r="F7" s="704">
        <v>4.96</v>
      </c>
      <c r="G7" s="704"/>
      <c r="H7" s="704"/>
      <c r="I7" s="704"/>
      <c r="J7" s="704" t="s">
        <v>764</v>
      </c>
      <c r="K7" s="704"/>
      <c r="L7" s="705"/>
      <c r="M7" s="705"/>
      <c r="N7" s="704"/>
      <c r="O7" s="707"/>
      <c r="P7" s="708"/>
      <c r="Q7" s="709"/>
      <c r="R7" s="709"/>
      <c r="S7" s="709"/>
      <c r="T7" s="709"/>
      <c r="U7" s="709"/>
      <c r="V7" s="710"/>
      <c r="W7" s="710"/>
      <c r="X7" s="706"/>
      <c r="Y7" s="705"/>
      <c r="Z7" s="709"/>
    </row>
    <row r="8" spans="2:26" x14ac:dyDescent="0.25">
      <c r="B8" s="37">
        <v>130</v>
      </c>
      <c r="C8" s="702" t="s">
        <v>150</v>
      </c>
      <c r="D8" s="706" t="s">
        <v>110</v>
      </c>
      <c r="E8" s="704">
        <v>6.96</v>
      </c>
      <c r="F8" s="704">
        <v>3.37</v>
      </c>
      <c r="G8" s="704"/>
      <c r="H8" s="704"/>
      <c r="I8" s="704"/>
      <c r="J8" s="704" t="s">
        <v>764</v>
      </c>
      <c r="K8" s="704">
        <v>6.16</v>
      </c>
      <c r="L8" s="705">
        <v>1</v>
      </c>
      <c r="M8" s="705">
        <v>0.98</v>
      </c>
      <c r="N8" s="704">
        <f>+E8*K8*L8*M8</f>
        <v>42.016128000000002</v>
      </c>
      <c r="O8" s="707">
        <v>8100</v>
      </c>
      <c r="P8" s="708">
        <f>IF(O8=0,0,N8/O8)</f>
        <v>5.1871762962962965E-3</v>
      </c>
      <c r="Q8" s="709">
        <v>1951500</v>
      </c>
      <c r="R8" s="709">
        <v>265680</v>
      </c>
      <c r="S8" s="709">
        <f>+Q8-R8</f>
        <v>1685820</v>
      </c>
      <c r="T8" s="709">
        <f>+P8*S8</f>
        <v>8744.645543822222</v>
      </c>
      <c r="U8" s="709">
        <f>+T8*0.5</f>
        <v>4372.322771911111</v>
      </c>
      <c r="V8" s="710">
        <v>7.19</v>
      </c>
      <c r="W8" s="710">
        <v>6.8</v>
      </c>
      <c r="X8" s="706"/>
      <c r="Y8" s="705">
        <f>+W8*1000/U8</f>
        <v>1.5552374229288128</v>
      </c>
      <c r="Z8" s="709">
        <f>+S8*Y8</f>
        <v>2621850.3523218511</v>
      </c>
    </row>
    <row r="9" spans="2:26" x14ac:dyDescent="0.25">
      <c r="B9" s="37">
        <v>140</v>
      </c>
      <c r="C9" s="702" t="s">
        <v>153</v>
      </c>
      <c r="D9" s="706" t="s">
        <v>110</v>
      </c>
      <c r="E9" s="704">
        <v>3.82</v>
      </c>
      <c r="F9" s="704">
        <v>3.93</v>
      </c>
      <c r="G9" s="704"/>
      <c r="H9" s="704"/>
      <c r="I9" s="704"/>
      <c r="J9" s="704" t="s">
        <v>764</v>
      </c>
      <c r="K9" s="704">
        <v>6.16</v>
      </c>
      <c r="L9" s="705">
        <v>1</v>
      </c>
      <c r="M9" s="705">
        <v>0.98</v>
      </c>
      <c r="N9" s="704">
        <f>+E9*K9*L9*M9</f>
        <v>23.060575999999998</v>
      </c>
      <c r="O9" s="707">
        <v>8100</v>
      </c>
      <c r="P9" s="708">
        <f>IF(O9=0,0,N9/O9)</f>
        <v>2.8469846913580245E-3</v>
      </c>
      <c r="Q9" s="709">
        <v>1951500</v>
      </c>
      <c r="R9" s="709">
        <v>265680</v>
      </c>
      <c r="S9" s="709">
        <f>+Q9-R9</f>
        <v>1685820</v>
      </c>
      <c r="T9" s="709">
        <f>+P9*S9</f>
        <v>4799.5037323851848</v>
      </c>
      <c r="U9" s="709">
        <f>+T9*0.5</f>
        <v>2399.7518661925924</v>
      </c>
      <c r="V9" s="710">
        <v>3.94</v>
      </c>
      <c r="W9" s="710">
        <v>3.73</v>
      </c>
      <c r="X9" s="706"/>
      <c r="Y9" s="705">
        <f>+W9*1000/U9</f>
        <v>1.5543273671531539</v>
      </c>
      <c r="Z9" s="709">
        <f>+S9*Y9</f>
        <v>2620316.1620941297</v>
      </c>
    </row>
    <row r="10" spans="2:26" x14ac:dyDescent="0.25">
      <c r="B10" s="37">
        <v>150</v>
      </c>
      <c r="C10" s="702" t="s">
        <v>154</v>
      </c>
      <c r="D10" s="706" t="s">
        <v>110</v>
      </c>
      <c r="E10" s="704">
        <v>4.96</v>
      </c>
      <c r="F10" s="704">
        <v>1.74</v>
      </c>
      <c r="G10" s="704"/>
      <c r="H10" s="704"/>
      <c r="I10" s="704"/>
      <c r="J10" s="704" t="s">
        <v>764</v>
      </c>
      <c r="K10" s="704">
        <v>6.16</v>
      </c>
      <c r="L10" s="705">
        <v>1</v>
      </c>
      <c r="M10" s="705">
        <v>0.98</v>
      </c>
      <c r="N10" s="704">
        <f>+E10*K10*L10*M10</f>
        <v>29.942527999999999</v>
      </c>
      <c r="O10" s="707">
        <v>8100</v>
      </c>
      <c r="P10" s="708">
        <f>IF(O10=0,0,N10/O10)</f>
        <v>3.6966083950617282E-3</v>
      </c>
      <c r="Q10" s="709">
        <v>1951500</v>
      </c>
      <c r="R10" s="709">
        <v>265680</v>
      </c>
      <c r="S10" s="709">
        <f>+Q10-R10</f>
        <v>1685820</v>
      </c>
      <c r="T10" s="709">
        <f>+P10*S10</f>
        <v>6231.8163645629629</v>
      </c>
      <c r="U10" s="709">
        <f>+T10*0.5</f>
        <v>3115.9081822814815</v>
      </c>
      <c r="V10" s="710">
        <v>5.12</v>
      </c>
      <c r="W10" s="710">
        <v>4.84</v>
      </c>
      <c r="X10" s="706"/>
      <c r="Y10" s="705">
        <f>+W10*1000/U10</f>
        <v>1.5533191984033787</v>
      </c>
      <c r="Z10" s="709">
        <f>+S10*Y10</f>
        <v>2618616.5710523841</v>
      </c>
    </row>
    <row r="11" spans="2:26" x14ac:dyDescent="0.25">
      <c r="B11" s="37">
        <v>151</v>
      </c>
      <c r="C11" s="702" t="s">
        <v>157</v>
      </c>
      <c r="D11" s="706" t="s">
        <v>110</v>
      </c>
      <c r="E11" s="704">
        <v>2.5</v>
      </c>
      <c r="F11" s="704">
        <v>1.51</v>
      </c>
      <c r="G11" s="704"/>
      <c r="H11" s="704"/>
      <c r="I11" s="704"/>
      <c r="J11" s="704" t="s">
        <v>764</v>
      </c>
      <c r="K11" s="704">
        <v>5.9</v>
      </c>
      <c r="L11" s="705">
        <v>1</v>
      </c>
      <c r="M11" s="705">
        <v>0.98</v>
      </c>
      <c r="N11" s="704">
        <f>+E11*K11*L11*M11</f>
        <v>14.455</v>
      </c>
      <c r="O11" s="707">
        <v>8100</v>
      </c>
      <c r="P11" s="708">
        <f>IF(O11=0,0,N11/O11)</f>
        <v>1.784567901234568E-3</v>
      </c>
      <c r="Q11" s="709">
        <v>1951500</v>
      </c>
      <c r="R11" s="709">
        <v>265680</v>
      </c>
      <c r="S11" s="709">
        <f>+Q11-R11</f>
        <v>1685820</v>
      </c>
      <c r="T11" s="709">
        <f>+P11*S11</f>
        <v>3008.4602592592596</v>
      </c>
      <c r="U11" s="709">
        <f>+T11*0.5</f>
        <v>1504.2301296296298</v>
      </c>
      <c r="V11" s="710">
        <v>2.4700000000000002</v>
      </c>
      <c r="W11" s="710">
        <v>2.33</v>
      </c>
      <c r="X11" s="706"/>
      <c r="Y11" s="705">
        <f>+W11*1000/U11</f>
        <v>1.5489651178398418</v>
      </c>
      <c r="Z11" s="709">
        <f>+S11*Y11</f>
        <v>2611276.374956762</v>
      </c>
    </row>
    <row r="12" spans="2:26" x14ac:dyDescent="0.25">
      <c r="B12" s="37">
        <v>160</v>
      </c>
      <c r="C12" s="702" t="s">
        <v>158</v>
      </c>
      <c r="D12" s="706" t="s">
        <v>110</v>
      </c>
      <c r="E12" s="704"/>
      <c r="F12" s="704">
        <v>0.99</v>
      </c>
      <c r="G12" s="704"/>
      <c r="H12" s="704"/>
      <c r="I12" s="704"/>
      <c r="J12" s="704" t="s">
        <v>764</v>
      </c>
      <c r="K12" s="704"/>
      <c r="L12" s="705"/>
      <c r="M12" s="705"/>
      <c r="N12" s="704"/>
      <c r="O12" s="707"/>
      <c r="P12" s="708"/>
      <c r="Q12" s="709"/>
      <c r="R12" s="709"/>
      <c r="S12" s="709"/>
      <c r="T12" s="709"/>
      <c r="U12" s="709"/>
      <c r="V12" s="710"/>
      <c r="W12" s="710"/>
      <c r="X12" s="706"/>
      <c r="Y12" s="705"/>
      <c r="Z12" s="709"/>
    </row>
    <row r="13" spans="2:26" x14ac:dyDescent="0.25">
      <c r="B13" s="37">
        <v>170</v>
      </c>
      <c r="C13" s="702" t="s">
        <v>160</v>
      </c>
      <c r="D13" s="706" t="s">
        <v>110</v>
      </c>
      <c r="E13" s="704"/>
      <c r="F13" s="704">
        <v>13.24</v>
      </c>
      <c r="G13" s="704"/>
      <c r="H13" s="704"/>
      <c r="I13" s="704"/>
      <c r="J13" s="704" t="s">
        <v>764</v>
      </c>
      <c r="K13" s="704"/>
      <c r="L13" s="705"/>
      <c r="M13" s="705"/>
      <c r="N13" s="704"/>
      <c r="O13" s="707"/>
      <c r="P13" s="708"/>
      <c r="Q13" s="709"/>
      <c r="R13" s="709"/>
      <c r="S13" s="709"/>
      <c r="T13" s="709"/>
      <c r="U13" s="709"/>
      <c r="V13" s="710"/>
      <c r="W13" s="710"/>
      <c r="X13" s="706"/>
      <c r="Y13" s="705"/>
      <c r="Z13" s="709"/>
    </row>
    <row r="14" spans="2:26" x14ac:dyDescent="0.25">
      <c r="B14" s="53" t="s">
        <v>162</v>
      </c>
      <c r="C14" s="711"/>
      <c r="D14" s="712"/>
      <c r="E14" s="713"/>
      <c r="F14" s="713"/>
      <c r="G14" s="713"/>
      <c r="H14" s="713"/>
      <c r="I14" s="713"/>
      <c r="J14" s="713"/>
      <c r="K14" s="713"/>
      <c r="L14" s="714"/>
      <c r="M14" s="714"/>
      <c r="N14" s="713"/>
      <c r="O14" s="715"/>
      <c r="P14" s="716"/>
      <c r="Q14" s="717"/>
      <c r="R14" s="717"/>
      <c r="S14" s="717"/>
      <c r="T14" s="717"/>
      <c r="U14" s="717"/>
      <c r="V14" s="718"/>
      <c r="W14" s="718"/>
      <c r="X14" s="706"/>
      <c r="Y14" s="706"/>
      <c r="Z14" s="706"/>
    </row>
    <row r="15" spans="2:26" x14ac:dyDescent="0.25">
      <c r="B15" s="37">
        <v>210</v>
      </c>
      <c r="C15" s="702" t="s">
        <v>163</v>
      </c>
      <c r="D15" s="706" t="s">
        <v>164</v>
      </c>
      <c r="E15" s="704">
        <v>9.57</v>
      </c>
      <c r="F15" s="704">
        <v>9.44</v>
      </c>
      <c r="G15" s="704"/>
      <c r="H15" s="704"/>
      <c r="I15" s="704"/>
      <c r="J15" s="704" t="s">
        <v>764</v>
      </c>
      <c r="K15" s="704">
        <v>6.09</v>
      </c>
      <c r="L15" s="705">
        <v>1</v>
      </c>
      <c r="M15" s="705">
        <v>0.98</v>
      </c>
      <c r="N15" s="704">
        <f t="shared" ref="N15:N28" si="0">+E15*K15*L15*M15</f>
        <v>57.115673999999999</v>
      </c>
      <c r="O15" s="707">
        <v>8100</v>
      </c>
      <c r="P15" s="708">
        <f>IF(O15=0,0,N15/O15)</f>
        <v>7.0513177777777776E-3</v>
      </c>
      <c r="Q15" s="709">
        <v>1951500</v>
      </c>
      <c r="R15" s="709">
        <v>265680</v>
      </c>
      <c r="S15" s="709">
        <f>+Q15-R15</f>
        <v>1685820</v>
      </c>
      <c r="T15" s="709">
        <f>+P15*S15</f>
        <v>11887.252536133334</v>
      </c>
      <c r="U15" s="709">
        <f>+T15*0.5</f>
        <v>5943.6262680666669</v>
      </c>
      <c r="V15" s="710">
        <v>9769.6299999999992</v>
      </c>
      <c r="W15" s="710">
        <v>9237.27</v>
      </c>
      <c r="X15" s="706"/>
      <c r="Y15" s="705">
        <f>+W15/U15</f>
        <v>1.5541471794128612</v>
      </c>
      <c r="Z15" s="709">
        <f>+S15*Y15</f>
        <v>2620012.3979977896</v>
      </c>
    </row>
    <row r="16" spans="2:26" x14ac:dyDescent="0.25">
      <c r="B16" s="54" t="s">
        <v>763</v>
      </c>
      <c r="C16" s="702" t="s">
        <v>172</v>
      </c>
      <c r="D16" s="706" t="s">
        <v>164</v>
      </c>
      <c r="E16" s="704">
        <v>6.72</v>
      </c>
      <c r="F16" s="704"/>
      <c r="G16" s="704"/>
      <c r="H16" s="704"/>
      <c r="I16" s="704"/>
      <c r="J16" s="704" t="s">
        <v>764</v>
      </c>
      <c r="K16" s="704">
        <v>6.09</v>
      </c>
      <c r="L16" s="705">
        <v>1</v>
      </c>
      <c r="M16" s="705">
        <v>0.98</v>
      </c>
      <c r="N16" s="704">
        <f t="shared" si="0"/>
        <v>40.106303999999994</v>
      </c>
      <c r="O16" s="707">
        <v>8100</v>
      </c>
      <c r="P16" s="708">
        <f>IF(O16=0,0,N16/O16)</f>
        <v>4.9513955555555546E-3</v>
      </c>
      <c r="Q16" s="709">
        <v>1951500</v>
      </c>
      <c r="R16" s="709">
        <v>265680</v>
      </c>
      <c r="S16" s="709">
        <f>+Q16-R16</f>
        <v>1685820</v>
      </c>
      <c r="T16" s="709">
        <f t="shared" ref="T16:T91" si="1">+P16*S16</f>
        <v>8347.1616554666653</v>
      </c>
      <c r="U16" s="709">
        <f t="shared" ref="U16:U91" si="2">+T16*0.5</f>
        <v>4173.5808277333326</v>
      </c>
      <c r="V16" s="710">
        <v>6860.39</v>
      </c>
      <c r="W16" s="710">
        <v>6485.95</v>
      </c>
      <c r="X16" s="706"/>
      <c r="Y16" s="705">
        <f>+W16/U16</f>
        <v>1.5540492128248808</v>
      </c>
      <c r="Z16" s="709">
        <f>+S16*Y16</f>
        <v>2619847.2439644407</v>
      </c>
    </row>
    <row r="17" spans="2:26" x14ac:dyDescent="0.25">
      <c r="B17" s="37">
        <v>220</v>
      </c>
      <c r="C17" s="702" t="s">
        <v>167</v>
      </c>
      <c r="D17" s="706" t="s">
        <v>164</v>
      </c>
      <c r="E17" s="704"/>
      <c r="F17" s="704">
        <v>7.32</v>
      </c>
      <c r="G17" s="704"/>
      <c r="H17" s="704"/>
      <c r="I17" s="704"/>
      <c r="J17" s="704" t="s">
        <v>764</v>
      </c>
      <c r="K17" s="704"/>
      <c r="L17" s="705"/>
      <c r="M17" s="705"/>
      <c r="N17" s="704"/>
      <c r="O17" s="707"/>
      <c r="P17" s="708"/>
      <c r="Q17" s="709"/>
      <c r="R17" s="709"/>
      <c r="S17" s="709"/>
      <c r="T17" s="709"/>
      <c r="U17" s="709"/>
      <c r="V17" s="710"/>
      <c r="W17" s="710"/>
      <c r="X17" s="706"/>
      <c r="Y17" s="705"/>
      <c r="Z17" s="709"/>
    </row>
    <row r="18" spans="2:26" x14ac:dyDescent="0.25">
      <c r="B18" s="37">
        <v>221</v>
      </c>
      <c r="C18" s="702" t="s">
        <v>168</v>
      </c>
      <c r="D18" s="706" t="s">
        <v>164</v>
      </c>
      <c r="E18" s="704"/>
      <c r="F18" s="704">
        <v>5.44</v>
      </c>
      <c r="G18" s="704">
        <v>2.59</v>
      </c>
      <c r="H18" s="704"/>
      <c r="I18" s="704"/>
      <c r="J18" s="704" t="s">
        <v>764</v>
      </c>
      <c r="K18" s="704"/>
      <c r="L18" s="705"/>
      <c r="M18" s="705"/>
      <c r="N18" s="704"/>
      <c r="O18" s="707"/>
      <c r="P18" s="708"/>
      <c r="Q18" s="709"/>
      <c r="R18" s="709"/>
      <c r="S18" s="709"/>
      <c r="T18" s="709"/>
      <c r="U18" s="709"/>
      <c r="V18" s="710"/>
      <c r="W18" s="710"/>
      <c r="X18" s="706"/>
      <c r="Y18" s="705"/>
      <c r="Z18" s="709"/>
    </row>
    <row r="19" spans="2:26" x14ac:dyDescent="0.25">
      <c r="B19" s="37">
        <v>222</v>
      </c>
      <c r="C19" s="702" t="s">
        <v>171</v>
      </c>
      <c r="D19" s="706" t="s">
        <v>164</v>
      </c>
      <c r="E19" s="704">
        <v>4.2</v>
      </c>
      <c r="F19" s="704">
        <v>4.45</v>
      </c>
      <c r="G19" s="704">
        <v>2.0699999999999998</v>
      </c>
      <c r="H19" s="704">
        <v>2.16</v>
      </c>
      <c r="I19" s="704"/>
      <c r="J19" s="704">
        <v>8.0399999999999991</v>
      </c>
      <c r="K19" s="704"/>
      <c r="L19" s="705"/>
      <c r="M19" s="705"/>
      <c r="N19" s="704"/>
      <c r="O19" s="707"/>
      <c r="P19" s="708"/>
      <c r="Q19" s="709"/>
      <c r="R19" s="709"/>
      <c r="S19" s="709"/>
      <c r="T19" s="709"/>
      <c r="U19" s="709"/>
      <c r="V19" s="710"/>
      <c r="W19" s="710"/>
      <c r="X19" s="706"/>
      <c r="Y19" s="705"/>
      <c r="Z19" s="709"/>
    </row>
    <row r="20" spans="2:26" x14ac:dyDescent="0.25">
      <c r="B20" s="54" t="s">
        <v>763</v>
      </c>
      <c r="C20" s="702" t="s">
        <v>765</v>
      </c>
      <c r="D20" s="706" t="s">
        <v>164</v>
      </c>
      <c r="E20" s="704"/>
      <c r="F20" s="704"/>
      <c r="G20" s="704"/>
      <c r="H20" s="704"/>
      <c r="I20" s="704"/>
      <c r="J20" s="704" t="s">
        <v>764</v>
      </c>
      <c r="K20" s="704">
        <v>6.09</v>
      </c>
      <c r="L20" s="705">
        <v>1</v>
      </c>
      <c r="M20" s="705">
        <v>0.98</v>
      </c>
      <c r="N20" s="704">
        <f>+E19*K20*L20*M20</f>
        <v>25.06644</v>
      </c>
      <c r="O20" s="707">
        <v>8100</v>
      </c>
      <c r="P20" s="708">
        <f t="shared" ref="P20:P28" si="3">IF(O20=0,0,N20/O20)</f>
        <v>3.0946222222222224E-3</v>
      </c>
      <c r="Q20" s="709">
        <v>1951500</v>
      </c>
      <c r="R20" s="709">
        <v>265680</v>
      </c>
      <c r="S20" s="709">
        <f t="shared" ref="S20:S28" si="4">+Q20-R20</f>
        <v>1685820</v>
      </c>
      <c r="T20" s="709">
        <f t="shared" si="1"/>
        <v>5216.9760346666671</v>
      </c>
      <c r="U20" s="709">
        <f t="shared" si="2"/>
        <v>2608.4880173333336</v>
      </c>
      <c r="V20" s="710">
        <v>4288.1499999999996</v>
      </c>
      <c r="W20" s="710">
        <v>4053.72</v>
      </c>
      <c r="X20" s="706"/>
      <c r="Y20" s="705">
        <f>+W20/U20</f>
        <v>1.5540496920296885</v>
      </c>
      <c r="Z20" s="709">
        <f>+S20*Y20</f>
        <v>2619848.0518174893</v>
      </c>
    </row>
    <row r="21" spans="2:26" x14ac:dyDescent="0.25">
      <c r="B21" s="37">
        <v>231</v>
      </c>
      <c r="C21" s="702" t="s">
        <v>436</v>
      </c>
      <c r="D21" s="706" t="s">
        <v>164</v>
      </c>
      <c r="E21" s="704"/>
      <c r="F21" s="704">
        <v>3.44</v>
      </c>
      <c r="G21" s="704"/>
      <c r="H21" s="704"/>
      <c r="I21" s="704"/>
      <c r="J21" s="704" t="s">
        <v>764</v>
      </c>
      <c r="K21" s="704"/>
      <c r="L21" s="705"/>
      <c r="M21" s="705"/>
      <c r="N21" s="704"/>
      <c r="O21" s="707"/>
      <c r="P21" s="708"/>
      <c r="Q21" s="709"/>
      <c r="R21" s="709"/>
      <c r="S21" s="709"/>
      <c r="T21" s="709"/>
      <c r="U21" s="709"/>
      <c r="V21" s="710"/>
      <c r="W21" s="710"/>
      <c r="X21" s="706"/>
      <c r="Y21" s="705"/>
      <c r="Z21" s="709"/>
    </row>
    <row r="22" spans="2:26" x14ac:dyDescent="0.25">
      <c r="B22" s="37">
        <v>230</v>
      </c>
      <c r="C22" s="702" t="s">
        <v>766</v>
      </c>
      <c r="D22" s="706" t="s">
        <v>164</v>
      </c>
      <c r="E22" s="704">
        <v>5.86</v>
      </c>
      <c r="F22" s="704"/>
      <c r="G22" s="704"/>
      <c r="H22" s="704"/>
      <c r="I22" s="704"/>
      <c r="J22" s="704" t="s">
        <v>764</v>
      </c>
      <c r="K22" s="704">
        <v>6.09</v>
      </c>
      <c r="L22" s="705">
        <v>1</v>
      </c>
      <c r="M22" s="705">
        <v>0.98</v>
      </c>
      <c r="N22" s="704">
        <f t="shared" si="0"/>
        <v>34.973652000000001</v>
      </c>
      <c r="O22" s="707">
        <v>8100</v>
      </c>
      <c r="P22" s="708">
        <f t="shared" si="3"/>
        <v>4.3177348148148147E-3</v>
      </c>
      <c r="Q22" s="709">
        <v>1951500</v>
      </c>
      <c r="R22" s="709">
        <v>265680</v>
      </c>
      <c r="S22" s="709">
        <f t="shared" si="4"/>
        <v>1685820</v>
      </c>
      <c r="T22" s="709">
        <f t="shared" si="1"/>
        <v>7278.9237055111107</v>
      </c>
      <c r="U22" s="709">
        <f t="shared" si="2"/>
        <v>3639.4618527555554</v>
      </c>
      <c r="V22" s="710">
        <v>5981.27</v>
      </c>
      <c r="W22" s="710">
        <v>5655.67</v>
      </c>
      <c r="X22" s="706"/>
      <c r="Y22" s="705">
        <f t="shared" ref="Y22:Y60" si="5">+W22/U22</f>
        <v>1.5539852398007434</v>
      </c>
      <c r="Z22" s="709">
        <f t="shared" ref="Z22:Z104" si="6">+S22*Y22</f>
        <v>2619739.3969608895</v>
      </c>
    </row>
    <row r="23" spans="2:26" x14ac:dyDescent="0.25">
      <c r="B23" s="37">
        <v>240</v>
      </c>
      <c r="C23" s="702" t="s">
        <v>182</v>
      </c>
      <c r="D23" s="706" t="s">
        <v>164</v>
      </c>
      <c r="E23" s="704">
        <v>4.99</v>
      </c>
      <c r="F23" s="704">
        <v>5</v>
      </c>
      <c r="G23" s="704"/>
      <c r="H23" s="704"/>
      <c r="I23" s="704"/>
      <c r="J23" s="704" t="s">
        <v>764</v>
      </c>
      <c r="K23" s="704">
        <v>6.09</v>
      </c>
      <c r="L23" s="705">
        <v>1</v>
      </c>
      <c r="M23" s="705">
        <v>0.98</v>
      </c>
      <c r="N23" s="704">
        <f t="shared" si="0"/>
        <v>29.781317999999999</v>
      </c>
      <c r="O23" s="707">
        <v>8100</v>
      </c>
      <c r="P23" s="708">
        <f t="shared" si="3"/>
        <v>3.6767059259259259E-3</v>
      </c>
      <c r="Q23" s="709">
        <v>1951500</v>
      </c>
      <c r="R23" s="709">
        <v>265680</v>
      </c>
      <c r="S23" s="709">
        <f t="shared" si="4"/>
        <v>1685820</v>
      </c>
      <c r="T23" s="709">
        <f t="shared" si="1"/>
        <v>6198.2643840444443</v>
      </c>
      <c r="U23" s="709">
        <f t="shared" si="2"/>
        <v>3099.1321920222222</v>
      </c>
      <c r="V23" s="710">
        <v>5094.01</v>
      </c>
      <c r="W23" s="710">
        <v>4815.62</v>
      </c>
      <c r="X23" s="706"/>
      <c r="Y23" s="705">
        <f t="shared" si="5"/>
        <v>1.5538607912228966</v>
      </c>
      <c r="Z23" s="709">
        <f t="shared" si="6"/>
        <v>2619529.5990593834</v>
      </c>
    </row>
    <row r="24" spans="2:26" x14ac:dyDescent="0.25">
      <c r="B24" s="37">
        <v>251</v>
      </c>
      <c r="C24" s="702" t="s">
        <v>181</v>
      </c>
      <c r="D24" s="706" t="s">
        <v>164</v>
      </c>
      <c r="E24" s="704">
        <v>3.68</v>
      </c>
      <c r="F24" s="704">
        <v>4.2699999999999996</v>
      </c>
      <c r="G24" s="704"/>
      <c r="H24" s="704"/>
      <c r="I24" s="704"/>
      <c r="J24" s="704" t="s">
        <v>764</v>
      </c>
      <c r="K24" s="704">
        <v>6.09</v>
      </c>
      <c r="L24" s="705">
        <v>1</v>
      </c>
      <c r="M24" s="705">
        <v>0.98</v>
      </c>
      <c r="N24" s="704">
        <f t="shared" si="0"/>
        <v>21.962976000000001</v>
      </c>
      <c r="O24" s="707">
        <v>8100</v>
      </c>
      <c r="P24" s="708">
        <f t="shared" si="3"/>
        <v>2.7114785185185187E-3</v>
      </c>
      <c r="Q24" s="709">
        <v>1951500</v>
      </c>
      <c r="R24" s="709">
        <v>265680</v>
      </c>
      <c r="S24" s="709">
        <f t="shared" si="4"/>
        <v>1685820</v>
      </c>
      <c r="T24" s="709">
        <f t="shared" si="1"/>
        <v>4571.0647160888893</v>
      </c>
      <c r="U24" s="709">
        <f t="shared" si="2"/>
        <v>2285.5323580444447</v>
      </c>
      <c r="V24" s="710">
        <v>3755.8</v>
      </c>
      <c r="W24" s="710">
        <v>3552.3</v>
      </c>
      <c r="X24" s="706"/>
      <c r="Y24" s="705">
        <f t="shared" si="5"/>
        <v>1.5542549583675254</v>
      </c>
      <c r="Z24" s="709">
        <f t="shared" si="6"/>
        <v>2620194.0939151417</v>
      </c>
    </row>
    <row r="25" spans="2:26" x14ac:dyDescent="0.25">
      <c r="B25" s="37">
        <v>252</v>
      </c>
      <c r="C25" s="702" t="s">
        <v>184</v>
      </c>
      <c r="D25" s="706" t="s">
        <v>164</v>
      </c>
      <c r="E25" s="704">
        <v>3.44</v>
      </c>
      <c r="F25" s="704">
        <v>3.7</v>
      </c>
      <c r="G25" s="704"/>
      <c r="H25" s="704"/>
      <c r="I25" s="704"/>
      <c r="J25" s="704" t="s">
        <v>764</v>
      </c>
      <c r="K25" s="704">
        <v>6.09</v>
      </c>
      <c r="L25" s="705">
        <v>1</v>
      </c>
      <c r="M25" s="705">
        <v>0.98</v>
      </c>
      <c r="N25" s="704">
        <f t="shared" si="0"/>
        <v>20.530608000000001</v>
      </c>
      <c r="O25" s="707">
        <v>8100</v>
      </c>
      <c r="P25" s="708">
        <f t="shared" si="3"/>
        <v>2.534642962962963E-3</v>
      </c>
      <c r="Q25" s="709">
        <v>1951500</v>
      </c>
      <c r="R25" s="709">
        <v>265680</v>
      </c>
      <c r="S25" s="709">
        <f t="shared" si="4"/>
        <v>1685820</v>
      </c>
      <c r="T25" s="709">
        <f t="shared" si="1"/>
        <v>4272.9517998222227</v>
      </c>
      <c r="U25" s="709">
        <f t="shared" si="2"/>
        <v>2136.4758999111114</v>
      </c>
      <c r="V25" s="710">
        <v>3511.6</v>
      </c>
      <c r="W25" s="710">
        <v>3319.49</v>
      </c>
      <c r="X25" s="706"/>
      <c r="Y25" s="705">
        <f t="shared" si="5"/>
        <v>1.5537221834040384</v>
      </c>
      <c r="Z25" s="709">
        <f t="shared" si="6"/>
        <v>2619295.9312261962</v>
      </c>
    </row>
    <row r="26" spans="2:26" x14ac:dyDescent="0.25">
      <c r="B26" s="37">
        <v>253</v>
      </c>
      <c r="C26" s="702" t="s">
        <v>187</v>
      </c>
      <c r="D26" s="706" t="s">
        <v>164</v>
      </c>
      <c r="E26" s="704">
        <v>2.02</v>
      </c>
      <c r="F26" s="704">
        <v>2.2000000000000002</v>
      </c>
      <c r="G26" s="704"/>
      <c r="H26" s="704"/>
      <c r="I26" s="704"/>
      <c r="J26" s="704" t="s">
        <v>764</v>
      </c>
      <c r="K26" s="704">
        <v>6.2</v>
      </c>
      <c r="L26" s="705">
        <v>1</v>
      </c>
      <c r="M26" s="705">
        <v>0.98</v>
      </c>
      <c r="N26" s="704">
        <f t="shared" si="0"/>
        <v>12.273520000000001</v>
      </c>
      <c r="O26" s="707">
        <v>8100</v>
      </c>
      <c r="P26" s="708">
        <f t="shared" si="3"/>
        <v>1.5152493827160496E-3</v>
      </c>
      <c r="Q26" s="709">
        <v>1951500</v>
      </c>
      <c r="R26" s="709">
        <v>265680</v>
      </c>
      <c r="S26" s="709">
        <f t="shared" si="4"/>
        <v>1685820</v>
      </c>
      <c r="T26" s="709">
        <f t="shared" si="1"/>
        <v>2554.4377143703709</v>
      </c>
      <c r="U26" s="709">
        <f t="shared" si="2"/>
        <v>1277.2188571851855</v>
      </c>
      <c r="V26" s="710">
        <v>2098.4899999999998</v>
      </c>
      <c r="W26" s="710">
        <v>1984.53</v>
      </c>
      <c r="X26" s="706"/>
      <c r="Y26" s="705">
        <f t="shared" si="5"/>
        <v>1.5537900876077189</v>
      </c>
      <c r="Z26" s="709">
        <f t="shared" si="6"/>
        <v>2619410.4054908445</v>
      </c>
    </row>
    <row r="27" spans="2:26" x14ac:dyDescent="0.25">
      <c r="B27" s="37">
        <v>254</v>
      </c>
      <c r="C27" s="702" t="s">
        <v>190</v>
      </c>
      <c r="D27" s="706" t="s">
        <v>164</v>
      </c>
      <c r="E27" s="704">
        <v>2.66</v>
      </c>
      <c r="F27" s="704">
        <v>2.6</v>
      </c>
      <c r="G27" s="704"/>
      <c r="H27" s="704"/>
      <c r="I27" s="704"/>
      <c r="J27" s="704" t="s">
        <v>764</v>
      </c>
      <c r="K27" s="704">
        <v>6.2</v>
      </c>
      <c r="L27" s="705">
        <v>1</v>
      </c>
      <c r="M27" s="705">
        <v>0.98</v>
      </c>
      <c r="N27" s="704">
        <f t="shared" si="0"/>
        <v>16.16216</v>
      </c>
      <c r="O27" s="707">
        <v>8100</v>
      </c>
      <c r="P27" s="708">
        <f t="shared" si="3"/>
        <v>1.9953283950617283E-3</v>
      </c>
      <c r="Q27" s="709">
        <v>1951500</v>
      </c>
      <c r="R27" s="709">
        <v>265680</v>
      </c>
      <c r="S27" s="709">
        <f t="shared" si="4"/>
        <v>1685820</v>
      </c>
      <c r="T27" s="709">
        <f t="shared" si="1"/>
        <v>3363.7645149629629</v>
      </c>
      <c r="U27" s="709">
        <f t="shared" si="2"/>
        <v>1681.8822574814815</v>
      </c>
      <c r="V27" s="710">
        <v>2764.34</v>
      </c>
      <c r="W27" s="710">
        <v>2614.5700000000002</v>
      </c>
      <c r="X27" s="706"/>
      <c r="Y27" s="705">
        <f t="shared" si="5"/>
        <v>1.5545499623232621</v>
      </c>
      <c r="Z27" s="709">
        <f t="shared" si="6"/>
        <v>2620691.417483802</v>
      </c>
    </row>
    <row r="28" spans="2:26" x14ac:dyDescent="0.25">
      <c r="B28" s="37">
        <v>255</v>
      </c>
      <c r="C28" s="702" t="s">
        <v>193</v>
      </c>
      <c r="D28" s="706" t="s">
        <v>164</v>
      </c>
      <c r="E28" s="704">
        <v>2.2799999999999998</v>
      </c>
      <c r="F28" s="704">
        <v>2.4</v>
      </c>
      <c r="G28" s="704"/>
      <c r="H28" s="704"/>
      <c r="I28" s="704"/>
      <c r="J28" s="704" t="s">
        <v>764</v>
      </c>
      <c r="K28" s="704">
        <v>6.09</v>
      </c>
      <c r="L28" s="705">
        <v>1</v>
      </c>
      <c r="M28" s="705">
        <v>0.98</v>
      </c>
      <c r="N28" s="704">
        <f t="shared" si="0"/>
        <v>13.607495999999999</v>
      </c>
      <c r="O28" s="707">
        <v>8100</v>
      </c>
      <c r="P28" s="708">
        <f t="shared" si="3"/>
        <v>1.6799377777777778E-3</v>
      </c>
      <c r="Q28" s="709">
        <v>1951500</v>
      </c>
      <c r="R28" s="709">
        <v>265680</v>
      </c>
      <c r="S28" s="709">
        <f t="shared" si="4"/>
        <v>1685820</v>
      </c>
      <c r="T28" s="709">
        <f t="shared" si="1"/>
        <v>2832.0727045333333</v>
      </c>
      <c r="U28" s="709">
        <f t="shared" si="2"/>
        <v>1416.0363522666667</v>
      </c>
      <c r="V28" s="710">
        <v>2494.1</v>
      </c>
      <c r="W28" s="710">
        <v>2358.9699999999998</v>
      </c>
      <c r="X28" s="706"/>
      <c r="Y28" s="719">
        <f t="shared" si="5"/>
        <v>1.66589649780104</v>
      </c>
      <c r="Z28" s="709">
        <f t="shared" si="6"/>
        <v>2808401.6339229494</v>
      </c>
    </row>
    <row r="29" spans="2:26" x14ac:dyDescent="0.25">
      <c r="B29" s="37">
        <v>265</v>
      </c>
      <c r="C29" s="702" t="s">
        <v>195</v>
      </c>
      <c r="D29" s="706" t="s">
        <v>164</v>
      </c>
      <c r="E29" s="704"/>
      <c r="F29" s="704">
        <v>8.6300000000000008</v>
      </c>
      <c r="G29" s="704"/>
      <c r="H29" s="704"/>
      <c r="I29" s="704"/>
      <c r="J29" s="704" t="s">
        <v>764</v>
      </c>
      <c r="K29" s="704"/>
      <c r="L29" s="705"/>
      <c r="M29" s="705"/>
      <c r="N29" s="704"/>
      <c r="O29" s="707"/>
      <c r="P29" s="708"/>
      <c r="Q29" s="709"/>
      <c r="R29" s="709"/>
      <c r="S29" s="709"/>
      <c r="T29" s="709"/>
      <c r="U29" s="709"/>
      <c r="V29" s="710"/>
      <c r="W29" s="710"/>
      <c r="X29" s="706"/>
      <c r="Y29" s="719"/>
      <c r="Z29" s="709"/>
    </row>
    <row r="30" spans="2:26" x14ac:dyDescent="0.25">
      <c r="B30" s="37">
        <v>270</v>
      </c>
      <c r="C30" s="702" t="s">
        <v>197</v>
      </c>
      <c r="D30" s="706" t="s">
        <v>164</v>
      </c>
      <c r="E30" s="704"/>
      <c r="F30" s="704">
        <v>7.83</v>
      </c>
      <c r="G30" s="704"/>
      <c r="H30" s="704"/>
      <c r="I30" s="704"/>
      <c r="J30" s="704" t="s">
        <v>764</v>
      </c>
      <c r="K30" s="704"/>
      <c r="L30" s="705"/>
      <c r="M30" s="705"/>
      <c r="N30" s="704"/>
      <c r="O30" s="707"/>
      <c r="P30" s="708"/>
      <c r="Q30" s="709"/>
      <c r="R30" s="709"/>
      <c r="S30" s="709"/>
      <c r="T30" s="709"/>
      <c r="U30" s="709"/>
      <c r="V30" s="710"/>
      <c r="W30" s="710"/>
      <c r="X30" s="706"/>
      <c r="Y30" s="719"/>
      <c r="Z30" s="709"/>
    </row>
    <row r="31" spans="2:26" x14ac:dyDescent="0.25">
      <c r="B31" s="53" t="s">
        <v>198</v>
      </c>
      <c r="C31" s="711"/>
      <c r="D31" s="712"/>
      <c r="E31" s="713"/>
      <c r="F31" s="713"/>
      <c r="G31" s="713"/>
      <c r="H31" s="713"/>
      <c r="I31" s="713"/>
      <c r="J31" s="713"/>
      <c r="K31" s="713"/>
      <c r="L31" s="714"/>
      <c r="M31" s="714"/>
      <c r="N31" s="713"/>
      <c r="O31" s="715"/>
      <c r="P31" s="716"/>
      <c r="Q31" s="717"/>
      <c r="R31" s="717"/>
      <c r="S31" s="717"/>
      <c r="T31" s="717"/>
      <c r="U31" s="717"/>
      <c r="V31" s="718"/>
      <c r="W31" s="718"/>
      <c r="X31" s="706"/>
      <c r="Y31" s="705"/>
      <c r="Z31" s="709"/>
    </row>
    <row r="32" spans="2:26" x14ac:dyDescent="0.25">
      <c r="B32" s="37">
        <v>311</v>
      </c>
      <c r="C32" s="702" t="s">
        <v>201</v>
      </c>
      <c r="D32" s="720" t="s">
        <v>200</v>
      </c>
      <c r="E32" s="721">
        <v>8.92</v>
      </c>
      <c r="F32" s="721">
        <v>4.46</v>
      </c>
      <c r="G32" s="721">
        <v>2.2400000000000002</v>
      </c>
      <c r="H32" s="721"/>
      <c r="I32" s="721"/>
      <c r="J32" s="721" t="s">
        <v>764</v>
      </c>
      <c r="K32" s="721">
        <v>6.09</v>
      </c>
      <c r="L32" s="722">
        <v>1</v>
      </c>
      <c r="M32" s="722">
        <v>0.98</v>
      </c>
      <c r="N32" s="721">
        <f>+E32*K32*L32*M32</f>
        <v>53.236344000000003</v>
      </c>
      <c r="O32" s="707">
        <v>8100</v>
      </c>
      <c r="P32" s="708">
        <f>IF(O32=0,0,N32/O32)</f>
        <v>6.5723881481481485E-3</v>
      </c>
      <c r="Q32" s="709">
        <v>1951500</v>
      </c>
      <c r="R32" s="709">
        <v>265680</v>
      </c>
      <c r="S32" s="709">
        <f>+Q32-R32</f>
        <v>1685820</v>
      </c>
      <c r="T32" s="709">
        <f t="shared" si="1"/>
        <v>11079.863387911111</v>
      </c>
      <c r="U32" s="709">
        <f t="shared" si="2"/>
        <v>5539.9316939555556</v>
      </c>
      <c r="V32" s="710">
        <v>6370.3639999999996</v>
      </c>
      <c r="W32" s="710">
        <v>6021.9719999999998</v>
      </c>
      <c r="X32" s="706"/>
      <c r="Y32" s="719">
        <f t="shared" si="5"/>
        <v>1.0870119583911808</v>
      </c>
      <c r="Z32" s="709">
        <f t="shared" si="6"/>
        <v>1832506.4996950205</v>
      </c>
    </row>
    <row r="33" spans="2:26" x14ac:dyDescent="0.25">
      <c r="B33" s="37">
        <v>310</v>
      </c>
      <c r="C33" s="702" t="s">
        <v>199</v>
      </c>
      <c r="D33" s="720" t="s">
        <v>200</v>
      </c>
      <c r="E33" s="721">
        <v>6.24</v>
      </c>
      <c r="F33" s="721">
        <v>8.36</v>
      </c>
      <c r="G33" s="721"/>
      <c r="H33" s="721">
        <v>5.49</v>
      </c>
      <c r="I33" s="721"/>
      <c r="J33" s="721" t="s">
        <v>764</v>
      </c>
      <c r="K33" s="721">
        <v>6.09</v>
      </c>
      <c r="L33" s="722">
        <v>1</v>
      </c>
      <c r="M33" s="722">
        <v>0.98</v>
      </c>
      <c r="N33" s="721">
        <f>+E33*K33*L33*M33</f>
        <v>37.241568000000001</v>
      </c>
      <c r="O33" s="707">
        <v>8100</v>
      </c>
      <c r="P33" s="708">
        <f>IF(O33=0,0,N33/O33)</f>
        <v>4.5977244444444449E-3</v>
      </c>
      <c r="Q33" s="709">
        <v>1951500</v>
      </c>
      <c r="R33" s="709">
        <v>265680</v>
      </c>
      <c r="S33" s="709">
        <f>+Q33-R33</f>
        <v>1685820</v>
      </c>
      <c r="T33" s="709">
        <f t="shared" si="1"/>
        <v>7750.9358229333338</v>
      </c>
      <c r="U33" s="709">
        <f t="shared" si="2"/>
        <v>3875.4679114666669</v>
      </c>
      <c r="V33" s="710">
        <v>9105.4040000000005</v>
      </c>
      <c r="W33" s="710">
        <v>8608.8639999999996</v>
      </c>
      <c r="X33" s="706"/>
      <c r="Y33" s="719">
        <f t="shared" si="5"/>
        <v>2.2213740886689433</v>
      </c>
      <c r="Z33" s="709">
        <f t="shared" si="6"/>
        <v>3744836.8661598777</v>
      </c>
    </row>
    <row r="34" spans="2:26" x14ac:dyDescent="0.25">
      <c r="B34" s="37">
        <v>320</v>
      </c>
      <c r="C34" s="702" t="s">
        <v>203</v>
      </c>
      <c r="D34" s="720" t="s">
        <v>200</v>
      </c>
      <c r="E34" s="721">
        <v>9.11</v>
      </c>
      <c r="F34" s="721">
        <v>3.35</v>
      </c>
      <c r="G34" s="721"/>
      <c r="H34" s="721"/>
      <c r="I34" s="721"/>
      <c r="J34" s="721" t="s">
        <v>764</v>
      </c>
      <c r="K34" s="721">
        <v>6.09</v>
      </c>
      <c r="L34" s="722">
        <v>1</v>
      </c>
      <c r="M34" s="722">
        <v>0.98</v>
      </c>
      <c r="N34" s="721">
        <f>+E34*K34*L34*M34</f>
        <v>54.370301999999995</v>
      </c>
      <c r="O34" s="707">
        <v>8100</v>
      </c>
      <c r="P34" s="708">
        <f>IF(O34=0,0,N34/O34)</f>
        <v>6.7123829629629622E-3</v>
      </c>
      <c r="Q34" s="709">
        <v>1951500</v>
      </c>
      <c r="R34" s="709">
        <v>265680</v>
      </c>
      <c r="S34" s="709">
        <f>+Q34-R34</f>
        <v>1685820</v>
      </c>
      <c r="T34" s="709">
        <f t="shared" si="1"/>
        <v>11315.86944662222</v>
      </c>
      <c r="U34" s="709">
        <f t="shared" si="2"/>
        <v>5657.9347233111102</v>
      </c>
      <c r="V34" s="710">
        <v>9299.1360000000004</v>
      </c>
      <c r="W34" s="710">
        <v>8792.8279999999995</v>
      </c>
      <c r="X34" s="706"/>
      <c r="Y34" s="719">
        <f t="shared" si="5"/>
        <v>1.5540702447083556</v>
      </c>
      <c r="Z34" s="709">
        <f t="shared" si="6"/>
        <v>2619882.69993424</v>
      </c>
    </row>
    <row r="35" spans="2:26" x14ac:dyDescent="0.25">
      <c r="B35" s="37">
        <v>312</v>
      </c>
      <c r="C35" s="702" t="s">
        <v>206</v>
      </c>
      <c r="D35" s="720" t="s">
        <v>200</v>
      </c>
      <c r="E35" s="721"/>
      <c r="F35" s="721">
        <v>4.0199999999999996</v>
      </c>
      <c r="G35" s="721"/>
      <c r="H35" s="721">
        <v>2.72</v>
      </c>
      <c r="I35" s="721"/>
      <c r="J35" s="721" t="s">
        <v>764</v>
      </c>
      <c r="K35" s="721"/>
      <c r="L35" s="722"/>
      <c r="M35" s="722"/>
      <c r="N35" s="721"/>
      <c r="O35" s="707"/>
      <c r="P35" s="708"/>
      <c r="Q35" s="709"/>
      <c r="R35" s="709"/>
      <c r="S35" s="709"/>
      <c r="T35" s="709"/>
      <c r="U35" s="709"/>
      <c r="V35" s="710"/>
      <c r="W35" s="710"/>
      <c r="X35" s="706"/>
      <c r="Y35" s="719"/>
      <c r="Z35" s="709"/>
    </row>
    <row r="36" spans="2:26" x14ac:dyDescent="0.25">
      <c r="B36" s="37">
        <v>330</v>
      </c>
      <c r="C36" s="702" t="s">
        <v>767</v>
      </c>
      <c r="D36" s="720" t="s">
        <v>200</v>
      </c>
      <c r="E36" s="721"/>
      <c r="F36" s="54" t="s">
        <v>763</v>
      </c>
      <c r="G36" s="721"/>
      <c r="H36" s="721"/>
      <c r="I36" s="721"/>
      <c r="J36" s="721" t="s">
        <v>764</v>
      </c>
      <c r="K36" s="721"/>
      <c r="L36" s="722"/>
      <c r="M36" s="722"/>
      <c r="N36" s="721"/>
      <c r="O36" s="707"/>
      <c r="P36" s="708"/>
      <c r="Q36" s="709"/>
      <c r="R36" s="709"/>
      <c r="S36" s="709"/>
      <c r="T36" s="709"/>
      <c r="U36" s="709"/>
      <c r="V36" s="710"/>
      <c r="W36" s="710"/>
      <c r="X36" s="706"/>
      <c r="Y36" s="719"/>
      <c r="Z36" s="709"/>
    </row>
    <row r="37" spans="2:26" x14ac:dyDescent="0.25">
      <c r="B37" s="53" t="s">
        <v>205</v>
      </c>
      <c r="C37" s="711"/>
      <c r="D37" s="712"/>
      <c r="E37" s="713"/>
      <c r="F37" s="713"/>
      <c r="G37" s="713"/>
      <c r="H37" s="713"/>
      <c r="I37" s="713"/>
      <c r="J37" s="713"/>
      <c r="K37" s="713"/>
      <c r="L37" s="714"/>
      <c r="M37" s="714"/>
      <c r="N37" s="713"/>
      <c r="O37" s="715"/>
      <c r="P37" s="716"/>
      <c r="Q37" s="717"/>
      <c r="R37" s="717"/>
      <c r="S37" s="717"/>
      <c r="T37" s="717"/>
      <c r="U37" s="717"/>
      <c r="V37" s="718"/>
      <c r="W37" s="718"/>
      <c r="X37" s="706"/>
      <c r="Y37" s="705"/>
      <c r="Z37" s="709"/>
    </row>
    <row r="38" spans="2:26" x14ac:dyDescent="0.25">
      <c r="B38" s="37">
        <v>420</v>
      </c>
      <c r="C38" s="702" t="s">
        <v>207</v>
      </c>
      <c r="D38" s="706" t="s">
        <v>210</v>
      </c>
      <c r="E38" s="704">
        <v>2.96</v>
      </c>
      <c r="F38" s="704">
        <v>2.41</v>
      </c>
      <c r="G38" s="704"/>
      <c r="H38" s="704"/>
      <c r="I38" s="704"/>
      <c r="J38" s="721" t="s">
        <v>764</v>
      </c>
      <c r="K38" s="704">
        <v>6.3</v>
      </c>
      <c r="L38" s="705">
        <v>1</v>
      </c>
      <c r="M38" s="705">
        <v>0.98</v>
      </c>
      <c r="N38" s="704">
        <f t="shared" ref="N38:N45" si="7">+E38*K38*L38*M38</f>
        <v>18.275040000000001</v>
      </c>
      <c r="O38" s="707">
        <v>8100</v>
      </c>
      <c r="P38" s="708">
        <f t="shared" ref="P38:P45" si="8">IF(O38=0,0,N38/O38)</f>
        <v>2.2561777777777778E-3</v>
      </c>
      <c r="Q38" s="709">
        <v>1951500</v>
      </c>
      <c r="R38" s="709">
        <v>265680</v>
      </c>
      <c r="S38" s="709">
        <f t="shared" ref="S38:S45" si="9">+Q38-R38</f>
        <v>1685820</v>
      </c>
      <c r="T38" s="709">
        <f t="shared" si="1"/>
        <v>3803.5096213333331</v>
      </c>
      <c r="U38" s="709">
        <f t="shared" si="2"/>
        <v>1901.7548106666666</v>
      </c>
      <c r="V38" s="710">
        <v>3125.76</v>
      </c>
      <c r="W38" s="710">
        <v>2954.82</v>
      </c>
      <c r="X38" s="706"/>
      <c r="Y38" s="705">
        <f t="shared" si="5"/>
        <v>1.5537334168562866</v>
      </c>
      <c r="Z38" s="709">
        <f t="shared" si="6"/>
        <v>2619314.8688046653</v>
      </c>
    </row>
    <row r="39" spans="2:26" x14ac:dyDescent="0.25">
      <c r="B39" s="37">
        <v>430</v>
      </c>
      <c r="C39" s="702" t="s">
        <v>209</v>
      </c>
      <c r="D39" s="706" t="s">
        <v>213</v>
      </c>
      <c r="E39" s="704">
        <v>35.74</v>
      </c>
      <c r="F39" s="704">
        <v>30.38</v>
      </c>
      <c r="G39" s="704"/>
      <c r="H39" s="704"/>
      <c r="I39" s="704"/>
      <c r="J39" s="721" t="s">
        <v>764</v>
      </c>
      <c r="K39" s="704">
        <v>6.3</v>
      </c>
      <c r="L39" s="705">
        <v>1</v>
      </c>
      <c r="M39" s="705">
        <v>0.98</v>
      </c>
      <c r="N39" s="704">
        <f t="shared" si="7"/>
        <v>220.65876</v>
      </c>
      <c r="O39" s="707">
        <v>8100</v>
      </c>
      <c r="P39" s="708">
        <f t="shared" si="8"/>
        <v>2.7241822222222222E-2</v>
      </c>
      <c r="Q39" s="709">
        <v>1951500</v>
      </c>
      <c r="R39" s="709">
        <v>265680</v>
      </c>
      <c r="S39" s="709">
        <f t="shared" si="9"/>
        <v>1685820</v>
      </c>
      <c r="T39" s="709">
        <f t="shared" si="1"/>
        <v>45924.808738666667</v>
      </c>
      <c r="U39" s="709">
        <f t="shared" si="2"/>
        <v>22962.404369333333</v>
      </c>
      <c r="V39" s="710">
        <v>37741.923999999999</v>
      </c>
      <c r="W39" s="710">
        <v>35685.760000000002</v>
      </c>
      <c r="X39" s="706"/>
      <c r="Y39" s="705">
        <f t="shared" si="5"/>
        <v>1.5540950950092542</v>
      </c>
      <c r="Z39" s="709">
        <f t="shared" si="6"/>
        <v>2619924.593068501</v>
      </c>
    </row>
    <row r="40" spans="2:26" x14ac:dyDescent="0.25">
      <c r="B40" s="37">
        <v>435</v>
      </c>
      <c r="C40" s="702" t="s">
        <v>768</v>
      </c>
      <c r="D40" s="706" t="s">
        <v>110</v>
      </c>
      <c r="E40" s="704"/>
      <c r="F40" s="54" t="s">
        <v>763</v>
      </c>
      <c r="G40" s="704"/>
      <c r="H40" s="704"/>
      <c r="I40" s="704"/>
      <c r="J40" s="721" t="s">
        <v>764</v>
      </c>
      <c r="K40" s="704"/>
      <c r="L40" s="705"/>
      <c r="M40" s="705">
        <v>0.98</v>
      </c>
      <c r="N40" s="704">
        <f t="shared" si="7"/>
        <v>0</v>
      </c>
      <c r="O40" s="707">
        <v>8100</v>
      </c>
      <c r="P40" s="708">
        <f t="shared" si="8"/>
        <v>0</v>
      </c>
      <c r="Q40" s="709">
        <v>1951500</v>
      </c>
      <c r="R40" s="709">
        <v>265680</v>
      </c>
      <c r="S40" s="709">
        <f t="shared" si="9"/>
        <v>1685820</v>
      </c>
      <c r="T40" s="709">
        <f t="shared" si="1"/>
        <v>0</v>
      </c>
      <c r="U40" s="709">
        <f t="shared" si="2"/>
        <v>0</v>
      </c>
      <c r="V40" s="710">
        <v>95441.5</v>
      </c>
      <c r="W40" s="710">
        <v>90241.668000000005</v>
      </c>
      <c r="X40" s="706"/>
      <c r="Y40" s="705" t="e">
        <f t="shared" si="5"/>
        <v>#DIV/0!</v>
      </c>
      <c r="Z40" s="709" t="e">
        <f t="shared" si="6"/>
        <v>#DIV/0!</v>
      </c>
    </row>
    <row r="41" spans="2:26" x14ac:dyDescent="0.25">
      <c r="B41" s="37">
        <v>444</v>
      </c>
      <c r="C41" s="702" t="s">
        <v>216</v>
      </c>
      <c r="D41" s="706" t="s">
        <v>110</v>
      </c>
      <c r="E41" s="704"/>
      <c r="F41" s="704">
        <v>78.09</v>
      </c>
      <c r="G41" s="704"/>
      <c r="H41" s="704"/>
      <c r="I41" s="704"/>
      <c r="J41" s="721" t="s">
        <v>764</v>
      </c>
      <c r="K41" s="704"/>
      <c r="L41" s="705"/>
      <c r="M41" s="705">
        <v>0.98</v>
      </c>
      <c r="N41" s="704">
        <f t="shared" si="7"/>
        <v>0</v>
      </c>
      <c r="O41" s="707">
        <v>8100</v>
      </c>
      <c r="P41" s="708">
        <f t="shared" si="8"/>
        <v>0</v>
      </c>
      <c r="Q41" s="709">
        <v>1951500</v>
      </c>
      <c r="R41" s="709">
        <v>265680</v>
      </c>
      <c r="S41" s="709">
        <f t="shared" si="9"/>
        <v>1685820</v>
      </c>
      <c r="T41" s="709">
        <f t="shared" si="1"/>
        <v>0</v>
      </c>
      <c r="U41" s="709">
        <f t="shared" si="2"/>
        <v>0</v>
      </c>
      <c r="V41" s="710">
        <v>39247.824000000001</v>
      </c>
      <c r="W41" s="710">
        <v>37400.858</v>
      </c>
      <c r="X41" s="706"/>
      <c r="Y41" s="705" t="e">
        <f t="shared" si="5"/>
        <v>#DIV/0!</v>
      </c>
      <c r="Z41" s="709" t="e">
        <f t="shared" si="6"/>
        <v>#DIV/0!</v>
      </c>
    </row>
    <row r="42" spans="2:26" x14ac:dyDescent="0.25">
      <c r="B42" s="37">
        <v>480</v>
      </c>
      <c r="C42" s="702" t="s">
        <v>211</v>
      </c>
      <c r="D42" s="706" t="s">
        <v>222</v>
      </c>
      <c r="E42" s="704">
        <v>75.760000000000005</v>
      </c>
      <c r="F42" s="704">
        <v>53.41</v>
      </c>
      <c r="G42" s="704"/>
      <c r="H42" s="704"/>
      <c r="I42" s="704"/>
      <c r="J42" s="721" t="s">
        <v>764</v>
      </c>
      <c r="K42" s="704">
        <v>6.3</v>
      </c>
      <c r="L42" s="705">
        <v>1</v>
      </c>
      <c r="M42" s="705">
        <v>0.98</v>
      </c>
      <c r="N42" s="704">
        <f t="shared" si="7"/>
        <v>467.74223999999998</v>
      </c>
      <c r="O42" s="707">
        <v>8100</v>
      </c>
      <c r="P42" s="708">
        <f t="shared" si="8"/>
        <v>5.7745955555555555E-2</v>
      </c>
      <c r="Q42" s="709">
        <v>1951500</v>
      </c>
      <c r="R42" s="709">
        <v>265680</v>
      </c>
      <c r="S42" s="709">
        <f t="shared" si="9"/>
        <v>1685820</v>
      </c>
      <c r="T42" s="709">
        <f t="shared" si="1"/>
        <v>97349.286794666667</v>
      </c>
      <c r="U42" s="709">
        <f t="shared" si="2"/>
        <v>48674.643397333333</v>
      </c>
      <c r="V42" s="710">
        <v>80003.176000000007</v>
      </c>
      <c r="W42" s="710">
        <v>75645.02</v>
      </c>
      <c r="X42" s="706"/>
      <c r="Y42" s="705">
        <f t="shared" si="5"/>
        <v>1.5540950014262305</v>
      </c>
      <c r="Z42" s="709">
        <f t="shared" si="6"/>
        <v>2619924.4353043679</v>
      </c>
    </row>
    <row r="43" spans="2:26" x14ac:dyDescent="0.25">
      <c r="B43" s="37">
        <v>490</v>
      </c>
      <c r="C43" s="702" t="s">
        <v>224</v>
      </c>
      <c r="D43" s="706" t="s">
        <v>225</v>
      </c>
      <c r="E43" s="704">
        <v>31.04</v>
      </c>
      <c r="F43" s="704">
        <v>30.32</v>
      </c>
      <c r="G43" s="704"/>
      <c r="H43" s="704"/>
      <c r="I43" s="704"/>
      <c r="J43" s="721" t="s">
        <v>764</v>
      </c>
      <c r="K43" s="704">
        <v>6.3</v>
      </c>
      <c r="L43" s="705">
        <v>1</v>
      </c>
      <c r="M43" s="705">
        <v>0.98</v>
      </c>
      <c r="N43" s="704">
        <f t="shared" si="7"/>
        <v>191.64095999999998</v>
      </c>
      <c r="O43" s="707">
        <v>8100</v>
      </c>
      <c r="P43" s="708">
        <f t="shared" si="8"/>
        <v>2.3659377777777775E-2</v>
      </c>
      <c r="Q43" s="709">
        <v>1951500</v>
      </c>
      <c r="R43" s="709">
        <v>265680</v>
      </c>
      <c r="S43" s="709">
        <f t="shared" si="9"/>
        <v>1685820</v>
      </c>
      <c r="T43" s="709">
        <f t="shared" si="1"/>
        <v>39885.452245333327</v>
      </c>
      <c r="U43" s="709">
        <f t="shared" si="2"/>
        <v>19942.726122666663</v>
      </c>
      <c r="V43" s="710">
        <v>32778.152000000002</v>
      </c>
      <c r="W43" s="710">
        <v>30992.236000000001</v>
      </c>
      <c r="X43" s="706"/>
      <c r="Y43" s="705">
        <f t="shared" si="5"/>
        <v>1.5540621582710599</v>
      </c>
      <c r="Z43" s="709">
        <f t="shared" si="6"/>
        <v>2619869.067656518</v>
      </c>
    </row>
    <row r="44" spans="2:26" x14ac:dyDescent="0.25">
      <c r="B44" s="37">
        <v>491</v>
      </c>
      <c r="C44" s="702" t="s">
        <v>217</v>
      </c>
      <c r="D44" s="706" t="s">
        <v>225</v>
      </c>
      <c r="E44" s="704">
        <v>38.700000000000003</v>
      </c>
      <c r="F44" s="54" t="s">
        <v>763</v>
      </c>
      <c r="G44" s="704"/>
      <c r="H44" s="704"/>
      <c r="I44" s="704"/>
      <c r="J44" s="721" t="s">
        <v>764</v>
      </c>
      <c r="K44" s="704">
        <v>6.3</v>
      </c>
      <c r="L44" s="705">
        <v>1</v>
      </c>
      <c r="M44" s="705">
        <v>0.98</v>
      </c>
      <c r="N44" s="704">
        <f t="shared" si="7"/>
        <v>238.93379999999999</v>
      </c>
      <c r="O44" s="707">
        <v>8100</v>
      </c>
      <c r="P44" s="708">
        <f t="shared" si="8"/>
        <v>2.9498E-2</v>
      </c>
      <c r="Q44" s="709">
        <v>1951500</v>
      </c>
      <c r="R44" s="709">
        <v>265680</v>
      </c>
      <c r="S44" s="709">
        <f t="shared" si="9"/>
        <v>1685820</v>
      </c>
      <c r="T44" s="709">
        <f t="shared" si="1"/>
        <v>49728.318359999997</v>
      </c>
      <c r="U44" s="709">
        <f t="shared" si="2"/>
        <v>24864.159179999999</v>
      </c>
      <c r="V44" s="710">
        <v>40867.684000000001</v>
      </c>
      <c r="W44" s="710">
        <v>38640.58</v>
      </c>
      <c r="X44" s="706"/>
      <c r="Y44" s="705">
        <f t="shared" si="5"/>
        <v>1.5540674317706811</v>
      </c>
      <c r="Z44" s="709">
        <f t="shared" si="6"/>
        <v>2619877.9578276495</v>
      </c>
    </row>
    <row r="45" spans="2:26" x14ac:dyDescent="0.25">
      <c r="B45" s="37">
        <v>492</v>
      </c>
      <c r="C45" s="702" t="s">
        <v>220</v>
      </c>
      <c r="D45" s="706" t="s">
        <v>110</v>
      </c>
      <c r="E45" s="704">
        <v>4.0199999999999996</v>
      </c>
      <c r="F45" s="54" t="s">
        <v>763</v>
      </c>
      <c r="G45" s="704"/>
      <c r="H45" s="704"/>
      <c r="I45" s="704"/>
      <c r="J45" s="721" t="s">
        <v>764</v>
      </c>
      <c r="K45" s="704">
        <v>6.3</v>
      </c>
      <c r="L45" s="705">
        <v>1</v>
      </c>
      <c r="M45" s="705">
        <v>0.98</v>
      </c>
      <c r="N45" s="704">
        <f t="shared" si="7"/>
        <v>24.819479999999995</v>
      </c>
      <c r="O45" s="707">
        <v>8100</v>
      </c>
      <c r="P45" s="708">
        <f t="shared" si="8"/>
        <v>3.0641333333333329E-3</v>
      </c>
      <c r="Q45" s="709">
        <v>1951500</v>
      </c>
      <c r="R45" s="709">
        <v>265680</v>
      </c>
      <c r="S45" s="709">
        <f t="shared" si="9"/>
        <v>1685820</v>
      </c>
      <c r="T45" s="709">
        <f t="shared" si="1"/>
        <v>5165.5772559999996</v>
      </c>
      <c r="U45" s="709">
        <f t="shared" si="2"/>
        <v>2582.7886279999998</v>
      </c>
      <c r="V45" s="710">
        <v>4.2458</v>
      </c>
      <c r="W45" s="710">
        <v>4.0145999999999997</v>
      </c>
      <c r="X45" s="706"/>
      <c r="Y45" s="705">
        <f t="shared" si="5"/>
        <v>1.5543664535602097E-3</v>
      </c>
      <c r="Z45" s="709">
        <f t="shared" si="6"/>
        <v>2620.3820547408727</v>
      </c>
    </row>
    <row r="46" spans="2:26" x14ac:dyDescent="0.25">
      <c r="B46" s="37">
        <v>495</v>
      </c>
      <c r="C46" s="702" t="s">
        <v>228</v>
      </c>
      <c r="D46" s="706" t="s">
        <v>110</v>
      </c>
      <c r="E46" s="704"/>
      <c r="F46" s="704">
        <v>28.82</v>
      </c>
      <c r="G46" s="704"/>
      <c r="H46" s="704"/>
      <c r="I46" s="704"/>
      <c r="J46" s="721" t="s">
        <v>764</v>
      </c>
      <c r="K46" s="704"/>
      <c r="L46" s="705"/>
      <c r="M46" s="705"/>
      <c r="N46" s="704"/>
      <c r="O46" s="707"/>
      <c r="P46" s="708"/>
      <c r="Q46" s="709"/>
      <c r="R46" s="709"/>
      <c r="S46" s="709"/>
      <c r="T46" s="709"/>
      <c r="U46" s="709"/>
      <c r="V46" s="710"/>
      <c r="W46" s="710"/>
      <c r="X46" s="706"/>
      <c r="Y46" s="705"/>
      <c r="Z46" s="709"/>
    </row>
    <row r="47" spans="2:26" x14ac:dyDescent="0.25">
      <c r="B47" s="53" t="s">
        <v>223</v>
      </c>
      <c r="C47" s="711"/>
      <c r="D47" s="712"/>
      <c r="E47" s="713"/>
      <c r="F47" s="713"/>
      <c r="G47" s="713"/>
      <c r="H47" s="713"/>
      <c r="I47" s="713"/>
      <c r="J47" s="713"/>
      <c r="K47" s="713"/>
      <c r="L47" s="714"/>
      <c r="M47" s="714"/>
      <c r="N47" s="713"/>
      <c r="O47" s="715"/>
      <c r="P47" s="716"/>
      <c r="Q47" s="717"/>
      <c r="R47" s="717"/>
      <c r="S47" s="717"/>
      <c r="T47" s="717"/>
      <c r="U47" s="717"/>
      <c r="V47" s="718"/>
      <c r="W47" s="718"/>
      <c r="X47" s="706"/>
      <c r="Y47" s="705"/>
      <c r="Z47" s="709"/>
    </row>
    <row r="48" spans="2:26" x14ac:dyDescent="0.25">
      <c r="B48" s="37">
        <v>520</v>
      </c>
      <c r="C48" s="702" t="s">
        <v>231</v>
      </c>
      <c r="D48" s="706" t="s">
        <v>232</v>
      </c>
      <c r="E48" s="704">
        <v>1.29</v>
      </c>
      <c r="F48" s="704">
        <v>1.89</v>
      </c>
      <c r="G48" s="704"/>
      <c r="H48" s="704"/>
      <c r="I48" s="704"/>
      <c r="J48" s="721" t="s">
        <v>764</v>
      </c>
      <c r="K48" s="704">
        <v>1.25</v>
      </c>
      <c r="L48" s="705">
        <v>0.75</v>
      </c>
      <c r="M48" s="705">
        <v>0.98</v>
      </c>
      <c r="N48" s="704">
        <f t="shared" ref="N48:N56" si="10">+E48*K48*L48*M48</f>
        <v>1.1851875000000001</v>
      </c>
      <c r="O48" s="707">
        <v>8100</v>
      </c>
      <c r="P48" s="708">
        <f>IF(O48=0,0,N48/O48)</f>
        <v>1.4631944444444444E-4</v>
      </c>
      <c r="Q48" s="709">
        <v>1951500</v>
      </c>
      <c r="R48" s="709">
        <v>265680</v>
      </c>
      <c r="S48" s="709">
        <f>+Q48-R48</f>
        <v>1685820</v>
      </c>
      <c r="T48" s="709">
        <f t="shared" si="1"/>
        <v>246.66824583333334</v>
      </c>
      <c r="U48" s="709">
        <f t="shared" si="2"/>
        <v>123.33412291666667</v>
      </c>
      <c r="V48" s="710">
        <v>203.5</v>
      </c>
      <c r="W48" s="710">
        <v>192.10400000000001</v>
      </c>
      <c r="X48" s="706"/>
      <c r="Y48" s="705">
        <f t="shared" si="5"/>
        <v>1.557590028266542</v>
      </c>
      <c r="Z48" s="709">
        <f t="shared" si="6"/>
        <v>2625816.421452302</v>
      </c>
    </row>
    <row r="49" spans="2:26" x14ac:dyDescent="0.25">
      <c r="B49" s="37">
        <v>530</v>
      </c>
      <c r="C49" s="702" t="s">
        <v>235</v>
      </c>
      <c r="D49" s="706" t="s">
        <v>232</v>
      </c>
      <c r="E49" s="704">
        <v>1.71</v>
      </c>
      <c r="F49" s="704">
        <v>2.0299999999999998</v>
      </c>
      <c r="G49" s="704"/>
      <c r="H49" s="704"/>
      <c r="I49" s="704"/>
      <c r="J49" s="721" t="s">
        <v>764</v>
      </c>
      <c r="K49" s="704">
        <v>4</v>
      </c>
      <c r="L49" s="705">
        <v>1</v>
      </c>
      <c r="M49" s="705">
        <v>0.98</v>
      </c>
      <c r="N49" s="704">
        <f t="shared" si="10"/>
        <v>6.7031999999999998</v>
      </c>
      <c r="O49" s="707">
        <v>8100</v>
      </c>
      <c r="P49" s="708">
        <f>IF(O49=0,0,N49/O49)</f>
        <v>8.2755555555555555E-4</v>
      </c>
      <c r="Q49" s="709">
        <v>1951500</v>
      </c>
      <c r="R49" s="709">
        <v>265680</v>
      </c>
      <c r="S49" s="709">
        <f>+Q49-R49</f>
        <v>1685820</v>
      </c>
      <c r="T49" s="709">
        <f t="shared" si="1"/>
        <v>1395.1097066666666</v>
      </c>
      <c r="U49" s="709">
        <f t="shared" si="2"/>
        <v>697.55485333333331</v>
      </c>
      <c r="V49" s="710">
        <v>1146.1120000000001</v>
      </c>
      <c r="W49" s="710">
        <v>1084.248</v>
      </c>
      <c r="X49" s="706"/>
      <c r="Y49" s="705">
        <f t="shared" si="5"/>
        <v>1.5543551805550719</v>
      </c>
      <c r="Z49" s="709">
        <f t="shared" si="6"/>
        <v>2620363.0504833516</v>
      </c>
    </row>
    <row r="50" spans="2:26" x14ac:dyDescent="0.25">
      <c r="B50" s="37">
        <v>534</v>
      </c>
      <c r="C50" s="702" t="s">
        <v>238</v>
      </c>
      <c r="D50" s="706" t="s">
        <v>232</v>
      </c>
      <c r="E50" s="704"/>
      <c r="F50" s="704">
        <v>4.1100000000000003</v>
      </c>
      <c r="G50" s="704"/>
      <c r="H50" s="704"/>
      <c r="I50" s="704"/>
      <c r="J50" s="721" t="s">
        <v>764</v>
      </c>
      <c r="K50" s="704"/>
      <c r="L50" s="705"/>
      <c r="M50" s="705"/>
      <c r="N50" s="704"/>
      <c r="O50" s="707"/>
      <c r="P50" s="708"/>
      <c r="Q50" s="709"/>
      <c r="R50" s="709"/>
      <c r="S50" s="709"/>
      <c r="T50" s="709"/>
      <c r="U50" s="709"/>
      <c r="V50" s="710"/>
      <c r="W50" s="710"/>
      <c r="X50" s="706"/>
      <c r="Y50" s="705"/>
      <c r="Z50" s="709"/>
    </row>
    <row r="51" spans="2:26" x14ac:dyDescent="0.25">
      <c r="B51" s="37">
        <v>536</v>
      </c>
      <c r="C51" s="702" t="s">
        <v>241</v>
      </c>
      <c r="D51" s="706" t="s">
        <v>232</v>
      </c>
      <c r="E51" s="704"/>
      <c r="F51" s="704">
        <v>2.48</v>
      </c>
      <c r="G51" s="704"/>
      <c r="H51" s="704"/>
      <c r="I51" s="704"/>
      <c r="J51" s="721" t="s">
        <v>764</v>
      </c>
      <c r="K51" s="704"/>
      <c r="L51" s="705"/>
      <c r="M51" s="705"/>
      <c r="N51" s="704"/>
      <c r="O51" s="707"/>
      <c r="P51" s="708"/>
      <c r="Q51" s="709"/>
      <c r="R51" s="709"/>
      <c r="S51" s="709"/>
      <c r="T51" s="709"/>
      <c r="U51" s="709"/>
      <c r="V51" s="710"/>
      <c r="W51" s="710"/>
      <c r="X51" s="706"/>
      <c r="Y51" s="705"/>
      <c r="Z51" s="709"/>
    </row>
    <row r="52" spans="2:26" x14ac:dyDescent="0.25">
      <c r="B52" s="37">
        <v>537</v>
      </c>
      <c r="C52" s="702" t="s">
        <v>243</v>
      </c>
      <c r="D52" s="706" t="s">
        <v>232</v>
      </c>
      <c r="E52" s="704"/>
      <c r="F52" s="704">
        <v>1.85</v>
      </c>
      <c r="G52" s="704"/>
      <c r="H52" s="704"/>
      <c r="I52" s="704"/>
      <c r="J52" s="721" t="s">
        <v>764</v>
      </c>
      <c r="K52" s="704"/>
      <c r="L52" s="705"/>
      <c r="M52" s="705"/>
      <c r="N52" s="704"/>
      <c r="O52" s="707"/>
      <c r="P52" s="708"/>
      <c r="Q52" s="709"/>
      <c r="R52" s="709"/>
      <c r="S52" s="709"/>
      <c r="T52" s="709"/>
      <c r="U52" s="709"/>
      <c r="V52" s="710"/>
      <c r="W52" s="710"/>
      <c r="X52" s="706"/>
      <c r="Y52" s="705"/>
      <c r="Z52" s="709"/>
    </row>
    <row r="53" spans="2:26" x14ac:dyDescent="0.25">
      <c r="B53" s="37">
        <v>540</v>
      </c>
      <c r="C53" s="702" t="s">
        <v>246</v>
      </c>
      <c r="D53" s="706" t="s">
        <v>232</v>
      </c>
      <c r="E53" s="704">
        <v>1.2</v>
      </c>
      <c r="F53" s="704">
        <v>1.1499999999999999</v>
      </c>
      <c r="G53" s="704"/>
      <c r="H53" s="704"/>
      <c r="I53" s="704"/>
      <c r="J53" s="721" t="s">
        <v>764</v>
      </c>
      <c r="K53" s="704">
        <v>6.07</v>
      </c>
      <c r="L53" s="705">
        <v>1</v>
      </c>
      <c r="M53" s="705">
        <v>0.98</v>
      </c>
      <c r="N53" s="704">
        <f t="shared" si="10"/>
        <v>7.1383199999999993</v>
      </c>
      <c r="O53" s="707">
        <v>8100</v>
      </c>
      <c r="P53" s="708">
        <f>IF(O53=0,0,N53/O53)</f>
        <v>8.8127407407407395E-4</v>
      </c>
      <c r="Q53" s="709">
        <v>1951500</v>
      </c>
      <c r="R53" s="709">
        <v>265680</v>
      </c>
      <c r="S53" s="709">
        <f>+Q53-R53</f>
        <v>1685820</v>
      </c>
      <c r="T53" s="709">
        <f t="shared" si="1"/>
        <v>1485.6694595555552</v>
      </c>
      <c r="U53" s="709">
        <f t="shared" si="2"/>
        <v>742.83472977777762</v>
      </c>
      <c r="V53" s="710">
        <v>1221</v>
      </c>
      <c r="W53" s="710">
        <v>1154.252</v>
      </c>
      <c r="X53" s="706"/>
      <c r="Y53" s="705">
        <f t="shared" si="5"/>
        <v>1.5538476510721297</v>
      </c>
      <c r="Z53" s="709">
        <f t="shared" si="6"/>
        <v>2619507.4471304179</v>
      </c>
    </row>
    <row r="54" spans="2:26" x14ac:dyDescent="0.25">
      <c r="B54" s="37">
        <v>550</v>
      </c>
      <c r="C54" s="702" t="s">
        <v>249</v>
      </c>
      <c r="D54" s="706" t="s">
        <v>232</v>
      </c>
      <c r="E54" s="704">
        <v>2.38</v>
      </c>
      <c r="F54" s="704">
        <v>1.56</v>
      </c>
      <c r="G54" s="704"/>
      <c r="H54" s="704"/>
      <c r="I54" s="704"/>
      <c r="J54" s="721" t="s">
        <v>764</v>
      </c>
      <c r="K54" s="704">
        <v>6.07</v>
      </c>
      <c r="L54" s="705">
        <v>1</v>
      </c>
      <c r="M54" s="705">
        <v>0.98</v>
      </c>
      <c r="N54" s="704">
        <f t="shared" si="10"/>
        <v>14.157667999999999</v>
      </c>
      <c r="O54" s="707">
        <v>8100</v>
      </c>
      <c r="P54" s="708">
        <f>IF(O54=0,0,N54/O54)</f>
        <v>1.7478602469135802E-3</v>
      </c>
      <c r="Q54" s="709">
        <v>1951500</v>
      </c>
      <c r="R54" s="709">
        <v>265680</v>
      </c>
      <c r="S54" s="709">
        <f>+Q54-R54</f>
        <v>1685820</v>
      </c>
      <c r="T54" s="709">
        <f t="shared" si="1"/>
        <v>2946.577761451852</v>
      </c>
      <c r="U54" s="709">
        <f t="shared" si="2"/>
        <v>1473.288880725926</v>
      </c>
      <c r="V54" s="710">
        <v>2420.8359999999998</v>
      </c>
      <c r="W54" s="710">
        <v>2288.9679999999998</v>
      </c>
      <c r="X54" s="706"/>
      <c r="Y54" s="705">
        <f t="shared" si="5"/>
        <v>1.5536450657743162</v>
      </c>
      <c r="Z54" s="709">
        <f t="shared" si="6"/>
        <v>2619165.9247836578</v>
      </c>
    </row>
    <row r="55" spans="2:26" x14ac:dyDescent="0.25">
      <c r="B55" s="37">
        <v>560</v>
      </c>
      <c r="C55" s="702" t="s">
        <v>769</v>
      </c>
      <c r="D55" s="706" t="s">
        <v>110</v>
      </c>
      <c r="E55" s="704">
        <v>9.11</v>
      </c>
      <c r="F55" s="704">
        <v>6.95</v>
      </c>
      <c r="G55" s="704"/>
      <c r="H55" s="704"/>
      <c r="I55" s="704"/>
      <c r="J55" s="721" t="s">
        <v>764</v>
      </c>
      <c r="K55" s="704">
        <v>4</v>
      </c>
      <c r="L55" s="705">
        <v>1</v>
      </c>
      <c r="M55" s="705">
        <v>0.98</v>
      </c>
      <c r="N55" s="704">
        <f t="shared" si="10"/>
        <v>35.711199999999998</v>
      </c>
      <c r="O55" s="707">
        <v>8100</v>
      </c>
      <c r="P55" s="708">
        <f>IF(O55=0,0,N55/O55)</f>
        <v>4.40879012345679E-3</v>
      </c>
      <c r="Q55" s="709">
        <v>1951500</v>
      </c>
      <c r="R55" s="709">
        <v>265680</v>
      </c>
      <c r="S55" s="709">
        <f>+Q55-R55</f>
        <v>1685820</v>
      </c>
      <c r="T55" s="709">
        <f t="shared" si="1"/>
        <v>7432.4265659259254</v>
      </c>
      <c r="U55" s="709">
        <f t="shared" si="2"/>
        <v>3716.2132829629627</v>
      </c>
      <c r="V55" s="710">
        <v>6.1082999999999998</v>
      </c>
      <c r="W55" s="710">
        <v>5.7744999999999997</v>
      </c>
      <c r="X55" s="706"/>
      <c r="Y55" s="705">
        <f>+W55*1000/U55</f>
        <v>1.5538666810307376</v>
      </c>
      <c r="Z55" s="709">
        <f t="shared" si="6"/>
        <v>2619539.5282152379</v>
      </c>
    </row>
    <row r="56" spans="2:26" x14ac:dyDescent="0.25">
      <c r="B56" s="37">
        <v>565</v>
      </c>
      <c r="C56" s="702" t="s">
        <v>239</v>
      </c>
      <c r="D56" s="706" t="s">
        <v>110</v>
      </c>
      <c r="E56" s="704">
        <v>79.260000000000005</v>
      </c>
      <c r="F56" s="704">
        <v>47.62</v>
      </c>
      <c r="G56" s="704"/>
      <c r="H56" s="704"/>
      <c r="I56" s="704"/>
      <c r="J56" s="721" t="s">
        <v>764</v>
      </c>
      <c r="K56" s="704">
        <v>1.25</v>
      </c>
      <c r="L56" s="705">
        <v>0.5</v>
      </c>
      <c r="M56" s="705">
        <v>0.98</v>
      </c>
      <c r="N56" s="704">
        <f t="shared" si="10"/>
        <v>48.546750000000003</v>
      </c>
      <c r="O56" s="707">
        <v>8100</v>
      </c>
      <c r="P56" s="708">
        <f>IF(O56=0,0,N56/O56)</f>
        <v>5.9934259259259264E-3</v>
      </c>
      <c r="Q56" s="709">
        <v>1951500</v>
      </c>
      <c r="R56" s="709">
        <v>265680</v>
      </c>
      <c r="S56" s="709">
        <f>+Q56-R56</f>
        <v>1685820</v>
      </c>
      <c r="T56" s="709">
        <f t="shared" si="1"/>
        <v>10103.837294444445</v>
      </c>
      <c r="U56" s="709">
        <f t="shared" si="2"/>
        <v>5051.9186472222227</v>
      </c>
      <c r="V56" s="710">
        <v>8.3027999999999995</v>
      </c>
      <c r="W56" s="710">
        <v>7.8517999999999999</v>
      </c>
      <c r="X56" s="706"/>
      <c r="Y56" s="705">
        <f>+W56*1000/U56</f>
        <v>1.5542213856347986</v>
      </c>
      <c r="Z56" s="709">
        <f t="shared" si="6"/>
        <v>2620137.4963308563</v>
      </c>
    </row>
    <row r="57" spans="2:26" x14ac:dyDescent="0.25">
      <c r="B57" s="37">
        <v>575</v>
      </c>
      <c r="C57" s="702" t="s">
        <v>770</v>
      </c>
      <c r="D57" s="706" t="s">
        <v>110</v>
      </c>
      <c r="E57" s="704"/>
      <c r="F57" s="54" t="s">
        <v>763</v>
      </c>
      <c r="G57" s="704"/>
      <c r="H57" s="704"/>
      <c r="I57" s="704"/>
      <c r="J57" s="721" t="s">
        <v>764</v>
      </c>
      <c r="K57" s="704"/>
      <c r="L57" s="705"/>
      <c r="M57" s="705"/>
      <c r="N57" s="704"/>
      <c r="O57" s="707"/>
      <c r="P57" s="708"/>
      <c r="Q57" s="709"/>
      <c r="R57" s="709"/>
      <c r="S57" s="709"/>
      <c r="T57" s="709"/>
      <c r="U57" s="709"/>
      <c r="V57" s="710"/>
      <c r="W57" s="710"/>
      <c r="X57" s="706"/>
      <c r="Y57" s="705"/>
      <c r="Z57" s="709"/>
    </row>
    <row r="58" spans="2:26" x14ac:dyDescent="0.25">
      <c r="B58" s="53" t="s">
        <v>242</v>
      </c>
      <c r="C58" s="711"/>
      <c r="D58" s="712"/>
      <c r="E58" s="713"/>
      <c r="F58" s="713"/>
      <c r="G58" s="713"/>
      <c r="H58" s="713"/>
      <c r="I58" s="713"/>
      <c r="J58" s="713"/>
      <c r="K58" s="713"/>
      <c r="L58" s="714"/>
      <c r="M58" s="714"/>
      <c r="N58" s="713"/>
      <c r="O58" s="715"/>
      <c r="P58" s="716"/>
      <c r="Q58" s="717"/>
      <c r="R58" s="717"/>
      <c r="S58" s="717"/>
      <c r="T58" s="717"/>
      <c r="U58" s="717"/>
      <c r="V58" s="718"/>
      <c r="W58" s="718"/>
      <c r="X58" s="706"/>
      <c r="Y58" s="705"/>
      <c r="Z58" s="709"/>
    </row>
    <row r="59" spans="2:26" x14ac:dyDescent="0.25">
      <c r="B59" s="37">
        <v>610</v>
      </c>
      <c r="C59" s="702" t="s">
        <v>244</v>
      </c>
      <c r="D59" s="706" t="s">
        <v>110</v>
      </c>
      <c r="E59" s="704">
        <v>17.57</v>
      </c>
      <c r="F59" s="704">
        <v>10.72</v>
      </c>
      <c r="G59" s="704"/>
      <c r="H59" s="704"/>
      <c r="I59" s="704"/>
      <c r="J59" s="721" t="s">
        <v>764</v>
      </c>
      <c r="K59" s="704">
        <v>6.2</v>
      </c>
      <c r="L59" s="705">
        <v>1</v>
      </c>
      <c r="M59" s="705">
        <v>0.98</v>
      </c>
      <c r="N59" s="704">
        <f>+E59*K59*L59*M59</f>
        <v>106.75532000000001</v>
      </c>
      <c r="O59" s="707">
        <v>8100</v>
      </c>
      <c r="P59" s="708">
        <f>IF(O59=0,0,N59/O59)</f>
        <v>1.317966913580247E-2</v>
      </c>
      <c r="Q59" s="709">
        <v>1951500</v>
      </c>
      <c r="R59" s="709">
        <v>265680</v>
      </c>
      <c r="S59" s="709">
        <f>+Q59-R59</f>
        <v>1685820</v>
      </c>
      <c r="T59" s="709">
        <f t="shared" si="1"/>
        <v>22218.549822518518</v>
      </c>
      <c r="U59" s="709">
        <f t="shared" si="2"/>
        <v>11109.274911259259</v>
      </c>
      <c r="V59" s="710">
        <v>18.259599999999999</v>
      </c>
      <c r="W59" s="710">
        <v>17.264900000000001</v>
      </c>
      <c r="X59" s="706"/>
      <c r="Y59" s="705">
        <f>+W59*1000/U59</f>
        <v>1.5540978270779862</v>
      </c>
      <c r="Z59" s="709">
        <f t="shared" si="6"/>
        <v>2619929.1988446107</v>
      </c>
    </row>
    <row r="60" spans="2:26" x14ac:dyDescent="0.25">
      <c r="B60" s="37">
        <v>620</v>
      </c>
      <c r="C60" s="702" t="s">
        <v>247</v>
      </c>
      <c r="D60" s="706" t="s">
        <v>191</v>
      </c>
      <c r="E60" s="704">
        <v>2.37</v>
      </c>
      <c r="F60" s="704">
        <v>3.06</v>
      </c>
      <c r="G60" s="704"/>
      <c r="H60" s="704"/>
      <c r="I60" s="704"/>
      <c r="J60" s="721" t="s">
        <v>764</v>
      </c>
      <c r="K60" s="704">
        <v>6.2</v>
      </c>
      <c r="L60" s="705">
        <v>1</v>
      </c>
      <c r="M60" s="705">
        <v>0.98</v>
      </c>
      <c r="N60" s="704">
        <f>+E60*K60*L60*M60</f>
        <v>14.400120000000001</v>
      </c>
      <c r="O60" s="707">
        <v>8100</v>
      </c>
      <c r="P60" s="708">
        <f>IF(O60=0,0,N60/O60)</f>
        <v>1.7777925925925927E-3</v>
      </c>
      <c r="Q60" s="709">
        <v>1951500</v>
      </c>
      <c r="R60" s="709">
        <v>265680</v>
      </c>
      <c r="S60" s="709">
        <f>+Q60-R60</f>
        <v>1685820</v>
      </c>
      <c r="T60" s="709">
        <f t="shared" si="1"/>
        <v>2997.0383084444447</v>
      </c>
      <c r="U60" s="709">
        <f t="shared" si="2"/>
        <v>1498.5191542222224</v>
      </c>
      <c r="V60" s="710">
        <v>2463.1640000000002</v>
      </c>
      <c r="W60" s="710">
        <v>2328.04</v>
      </c>
      <c r="X60" s="706"/>
      <c r="Y60" s="705">
        <f t="shared" si="5"/>
        <v>1.5535603888949452</v>
      </c>
      <c r="Z60" s="709">
        <f t="shared" si="6"/>
        <v>2619023.1748068766</v>
      </c>
    </row>
    <row r="61" spans="2:26" x14ac:dyDescent="0.25">
      <c r="B61" s="37">
        <v>630</v>
      </c>
      <c r="C61" s="702" t="s">
        <v>250</v>
      </c>
      <c r="D61" s="706" t="s">
        <v>110</v>
      </c>
      <c r="E61" s="704">
        <v>31.45</v>
      </c>
      <c r="F61" s="704">
        <v>38.159999999999997</v>
      </c>
      <c r="G61" s="704"/>
      <c r="H61" s="704"/>
      <c r="I61" s="704"/>
      <c r="J61" s="721" t="s">
        <v>764</v>
      </c>
      <c r="K61" s="704">
        <v>6.2</v>
      </c>
      <c r="L61" s="705">
        <v>1</v>
      </c>
      <c r="M61" s="705">
        <v>0.98</v>
      </c>
      <c r="N61" s="704">
        <f>+E61*K61*L61*M61</f>
        <v>191.09020000000001</v>
      </c>
      <c r="O61" s="707">
        <v>8100</v>
      </c>
      <c r="P61" s="708">
        <f>IF(O61=0,0,N61/O61)</f>
        <v>2.3591382716049384E-2</v>
      </c>
      <c r="Q61" s="709">
        <v>1951500</v>
      </c>
      <c r="R61" s="709">
        <v>265680</v>
      </c>
      <c r="S61" s="709">
        <f>+Q61-R61</f>
        <v>1685820</v>
      </c>
      <c r="T61" s="709">
        <f t="shared" si="1"/>
        <v>39770.824810370374</v>
      </c>
      <c r="U61" s="709">
        <f t="shared" si="2"/>
        <v>19885.412405185187</v>
      </c>
      <c r="V61" s="710">
        <v>32.683700000000002</v>
      </c>
      <c r="W61" s="710">
        <v>30.902699999999999</v>
      </c>
      <c r="X61" s="706"/>
      <c r="Y61" s="705">
        <f>+W61*1000/U61</f>
        <v>1.5540386777164359</v>
      </c>
      <c r="Z61" s="709">
        <f t="shared" si="6"/>
        <v>2619829.4836679217</v>
      </c>
    </row>
    <row r="62" spans="2:26" x14ac:dyDescent="0.25">
      <c r="B62" s="37">
        <v>640</v>
      </c>
      <c r="C62" s="702" t="s">
        <v>261</v>
      </c>
      <c r="D62" s="706" t="s">
        <v>110</v>
      </c>
      <c r="E62" s="704"/>
      <c r="F62" s="704">
        <v>21.5</v>
      </c>
      <c r="G62" s="704"/>
      <c r="H62" s="704"/>
      <c r="I62" s="704"/>
      <c r="J62" s="721" t="s">
        <v>764</v>
      </c>
      <c r="K62" s="704"/>
      <c r="L62" s="705"/>
      <c r="M62" s="705"/>
      <c r="N62" s="704"/>
      <c r="O62" s="707"/>
      <c r="P62" s="708"/>
      <c r="Q62" s="709"/>
      <c r="R62" s="709"/>
      <c r="S62" s="709"/>
      <c r="T62" s="709"/>
      <c r="U62" s="709"/>
      <c r="V62" s="710"/>
      <c r="W62" s="710"/>
      <c r="X62" s="706"/>
      <c r="Y62" s="705"/>
      <c r="Z62" s="709"/>
    </row>
    <row r="63" spans="2:26" x14ac:dyDescent="0.25">
      <c r="B63" s="37">
        <v>650</v>
      </c>
      <c r="C63" s="702" t="s">
        <v>264</v>
      </c>
      <c r="D63" s="706" t="s">
        <v>110</v>
      </c>
      <c r="E63" s="704"/>
      <c r="F63" s="704">
        <v>24.94</v>
      </c>
      <c r="G63" s="704"/>
      <c r="H63" s="704"/>
      <c r="I63" s="704"/>
      <c r="J63" s="721" t="s">
        <v>764</v>
      </c>
      <c r="K63" s="704"/>
      <c r="L63" s="705"/>
      <c r="M63" s="705"/>
      <c r="N63" s="704"/>
      <c r="O63" s="707"/>
      <c r="P63" s="708"/>
      <c r="Q63" s="709"/>
      <c r="R63" s="709"/>
      <c r="S63" s="709"/>
      <c r="T63" s="709"/>
      <c r="U63" s="709"/>
      <c r="V63" s="710"/>
      <c r="W63" s="710"/>
      <c r="X63" s="706"/>
      <c r="Y63" s="705"/>
      <c r="Z63" s="709"/>
    </row>
    <row r="64" spans="2:26" x14ac:dyDescent="0.25">
      <c r="B64" s="53" t="s">
        <v>253</v>
      </c>
      <c r="C64" s="711"/>
      <c r="D64" s="712"/>
      <c r="E64" s="713"/>
      <c r="F64" s="713"/>
      <c r="G64" s="713"/>
      <c r="H64" s="713"/>
      <c r="I64" s="713"/>
      <c r="J64" s="713"/>
      <c r="K64" s="713"/>
      <c r="L64" s="714"/>
      <c r="M64" s="714"/>
      <c r="N64" s="713"/>
      <c r="O64" s="715"/>
      <c r="P64" s="716"/>
      <c r="Q64" s="717"/>
      <c r="R64" s="717"/>
      <c r="S64" s="717"/>
      <c r="T64" s="717"/>
      <c r="U64" s="717"/>
      <c r="V64" s="718"/>
      <c r="W64" s="718"/>
      <c r="X64" s="706"/>
      <c r="Y64" s="705"/>
      <c r="Z64" s="709"/>
    </row>
    <row r="65" spans="1:26" x14ac:dyDescent="0.25">
      <c r="A65" s="706"/>
      <c r="B65" s="37">
        <v>710</v>
      </c>
      <c r="C65" s="702" t="s">
        <v>254</v>
      </c>
      <c r="D65" s="706"/>
      <c r="E65" s="704"/>
      <c r="F65" s="704"/>
      <c r="G65" s="704"/>
      <c r="H65" s="704"/>
      <c r="I65" s="704"/>
      <c r="J65" s="704"/>
      <c r="K65" s="704"/>
      <c r="L65" s="705"/>
      <c r="M65" s="705"/>
      <c r="N65" s="704"/>
      <c r="O65" s="707"/>
      <c r="P65" s="708"/>
      <c r="Q65" s="709"/>
      <c r="R65" s="709"/>
      <c r="S65" s="709"/>
      <c r="T65" s="709"/>
      <c r="U65" s="709"/>
      <c r="V65" s="885"/>
      <c r="W65" s="885"/>
      <c r="X65" s="706"/>
      <c r="Y65" s="705"/>
      <c r="Z65" s="709"/>
    </row>
    <row r="66" spans="1:26" x14ac:dyDescent="0.25">
      <c r="A66" s="706">
        <v>25000</v>
      </c>
      <c r="B66" s="37">
        <v>710</v>
      </c>
      <c r="C66" s="702" t="s">
        <v>268</v>
      </c>
      <c r="D66" s="706" t="s">
        <v>110</v>
      </c>
      <c r="E66" s="704">
        <v>15.65</v>
      </c>
      <c r="F66" s="723">
        <f>(0.97*LN(A66))+2.5</f>
        <v>12.322832170734827</v>
      </c>
      <c r="G66" s="704"/>
      <c r="H66" s="704">
        <v>14.87</v>
      </c>
      <c r="I66" s="704">
        <v>13.68</v>
      </c>
      <c r="J66" s="704">
        <v>14.99</v>
      </c>
      <c r="K66" s="704">
        <v>6.07</v>
      </c>
      <c r="L66" s="705">
        <v>1</v>
      </c>
      <c r="M66" s="705">
        <v>0.98</v>
      </c>
      <c r="N66" s="704">
        <f t="shared" ref="N66:N85" si="11">+E66*K66*L66*M66</f>
        <v>93.095590000000001</v>
      </c>
      <c r="O66" s="707">
        <v>8100</v>
      </c>
      <c r="P66" s="708">
        <f t="shared" ref="P66:P75" si="12">IF(O66=0,0,N66/O66)</f>
        <v>1.1493282716049383E-2</v>
      </c>
      <c r="Q66" s="709">
        <v>1951500</v>
      </c>
      <c r="R66" s="709">
        <v>265680</v>
      </c>
      <c r="S66" s="709">
        <f t="shared" ref="S66:S75" si="13">+Q66-R66</f>
        <v>1685820</v>
      </c>
      <c r="T66" s="709">
        <f t="shared" si="1"/>
        <v>19375.60586837037</v>
      </c>
      <c r="U66" s="709">
        <f t="shared" si="2"/>
        <v>9687.8029341851852</v>
      </c>
      <c r="V66" s="710">
        <v>15.9186</v>
      </c>
      <c r="W66" s="710">
        <v>15.0525</v>
      </c>
      <c r="X66" s="706"/>
      <c r="Y66" s="705">
        <f>+W66*1000/U66</f>
        <v>1.5537578646324957</v>
      </c>
      <c r="Z66" s="709">
        <f t="shared" si="6"/>
        <v>2619356.0833547539</v>
      </c>
    </row>
    <row r="67" spans="1:26" x14ac:dyDescent="0.25">
      <c r="A67" s="706">
        <v>75000</v>
      </c>
      <c r="B67" s="37">
        <v>710</v>
      </c>
      <c r="C67" s="702" t="s">
        <v>271</v>
      </c>
      <c r="D67" s="706" t="s">
        <v>110</v>
      </c>
      <c r="E67" s="704">
        <v>13.34</v>
      </c>
      <c r="F67" s="723">
        <f t="shared" ref="F67:F75" si="14">(0.97*LN(A67))+2.5</f>
        <v>13.388486090742893</v>
      </c>
      <c r="G67" s="704"/>
      <c r="H67" s="704">
        <v>14.87</v>
      </c>
      <c r="I67" s="704">
        <v>13.68</v>
      </c>
      <c r="J67" s="704">
        <v>14.99</v>
      </c>
      <c r="K67" s="704">
        <v>6.07</v>
      </c>
      <c r="L67" s="705">
        <v>1</v>
      </c>
      <c r="M67" s="705">
        <v>0.98</v>
      </c>
      <c r="N67" s="704">
        <f t="shared" si="11"/>
        <v>79.354323999999991</v>
      </c>
      <c r="O67" s="707">
        <v>8100</v>
      </c>
      <c r="P67" s="708">
        <f t="shared" si="12"/>
        <v>9.7968301234567894E-3</v>
      </c>
      <c r="Q67" s="709">
        <v>1951500</v>
      </c>
      <c r="R67" s="709">
        <v>265680</v>
      </c>
      <c r="S67" s="709">
        <f t="shared" si="13"/>
        <v>1685820</v>
      </c>
      <c r="T67" s="709">
        <f t="shared" si="1"/>
        <v>16515.692158725924</v>
      </c>
      <c r="U67" s="709">
        <f t="shared" si="2"/>
        <v>8257.846079362962</v>
      </c>
      <c r="V67" s="710">
        <v>13.5726</v>
      </c>
      <c r="W67" s="710">
        <v>12.833500000000001</v>
      </c>
      <c r="X67" s="706"/>
      <c r="Y67" s="705">
        <f t="shared" ref="Y67:Y136" si="15">+W67*1000/U67</f>
        <v>1.554097748572957</v>
      </c>
      <c r="Z67" s="709">
        <f t="shared" si="6"/>
        <v>2619929.0664992626</v>
      </c>
    </row>
    <row r="68" spans="1:26" x14ac:dyDescent="0.25">
      <c r="A68" s="706">
        <v>125000</v>
      </c>
      <c r="B68" s="37">
        <v>710</v>
      </c>
      <c r="C68" s="702" t="s">
        <v>274</v>
      </c>
      <c r="D68" s="706" t="s">
        <v>110</v>
      </c>
      <c r="E68" s="704">
        <v>11.37</v>
      </c>
      <c r="F68" s="723">
        <f t="shared" si="14"/>
        <v>13.883986945795904</v>
      </c>
      <c r="G68" s="704"/>
      <c r="H68" s="704">
        <v>14.87</v>
      </c>
      <c r="I68" s="704">
        <v>13.68</v>
      </c>
      <c r="J68" s="704">
        <v>14.99</v>
      </c>
      <c r="K68" s="704">
        <v>6.07</v>
      </c>
      <c r="L68" s="705">
        <v>1</v>
      </c>
      <c r="M68" s="705">
        <v>0.98</v>
      </c>
      <c r="N68" s="704">
        <f t="shared" si="11"/>
        <v>67.635581999999999</v>
      </c>
      <c r="O68" s="707">
        <v>8100</v>
      </c>
      <c r="P68" s="708">
        <f t="shared" si="12"/>
        <v>8.3500718518518518E-3</v>
      </c>
      <c r="Q68" s="709">
        <v>1951500</v>
      </c>
      <c r="R68" s="709">
        <v>265680</v>
      </c>
      <c r="S68" s="709">
        <f t="shared" si="13"/>
        <v>1685820</v>
      </c>
      <c r="T68" s="709">
        <f t="shared" si="1"/>
        <v>14076.718129288889</v>
      </c>
      <c r="U68" s="709">
        <f t="shared" si="2"/>
        <v>7038.3590646444445</v>
      </c>
      <c r="V68" s="710">
        <v>11.573499999999999</v>
      </c>
      <c r="W68" s="710">
        <v>10.9434</v>
      </c>
      <c r="X68" s="706"/>
      <c r="Y68" s="705">
        <f t="shared" si="15"/>
        <v>1.5548226368517652</v>
      </c>
      <c r="Z68" s="709">
        <f t="shared" si="6"/>
        <v>2621151.097657443</v>
      </c>
    </row>
    <row r="69" spans="1:26" x14ac:dyDescent="0.25">
      <c r="A69" s="706">
        <v>175000</v>
      </c>
      <c r="B69" s="37">
        <v>710</v>
      </c>
      <c r="C69" s="702" t="s">
        <v>277</v>
      </c>
      <c r="D69" s="706" t="s">
        <v>110</v>
      </c>
      <c r="E69" s="704">
        <v>11.37</v>
      </c>
      <c r="F69" s="723">
        <f t="shared" si="14"/>
        <v>14.210365015318482</v>
      </c>
      <c r="G69" s="704"/>
      <c r="H69" s="704">
        <v>14.87</v>
      </c>
      <c r="I69" s="704">
        <v>13.68</v>
      </c>
      <c r="J69" s="704">
        <v>14.99</v>
      </c>
      <c r="K69" s="704">
        <v>6.07</v>
      </c>
      <c r="L69" s="705">
        <v>1</v>
      </c>
      <c r="M69" s="705">
        <v>0.98</v>
      </c>
      <c r="N69" s="704">
        <f t="shared" si="11"/>
        <v>67.635581999999999</v>
      </c>
      <c r="O69" s="707">
        <v>8100</v>
      </c>
      <c r="P69" s="708">
        <f t="shared" si="12"/>
        <v>8.3500718518518518E-3</v>
      </c>
      <c r="Q69" s="709">
        <v>1951500</v>
      </c>
      <c r="R69" s="709">
        <v>265680</v>
      </c>
      <c r="S69" s="709">
        <f t="shared" si="13"/>
        <v>1685820</v>
      </c>
      <c r="T69" s="709">
        <f t="shared" si="1"/>
        <v>14076.718129288889</v>
      </c>
      <c r="U69" s="709">
        <f t="shared" si="2"/>
        <v>7038.3590646444445</v>
      </c>
      <c r="V69" s="710">
        <v>11.573499999999999</v>
      </c>
      <c r="W69" s="710">
        <v>10.9434</v>
      </c>
      <c r="X69" s="706"/>
      <c r="Y69" s="705">
        <f t="shared" si="15"/>
        <v>1.5548226368517652</v>
      </c>
      <c r="Z69" s="709">
        <f t="shared" si="6"/>
        <v>2621151.097657443</v>
      </c>
    </row>
    <row r="70" spans="1:26" x14ac:dyDescent="0.25">
      <c r="A70" s="706">
        <v>225000</v>
      </c>
      <c r="B70" s="37">
        <v>710</v>
      </c>
      <c r="C70" s="702" t="s">
        <v>280</v>
      </c>
      <c r="D70" s="706" t="s">
        <v>110</v>
      </c>
      <c r="E70" s="704">
        <v>10.36</v>
      </c>
      <c r="F70" s="723">
        <f t="shared" si="14"/>
        <v>14.45414001075096</v>
      </c>
      <c r="G70" s="704"/>
      <c r="H70" s="704">
        <v>14.87</v>
      </c>
      <c r="I70" s="704">
        <v>13.68</v>
      </c>
      <c r="J70" s="704">
        <v>14.99</v>
      </c>
      <c r="K70" s="704">
        <v>6.07</v>
      </c>
      <c r="L70" s="705">
        <v>1</v>
      </c>
      <c r="M70" s="705">
        <v>0.98</v>
      </c>
      <c r="N70" s="704">
        <f t="shared" si="11"/>
        <v>61.627495999999994</v>
      </c>
      <c r="O70" s="707">
        <v>8100</v>
      </c>
      <c r="P70" s="708">
        <f t="shared" si="12"/>
        <v>7.6083328395061718E-3</v>
      </c>
      <c r="Q70" s="709">
        <v>1951500</v>
      </c>
      <c r="R70" s="709">
        <v>265680</v>
      </c>
      <c r="S70" s="709">
        <f t="shared" si="13"/>
        <v>1685820</v>
      </c>
      <c r="T70" s="709">
        <f t="shared" si="1"/>
        <v>12826.279667496294</v>
      </c>
      <c r="U70" s="709">
        <f t="shared" si="2"/>
        <v>6413.1398337481469</v>
      </c>
      <c r="V70" s="710">
        <v>10.542899999999999</v>
      </c>
      <c r="W70" s="710">
        <v>9.9681999999999995</v>
      </c>
      <c r="X70" s="706"/>
      <c r="Y70" s="705">
        <f t="shared" si="15"/>
        <v>1.554340035990468</v>
      </c>
      <c r="Z70" s="709">
        <f t="shared" si="6"/>
        <v>2620337.5194734507</v>
      </c>
    </row>
    <row r="71" spans="1:26" x14ac:dyDescent="0.25">
      <c r="A71" s="706">
        <v>350000</v>
      </c>
      <c r="B71" s="37">
        <v>710</v>
      </c>
      <c r="C71" s="702" t="s">
        <v>283</v>
      </c>
      <c r="D71" s="706" t="s">
        <v>110</v>
      </c>
      <c r="E71" s="704">
        <v>9.6999999999999993</v>
      </c>
      <c r="F71" s="723">
        <f t="shared" si="14"/>
        <v>14.882717780461629</v>
      </c>
      <c r="G71" s="704"/>
      <c r="H71" s="704">
        <v>14.87</v>
      </c>
      <c r="I71" s="704">
        <v>13.68</v>
      </c>
      <c r="J71" s="704">
        <v>14.99</v>
      </c>
      <c r="K71" s="704">
        <v>6.07</v>
      </c>
      <c r="L71" s="705">
        <v>1</v>
      </c>
      <c r="M71" s="705">
        <v>0.98</v>
      </c>
      <c r="N71" s="704">
        <f t="shared" si="11"/>
        <v>57.701419999999999</v>
      </c>
      <c r="O71" s="707">
        <v>8100</v>
      </c>
      <c r="P71" s="708">
        <f t="shared" si="12"/>
        <v>7.123632098765432E-3</v>
      </c>
      <c r="Q71" s="709">
        <v>1951500</v>
      </c>
      <c r="R71" s="709">
        <v>265680</v>
      </c>
      <c r="S71" s="709">
        <f t="shared" si="13"/>
        <v>1685820</v>
      </c>
      <c r="T71" s="709">
        <f t="shared" si="1"/>
        <v>12009.16146474074</v>
      </c>
      <c r="U71" s="709">
        <f t="shared" si="2"/>
        <v>6004.5807323703702</v>
      </c>
      <c r="V71" s="710">
        <v>9.8673000000000002</v>
      </c>
      <c r="W71" s="710">
        <v>9.3300999999999998</v>
      </c>
      <c r="X71" s="706"/>
      <c r="Y71" s="705">
        <f t="shared" si="15"/>
        <v>1.5538303864751015</v>
      </c>
      <c r="Z71" s="709">
        <f t="shared" si="6"/>
        <v>2619478.3421274559</v>
      </c>
    </row>
    <row r="72" spans="1:26" x14ac:dyDescent="0.25">
      <c r="A72" s="706">
        <v>450000</v>
      </c>
      <c r="B72" s="37">
        <v>710</v>
      </c>
      <c r="C72" s="702" t="s">
        <v>286</v>
      </c>
      <c r="D72" s="706" t="s">
        <v>110</v>
      </c>
      <c r="E72" s="704">
        <v>9.2100000000000009</v>
      </c>
      <c r="F72" s="723">
        <f t="shared" si="14"/>
        <v>15.126492775894107</v>
      </c>
      <c r="G72" s="704"/>
      <c r="H72" s="704">
        <v>14.87</v>
      </c>
      <c r="I72" s="704">
        <v>13.68</v>
      </c>
      <c r="J72" s="704">
        <v>14.99</v>
      </c>
      <c r="K72" s="704">
        <v>6.07</v>
      </c>
      <c r="L72" s="705">
        <v>1</v>
      </c>
      <c r="M72" s="705">
        <v>0.98</v>
      </c>
      <c r="N72" s="704">
        <f t="shared" si="11"/>
        <v>54.786606000000006</v>
      </c>
      <c r="O72" s="707">
        <v>8100</v>
      </c>
      <c r="P72" s="708">
        <f t="shared" si="12"/>
        <v>6.7637785185185196E-3</v>
      </c>
      <c r="Q72" s="709">
        <v>1951500</v>
      </c>
      <c r="R72" s="709">
        <v>265680</v>
      </c>
      <c r="S72" s="709">
        <f t="shared" si="13"/>
        <v>1685820</v>
      </c>
      <c r="T72" s="709">
        <f t="shared" si="1"/>
        <v>11402.513102088891</v>
      </c>
      <c r="U72" s="709">
        <f t="shared" si="2"/>
        <v>5701.2565510444456</v>
      </c>
      <c r="V72" s="710">
        <v>9.3740000000000006</v>
      </c>
      <c r="W72" s="710">
        <v>8.8628</v>
      </c>
      <c r="X72" s="706"/>
      <c r="Y72" s="705">
        <f t="shared" si="15"/>
        <v>1.5545344996580399</v>
      </c>
      <c r="Z72" s="709">
        <f t="shared" si="6"/>
        <v>2620665.350213517</v>
      </c>
    </row>
    <row r="73" spans="1:26" x14ac:dyDescent="0.25">
      <c r="A73" s="706">
        <v>550000</v>
      </c>
      <c r="B73" s="37">
        <v>710</v>
      </c>
      <c r="C73" s="702" t="s">
        <v>288</v>
      </c>
      <c r="D73" s="706" t="s">
        <v>110</v>
      </c>
      <c r="E73" s="704">
        <v>8.83</v>
      </c>
      <c r="F73" s="723">
        <f t="shared" si="14"/>
        <v>15.321143350492394</v>
      </c>
      <c r="G73" s="704"/>
      <c r="H73" s="704">
        <v>14.87</v>
      </c>
      <c r="I73" s="704">
        <v>13.68</v>
      </c>
      <c r="J73" s="704">
        <v>14.99</v>
      </c>
      <c r="K73" s="704">
        <v>6.07</v>
      </c>
      <c r="L73" s="705">
        <v>1</v>
      </c>
      <c r="M73" s="705">
        <v>0.98</v>
      </c>
      <c r="N73" s="704">
        <f t="shared" si="11"/>
        <v>52.526138000000003</v>
      </c>
      <c r="O73" s="707">
        <v>8100</v>
      </c>
      <c r="P73" s="708">
        <f t="shared" si="12"/>
        <v>6.4847083950617286E-3</v>
      </c>
      <c r="Q73" s="709">
        <v>1951500</v>
      </c>
      <c r="R73" s="709">
        <v>265680</v>
      </c>
      <c r="S73" s="709">
        <f t="shared" si="13"/>
        <v>1685820</v>
      </c>
      <c r="T73" s="709">
        <f t="shared" si="1"/>
        <v>10932.051106562963</v>
      </c>
      <c r="U73" s="709">
        <f t="shared" si="2"/>
        <v>5466.0255532814817</v>
      </c>
      <c r="V73" s="710">
        <v>8.9882000000000009</v>
      </c>
      <c r="W73" s="710">
        <v>8.4998000000000005</v>
      </c>
      <c r="X73" s="706"/>
      <c r="Y73" s="705">
        <f t="shared" si="15"/>
        <v>1.5550238316938014</v>
      </c>
      <c r="Z73" s="709">
        <f t="shared" si="6"/>
        <v>2621490.2759460444</v>
      </c>
    </row>
    <row r="74" spans="1:26" x14ac:dyDescent="0.25">
      <c r="A74" s="706">
        <v>650000</v>
      </c>
      <c r="B74" s="37">
        <v>710</v>
      </c>
      <c r="C74" s="702" t="s">
        <v>291</v>
      </c>
      <c r="D74" s="706" t="s">
        <v>110</v>
      </c>
      <c r="E74" s="704">
        <v>8.5299999999999994</v>
      </c>
      <c r="F74" s="723">
        <f t="shared" si="14"/>
        <v>15.483185812615664</v>
      </c>
      <c r="G74" s="704"/>
      <c r="H74" s="704">
        <v>14.87</v>
      </c>
      <c r="I74" s="704">
        <v>13.68</v>
      </c>
      <c r="J74" s="704">
        <v>14.99</v>
      </c>
      <c r="K74" s="704">
        <v>6.07</v>
      </c>
      <c r="L74" s="705">
        <v>1</v>
      </c>
      <c r="M74" s="705">
        <v>0.98</v>
      </c>
      <c r="N74" s="704">
        <f t="shared" si="11"/>
        <v>50.741557999999998</v>
      </c>
      <c r="O74" s="707">
        <v>8100</v>
      </c>
      <c r="P74" s="708">
        <f t="shared" si="12"/>
        <v>6.26438987654321E-3</v>
      </c>
      <c r="Q74" s="709">
        <v>1951500</v>
      </c>
      <c r="R74" s="709">
        <v>265680</v>
      </c>
      <c r="S74" s="709">
        <f t="shared" si="13"/>
        <v>1685820</v>
      </c>
      <c r="T74" s="709">
        <f t="shared" si="1"/>
        <v>10560.633741674073</v>
      </c>
      <c r="U74" s="709">
        <f t="shared" si="2"/>
        <v>5280.3168708370367</v>
      </c>
      <c r="V74" s="710">
        <v>8.6755999999999993</v>
      </c>
      <c r="W74" s="710">
        <v>8.2035</v>
      </c>
      <c r="X74" s="706"/>
      <c r="Y74" s="705">
        <f t="shared" si="15"/>
        <v>1.5535999449782225</v>
      </c>
      <c r="Z74" s="709">
        <f t="shared" si="6"/>
        <v>2619089.8592431871</v>
      </c>
    </row>
    <row r="75" spans="1:26" x14ac:dyDescent="0.25">
      <c r="A75" s="706">
        <v>1000000</v>
      </c>
      <c r="B75" s="37">
        <v>710</v>
      </c>
      <c r="C75" s="702" t="s">
        <v>294</v>
      </c>
      <c r="D75" s="706" t="s">
        <v>110</v>
      </c>
      <c r="E75" s="704">
        <v>8.24</v>
      </c>
      <c r="F75" s="723">
        <f t="shared" si="14"/>
        <v>15.901045241225345</v>
      </c>
      <c r="G75" s="704"/>
      <c r="H75" s="704">
        <v>14.87</v>
      </c>
      <c r="I75" s="704">
        <v>13.68</v>
      </c>
      <c r="J75" s="704">
        <v>14.99</v>
      </c>
      <c r="K75" s="704">
        <v>6.07</v>
      </c>
      <c r="L75" s="705">
        <v>1</v>
      </c>
      <c r="M75" s="705">
        <v>0.98</v>
      </c>
      <c r="N75" s="704">
        <f t="shared" si="11"/>
        <v>49.016463999999999</v>
      </c>
      <c r="O75" s="707">
        <v>8100</v>
      </c>
      <c r="P75" s="708">
        <f t="shared" si="12"/>
        <v>6.0514153086419749E-3</v>
      </c>
      <c r="Q75" s="709">
        <v>1951500</v>
      </c>
      <c r="R75" s="709">
        <v>265680</v>
      </c>
      <c r="S75" s="709">
        <f t="shared" si="13"/>
        <v>1685820</v>
      </c>
      <c r="T75" s="709">
        <f t="shared" si="1"/>
        <v>10201.596955614814</v>
      </c>
      <c r="U75" s="709">
        <f t="shared" si="2"/>
        <v>5100.7984778074069</v>
      </c>
      <c r="V75" s="710">
        <v>8.4135000000000009</v>
      </c>
      <c r="W75" s="710">
        <v>7.9543999999999997</v>
      </c>
      <c r="X75" s="706"/>
      <c r="Y75" s="705">
        <f t="shared" si="15"/>
        <v>1.5594421215831333</v>
      </c>
      <c r="Z75" s="709">
        <f t="shared" si="6"/>
        <v>2628938.7174072778</v>
      </c>
    </row>
    <row r="76" spans="1:26" x14ac:dyDescent="0.25">
      <c r="A76" s="706"/>
      <c r="B76" s="37">
        <v>712</v>
      </c>
      <c r="C76" s="702" t="s">
        <v>297</v>
      </c>
      <c r="D76" s="706" t="s">
        <v>110</v>
      </c>
      <c r="E76" s="704"/>
      <c r="F76" s="704">
        <v>16.190000000000001</v>
      </c>
      <c r="G76" s="704"/>
      <c r="H76" s="704"/>
      <c r="I76" s="704"/>
      <c r="J76" s="704" t="s">
        <v>764</v>
      </c>
      <c r="K76" s="704"/>
      <c r="L76" s="705"/>
      <c r="M76" s="705"/>
      <c r="N76" s="704"/>
      <c r="O76" s="707"/>
      <c r="P76" s="708"/>
      <c r="Q76" s="709"/>
      <c r="R76" s="709"/>
      <c r="S76" s="709"/>
      <c r="T76" s="709"/>
      <c r="U76" s="709"/>
      <c r="V76" s="710"/>
      <c r="W76" s="710"/>
      <c r="X76" s="706"/>
      <c r="Y76" s="705"/>
      <c r="Z76" s="709"/>
    </row>
    <row r="77" spans="1:26" x14ac:dyDescent="0.25">
      <c r="A77" s="706"/>
      <c r="B77" s="37">
        <v>715</v>
      </c>
      <c r="C77" s="702" t="s">
        <v>302</v>
      </c>
      <c r="D77" s="706" t="s">
        <v>110</v>
      </c>
      <c r="E77" s="704"/>
      <c r="F77" s="704">
        <v>11.25</v>
      </c>
      <c r="G77" s="704"/>
      <c r="H77" s="704"/>
      <c r="I77" s="704"/>
      <c r="J77" s="704" t="s">
        <v>764</v>
      </c>
      <c r="K77" s="704"/>
      <c r="L77" s="705"/>
      <c r="M77" s="705"/>
      <c r="N77" s="704"/>
      <c r="O77" s="707"/>
      <c r="P77" s="708"/>
      <c r="Q77" s="709"/>
      <c r="R77" s="709"/>
      <c r="S77" s="709"/>
      <c r="T77" s="709"/>
      <c r="U77" s="709"/>
      <c r="V77" s="710"/>
      <c r="W77" s="710"/>
      <c r="X77" s="706"/>
      <c r="Y77" s="705"/>
      <c r="Z77" s="709"/>
    </row>
    <row r="78" spans="1:26" x14ac:dyDescent="0.25">
      <c r="A78" s="706"/>
      <c r="B78" s="37">
        <v>714</v>
      </c>
      <c r="C78" s="702" t="s">
        <v>437</v>
      </c>
      <c r="D78" s="706" t="s">
        <v>110</v>
      </c>
      <c r="E78" s="704"/>
      <c r="F78" s="704">
        <v>7.95</v>
      </c>
      <c r="G78" s="704"/>
      <c r="H78" s="704"/>
      <c r="I78" s="704"/>
      <c r="J78" s="704" t="s">
        <v>764</v>
      </c>
      <c r="K78" s="704"/>
      <c r="L78" s="705"/>
      <c r="M78" s="705"/>
      <c r="N78" s="704"/>
      <c r="O78" s="707"/>
      <c r="P78" s="708"/>
      <c r="Q78" s="709"/>
      <c r="R78" s="709"/>
      <c r="S78" s="709"/>
      <c r="T78" s="709"/>
      <c r="U78" s="709"/>
      <c r="V78" s="710"/>
      <c r="W78" s="710"/>
      <c r="X78" s="706"/>
      <c r="Y78" s="705"/>
      <c r="Z78" s="709"/>
    </row>
    <row r="79" spans="1:26" x14ac:dyDescent="0.25">
      <c r="A79" s="706"/>
      <c r="B79" s="37">
        <v>720</v>
      </c>
      <c r="C79" s="702" t="s">
        <v>275</v>
      </c>
      <c r="D79" s="706" t="s">
        <v>110</v>
      </c>
      <c r="E79" s="704">
        <v>36.130000000000003</v>
      </c>
      <c r="F79" s="704">
        <v>34.799999999999997</v>
      </c>
      <c r="G79" s="704"/>
      <c r="H79" s="704"/>
      <c r="I79" s="704"/>
      <c r="J79" s="704" t="s">
        <v>764</v>
      </c>
      <c r="K79" s="704">
        <v>6.07</v>
      </c>
      <c r="L79" s="705">
        <v>1</v>
      </c>
      <c r="M79" s="705">
        <v>0.98</v>
      </c>
      <c r="N79" s="704">
        <f t="shared" si="11"/>
        <v>214.92291800000004</v>
      </c>
      <c r="O79" s="707">
        <v>8100</v>
      </c>
      <c r="P79" s="708">
        <f>IF(O79=0,0,N79/O79)</f>
        <v>2.6533693580246917E-2</v>
      </c>
      <c r="Q79" s="709">
        <v>1951500</v>
      </c>
      <c r="R79" s="709">
        <v>265680</v>
      </c>
      <c r="S79" s="709">
        <f>+Q79-R79</f>
        <v>1685820</v>
      </c>
      <c r="T79" s="709">
        <f t="shared" si="1"/>
        <v>44731.031311451858</v>
      </c>
      <c r="U79" s="709">
        <f t="shared" si="2"/>
        <v>22365.515655725929</v>
      </c>
      <c r="V79" s="710">
        <v>36.760199999999998</v>
      </c>
      <c r="W79" s="710">
        <v>34.757800000000003</v>
      </c>
      <c r="X79" s="706"/>
      <c r="Y79" s="705">
        <f t="shared" si="15"/>
        <v>1.5540799745031344</v>
      </c>
      <c r="Z79" s="709">
        <f t="shared" si="6"/>
        <v>2619899.102616874</v>
      </c>
    </row>
    <row r="80" spans="1:26" x14ac:dyDescent="0.25">
      <c r="A80" s="706"/>
      <c r="B80" s="37">
        <v>730</v>
      </c>
      <c r="C80" s="702" t="s">
        <v>306</v>
      </c>
      <c r="D80" s="706" t="s">
        <v>110</v>
      </c>
      <c r="E80" s="704"/>
      <c r="F80" s="704">
        <v>22.59</v>
      </c>
      <c r="G80" s="704"/>
      <c r="H80" s="704"/>
      <c r="I80" s="704"/>
      <c r="J80" s="704" t="s">
        <v>764</v>
      </c>
      <c r="K80" s="704"/>
      <c r="L80" s="705"/>
      <c r="M80" s="705"/>
      <c r="N80" s="704"/>
      <c r="O80" s="707"/>
      <c r="P80" s="708"/>
      <c r="Q80" s="709"/>
      <c r="R80" s="709"/>
      <c r="S80" s="709"/>
      <c r="T80" s="709"/>
      <c r="U80" s="709"/>
      <c r="V80" s="710"/>
      <c r="W80" s="710"/>
      <c r="X80" s="706"/>
      <c r="Y80" s="705"/>
      <c r="Z80" s="709"/>
    </row>
    <row r="81" spans="1:26" x14ac:dyDescent="0.25">
      <c r="A81" s="706"/>
      <c r="B81" s="37">
        <v>731</v>
      </c>
      <c r="C81" s="702" t="s">
        <v>308</v>
      </c>
      <c r="D81" s="706" t="s">
        <v>110</v>
      </c>
      <c r="E81" s="704"/>
      <c r="F81" s="704">
        <v>11.21</v>
      </c>
      <c r="G81" s="704"/>
      <c r="H81" s="704"/>
      <c r="I81" s="704"/>
      <c r="J81" s="704" t="s">
        <v>764</v>
      </c>
      <c r="K81" s="704"/>
      <c r="L81" s="705"/>
      <c r="M81" s="705"/>
      <c r="N81" s="704"/>
      <c r="O81" s="707"/>
      <c r="P81" s="708"/>
      <c r="Q81" s="709"/>
      <c r="R81" s="709"/>
      <c r="S81" s="709"/>
      <c r="T81" s="709"/>
      <c r="U81" s="709"/>
      <c r="V81" s="710"/>
      <c r="W81" s="710"/>
      <c r="X81" s="706"/>
      <c r="Y81" s="705"/>
      <c r="Z81" s="709"/>
    </row>
    <row r="82" spans="1:26" x14ac:dyDescent="0.25">
      <c r="A82" s="706"/>
      <c r="B82" s="37">
        <v>733</v>
      </c>
      <c r="C82" s="702" t="s">
        <v>310</v>
      </c>
      <c r="D82" s="706" t="s">
        <v>110</v>
      </c>
      <c r="E82" s="704"/>
      <c r="F82" s="704">
        <v>33.979999999999997</v>
      </c>
      <c r="G82" s="704"/>
      <c r="H82" s="704"/>
      <c r="I82" s="704"/>
      <c r="J82" s="704" t="s">
        <v>764</v>
      </c>
      <c r="K82" s="704"/>
      <c r="L82" s="705"/>
      <c r="M82" s="705"/>
      <c r="N82" s="704"/>
      <c r="O82" s="707"/>
      <c r="P82" s="708"/>
      <c r="Q82" s="709"/>
      <c r="R82" s="709"/>
      <c r="S82" s="709"/>
      <c r="T82" s="709"/>
      <c r="U82" s="709"/>
      <c r="V82" s="710"/>
      <c r="W82" s="710"/>
      <c r="X82" s="706"/>
      <c r="Y82" s="705"/>
      <c r="Z82" s="709"/>
    </row>
    <row r="83" spans="1:26" x14ac:dyDescent="0.25">
      <c r="A83" s="706"/>
      <c r="B83" s="37">
        <v>750</v>
      </c>
      <c r="C83" s="702" t="s">
        <v>312</v>
      </c>
      <c r="D83" s="706" t="s">
        <v>110</v>
      </c>
      <c r="E83" s="704">
        <v>11.42</v>
      </c>
      <c r="F83" s="704">
        <v>11.07</v>
      </c>
      <c r="G83" s="704"/>
      <c r="H83" s="704"/>
      <c r="I83" s="704"/>
      <c r="J83" s="704" t="s">
        <v>764</v>
      </c>
      <c r="K83" s="704">
        <v>6.07</v>
      </c>
      <c r="L83" s="705">
        <v>1</v>
      </c>
      <c r="M83" s="705">
        <v>0.98</v>
      </c>
      <c r="N83" s="704">
        <f t="shared" si="11"/>
        <v>67.933012000000005</v>
      </c>
      <c r="O83" s="707">
        <v>8100</v>
      </c>
      <c r="P83" s="708">
        <f>IF(O83=0,0,N83/O83)</f>
        <v>8.3867916049382724E-3</v>
      </c>
      <c r="Q83" s="709">
        <v>1951500</v>
      </c>
      <c r="R83" s="709">
        <v>265680</v>
      </c>
      <c r="S83" s="709">
        <f>+Q83-R83</f>
        <v>1685820</v>
      </c>
      <c r="T83" s="709">
        <f t="shared" si="1"/>
        <v>14138.621023437039</v>
      </c>
      <c r="U83" s="709">
        <f t="shared" si="2"/>
        <v>7069.3105117185196</v>
      </c>
      <c r="V83" s="710">
        <v>11.619</v>
      </c>
      <c r="W83" s="710">
        <v>10.9857</v>
      </c>
      <c r="X83" s="706"/>
      <c r="Y83" s="705">
        <f t="shared" si="15"/>
        <v>1.5539987926388907</v>
      </c>
      <c r="Z83" s="709">
        <f t="shared" si="6"/>
        <v>2619762.2446064949</v>
      </c>
    </row>
    <row r="84" spans="1:26" x14ac:dyDescent="0.25">
      <c r="A84" s="706"/>
      <c r="B84" s="37">
        <v>760</v>
      </c>
      <c r="C84" s="702" t="s">
        <v>281</v>
      </c>
      <c r="D84" s="706" t="s">
        <v>110</v>
      </c>
      <c r="E84" s="704">
        <v>8.11</v>
      </c>
      <c r="F84" s="704">
        <v>11.26</v>
      </c>
      <c r="G84" s="704"/>
      <c r="H84" s="704"/>
      <c r="I84" s="704"/>
      <c r="J84" s="704" t="s">
        <v>764</v>
      </c>
      <c r="K84" s="704">
        <v>6.07</v>
      </c>
      <c r="L84" s="705">
        <v>1</v>
      </c>
      <c r="M84" s="705">
        <v>0.98</v>
      </c>
      <c r="N84" s="704">
        <f t="shared" si="11"/>
        <v>48.243145999999996</v>
      </c>
      <c r="O84" s="707">
        <v>8100</v>
      </c>
      <c r="P84" s="708">
        <f>IF(O84=0,0,N84/O84)</f>
        <v>5.9559439506172837E-3</v>
      </c>
      <c r="Q84" s="709">
        <v>1951500</v>
      </c>
      <c r="R84" s="709">
        <v>265680</v>
      </c>
      <c r="S84" s="709">
        <f>+Q84-R84</f>
        <v>1685820</v>
      </c>
      <c r="T84" s="709">
        <f t="shared" si="1"/>
        <v>10040.64943082963</v>
      </c>
      <c r="U84" s="709">
        <f t="shared" si="2"/>
        <v>5020.3247154148148</v>
      </c>
      <c r="V84" s="710">
        <v>8.2507000000000001</v>
      </c>
      <c r="W84" s="710">
        <v>7.8014000000000001</v>
      </c>
      <c r="X84" s="706"/>
      <c r="Y84" s="705">
        <f t="shared" si="15"/>
        <v>1.5539632279254656</v>
      </c>
      <c r="Z84" s="709">
        <f t="shared" si="6"/>
        <v>2619702.2889013086</v>
      </c>
    </row>
    <row r="85" spans="1:26" x14ac:dyDescent="0.25">
      <c r="A85" s="706"/>
      <c r="B85" s="37">
        <v>770</v>
      </c>
      <c r="C85" s="702" t="s">
        <v>284</v>
      </c>
      <c r="D85" s="706" t="s">
        <v>110</v>
      </c>
      <c r="E85" s="704">
        <v>12.76</v>
      </c>
      <c r="F85" s="704">
        <v>12.44</v>
      </c>
      <c r="G85" s="704"/>
      <c r="H85" s="704"/>
      <c r="I85" s="704"/>
      <c r="J85" s="704" t="s">
        <v>764</v>
      </c>
      <c r="K85" s="704">
        <v>6.07</v>
      </c>
      <c r="L85" s="705">
        <v>1</v>
      </c>
      <c r="M85" s="705">
        <v>0.98</v>
      </c>
      <c r="N85" s="704">
        <f t="shared" si="11"/>
        <v>75.904135999999994</v>
      </c>
      <c r="O85" s="707">
        <v>8100</v>
      </c>
      <c r="P85" s="708">
        <f>IF(O85=0,0,N85/O85)</f>
        <v>9.370880987654321E-3</v>
      </c>
      <c r="Q85" s="709">
        <v>1951500</v>
      </c>
      <c r="R85" s="709">
        <v>265680</v>
      </c>
      <c r="S85" s="709">
        <f>+Q85-R85</f>
        <v>1685820</v>
      </c>
      <c r="T85" s="709">
        <f t="shared" si="1"/>
        <v>15797.618586607407</v>
      </c>
      <c r="U85" s="709">
        <f t="shared" si="2"/>
        <v>7898.8092933037033</v>
      </c>
      <c r="V85" s="710">
        <v>12.9833</v>
      </c>
      <c r="W85" s="710">
        <v>12.2751</v>
      </c>
      <c r="X85" s="706"/>
      <c r="Y85" s="705">
        <f t="shared" si="15"/>
        <v>1.5540443558254207</v>
      </c>
      <c r="Z85" s="709">
        <f t="shared" si="6"/>
        <v>2619839.0559376106</v>
      </c>
    </row>
    <row r="86" spans="1:26" x14ac:dyDescent="0.25">
      <c r="A86" s="706"/>
      <c r="B86" s="53" t="s">
        <v>287</v>
      </c>
      <c r="C86" s="711"/>
      <c r="D86" s="712"/>
      <c r="E86" s="713"/>
      <c r="F86" s="713"/>
      <c r="G86" s="713"/>
      <c r="H86" s="713"/>
      <c r="I86" s="713"/>
      <c r="J86" s="713"/>
      <c r="K86" s="713"/>
      <c r="L86" s="714"/>
      <c r="M86" s="714"/>
      <c r="N86" s="713"/>
      <c r="O86" s="715"/>
      <c r="P86" s="716"/>
      <c r="Q86" s="717"/>
      <c r="R86" s="717"/>
      <c r="S86" s="717"/>
      <c r="T86" s="717"/>
      <c r="U86" s="717"/>
      <c r="V86" s="718"/>
      <c r="W86" s="718"/>
      <c r="X86" s="706"/>
      <c r="Y86" s="705"/>
      <c r="Z86" s="709"/>
    </row>
    <row r="87" spans="1:26" x14ac:dyDescent="0.25">
      <c r="A87" s="706"/>
      <c r="B87" s="37">
        <v>813</v>
      </c>
      <c r="C87" s="702" t="s">
        <v>320</v>
      </c>
      <c r="D87" s="706" t="s">
        <v>110</v>
      </c>
      <c r="E87" s="704">
        <v>50.75</v>
      </c>
      <c r="F87" s="704">
        <v>50.7</v>
      </c>
      <c r="G87" s="704"/>
      <c r="H87" s="704"/>
      <c r="I87" s="704"/>
      <c r="J87" s="704" t="s">
        <v>764</v>
      </c>
      <c r="K87" s="704">
        <v>5.9</v>
      </c>
      <c r="L87" s="705">
        <v>0.42</v>
      </c>
      <c r="M87" s="705">
        <v>0.98</v>
      </c>
      <c r="N87" s="704">
        <f>+E87*K87*L87*M87</f>
        <v>123.24333</v>
      </c>
      <c r="O87" s="707">
        <v>8100</v>
      </c>
      <c r="P87" s="708">
        <f>IF(O87=0,0,N87/O87)</f>
        <v>1.5215225925925925E-2</v>
      </c>
      <c r="Q87" s="709">
        <v>1951500</v>
      </c>
      <c r="R87" s="709">
        <v>265680</v>
      </c>
      <c r="S87" s="709">
        <f>+Q87-R87</f>
        <v>1685820</v>
      </c>
      <c r="T87" s="709">
        <f>+P87*S87</f>
        <v>25650.132170444442</v>
      </c>
      <c r="U87" s="709">
        <f>+T87*0.5</f>
        <v>12825.066085222221</v>
      </c>
      <c r="V87" s="710">
        <v>21.0793</v>
      </c>
      <c r="W87" s="710">
        <v>19.9316</v>
      </c>
      <c r="X87" s="706"/>
      <c r="Y87" s="705">
        <f>+W87*1000/U87</f>
        <v>1.5541128495989844</v>
      </c>
      <c r="Z87" s="709">
        <f>+S87*Y87</f>
        <v>2619954.5241109598</v>
      </c>
    </row>
    <row r="88" spans="1:26" x14ac:dyDescent="0.25">
      <c r="A88" s="706"/>
      <c r="B88" s="37">
        <v>811</v>
      </c>
      <c r="C88" s="702" t="s">
        <v>771</v>
      </c>
      <c r="D88" s="706" t="s">
        <v>110</v>
      </c>
      <c r="E88" s="704">
        <v>0.99</v>
      </c>
      <c r="F88" s="54" t="s">
        <v>763</v>
      </c>
      <c r="G88" s="704"/>
      <c r="H88" s="704"/>
      <c r="I88" s="704"/>
      <c r="J88" s="704" t="s">
        <v>764</v>
      </c>
      <c r="K88" s="704"/>
      <c r="L88" s="705"/>
      <c r="M88" s="705"/>
      <c r="N88" s="704"/>
      <c r="O88" s="707"/>
      <c r="P88" s="708"/>
      <c r="Q88" s="709"/>
      <c r="R88" s="709"/>
      <c r="S88" s="709"/>
      <c r="T88" s="709"/>
      <c r="U88" s="709"/>
      <c r="V88" s="710"/>
      <c r="W88" s="710"/>
      <c r="X88" s="706"/>
      <c r="Y88" s="705"/>
      <c r="Z88" s="709"/>
    </row>
    <row r="89" spans="1:26" x14ac:dyDescent="0.25">
      <c r="A89" s="706"/>
      <c r="B89" s="37">
        <v>812</v>
      </c>
      <c r="C89" s="702" t="s">
        <v>317</v>
      </c>
      <c r="D89" s="706" t="s">
        <v>110</v>
      </c>
      <c r="E89" s="704">
        <v>18.05</v>
      </c>
      <c r="F89" s="704">
        <v>18.05</v>
      </c>
      <c r="G89" s="704"/>
      <c r="H89" s="704"/>
      <c r="I89" s="704"/>
      <c r="J89" s="704" t="s">
        <v>764</v>
      </c>
      <c r="K89" s="704"/>
      <c r="L89" s="705"/>
      <c r="M89" s="705"/>
      <c r="N89" s="704"/>
      <c r="O89" s="707"/>
      <c r="P89" s="708"/>
      <c r="Q89" s="709"/>
      <c r="R89" s="709"/>
      <c r="S89" s="709"/>
      <c r="T89" s="709"/>
      <c r="U89" s="709"/>
      <c r="V89" s="710"/>
      <c r="W89" s="710"/>
      <c r="X89" s="706"/>
      <c r="Y89" s="705"/>
      <c r="Z89" s="709"/>
    </row>
    <row r="90" spans="1:26" x14ac:dyDescent="0.25">
      <c r="A90" s="706"/>
      <c r="B90" s="37">
        <v>816</v>
      </c>
      <c r="C90" s="702" t="s">
        <v>323</v>
      </c>
      <c r="D90" s="706" t="s">
        <v>110</v>
      </c>
      <c r="E90" s="704">
        <v>51.29</v>
      </c>
      <c r="F90" s="704">
        <v>9.14</v>
      </c>
      <c r="G90" s="704"/>
      <c r="H90" s="704"/>
      <c r="I90" s="704"/>
      <c r="J90" s="704" t="s">
        <v>764</v>
      </c>
      <c r="K90" s="704">
        <v>2.36</v>
      </c>
      <c r="L90" s="705">
        <v>0.75</v>
      </c>
      <c r="M90" s="705">
        <v>0.98</v>
      </c>
      <c r="N90" s="704">
        <f>+E90*K90*L90*M90</f>
        <v>88.96763399999999</v>
      </c>
      <c r="O90" s="707">
        <v>8100</v>
      </c>
      <c r="P90" s="708">
        <f>IF(O90=0,0,N90/O90)</f>
        <v>1.0983658518518517E-2</v>
      </c>
      <c r="Q90" s="709">
        <v>1951500</v>
      </c>
      <c r="R90" s="709">
        <v>265680</v>
      </c>
      <c r="S90" s="709">
        <f>+Q90-R90</f>
        <v>1685820</v>
      </c>
      <c r="T90" s="709">
        <f t="shared" si="1"/>
        <v>18516.471203688885</v>
      </c>
      <c r="U90" s="709">
        <f t="shared" si="2"/>
        <v>9258.2356018444425</v>
      </c>
      <c r="V90" s="710">
        <v>15.216900000000001</v>
      </c>
      <c r="W90" s="710">
        <v>14.388299999999999</v>
      </c>
      <c r="X90" s="706"/>
      <c r="Y90" s="705">
        <f t="shared" si="15"/>
        <v>1.5541082144348903</v>
      </c>
      <c r="Z90" s="709">
        <f t="shared" si="6"/>
        <v>2619946.7100586267</v>
      </c>
    </row>
    <row r="91" spans="1:26" x14ac:dyDescent="0.25">
      <c r="A91" s="706"/>
      <c r="B91" s="37">
        <v>817</v>
      </c>
      <c r="C91" s="702" t="s">
        <v>325</v>
      </c>
      <c r="D91" s="706" t="s">
        <v>110</v>
      </c>
      <c r="E91" s="704">
        <v>36.08</v>
      </c>
      <c r="F91" s="704">
        <v>68.099999999999994</v>
      </c>
      <c r="G91" s="704"/>
      <c r="H91" s="704"/>
      <c r="I91" s="704"/>
      <c r="J91" s="704" t="s">
        <v>764</v>
      </c>
      <c r="K91" s="704">
        <v>4</v>
      </c>
      <c r="L91" s="705">
        <v>0.75</v>
      </c>
      <c r="M91" s="705">
        <v>0.98</v>
      </c>
      <c r="N91" s="704">
        <f>+E91*K91*L91*M91</f>
        <v>106.0752</v>
      </c>
      <c r="O91" s="707">
        <v>8100</v>
      </c>
      <c r="P91" s="708">
        <f>IF(O91=0,0,N91/O91)</f>
        <v>1.3095703703703703E-2</v>
      </c>
      <c r="Q91" s="709">
        <v>1951500</v>
      </c>
      <c r="R91" s="709">
        <v>265680</v>
      </c>
      <c r="S91" s="709">
        <f>+Q91-R91</f>
        <v>1685820</v>
      </c>
      <c r="T91" s="709">
        <f t="shared" si="1"/>
        <v>22076.999217777779</v>
      </c>
      <c r="U91" s="709">
        <f t="shared" si="2"/>
        <v>11038.499608888889</v>
      </c>
      <c r="V91" s="710">
        <v>18.142399999999999</v>
      </c>
      <c r="W91" s="710">
        <v>17.154199999999999</v>
      </c>
      <c r="X91" s="706"/>
      <c r="Y91" s="705">
        <f t="shared" si="15"/>
        <v>1.5540336647008048</v>
      </c>
      <c r="Z91" s="709">
        <f t="shared" si="6"/>
        <v>2619821.0326259108</v>
      </c>
    </row>
    <row r="92" spans="1:26" x14ac:dyDescent="0.25">
      <c r="A92" s="706"/>
      <c r="B92" s="37">
        <v>820</v>
      </c>
      <c r="C92" s="702" t="s">
        <v>328</v>
      </c>
      <c r="D92" s="706" t="s">
        <v>110</v>
      </c>
      <c r="E92" s="704"/>
      <c r="F92" s="704"/>
      <c r="G92" s="704"/>
      <c r="H92" s="704"/>
      <c r="I92" s="704"/>
      <c r="J92" s="704" t="s">
        <v>764</v>
      </c>
      <c r="K92" s="704"/>
      <c r="L92" s="705"/>
      <c r="M92" s="705"/>
      <c r="N92" s="704"/>
      <c r="O92" s="707"/>
      <c r="P92" s="708"/>
      <c r="Q92" s="709"/>
      <c r="R92" s="709"/>
      <c r="S92" s="709"/>
      <c r="T92" s="709"/>
      <c r="U92" s="709"/>
      <c r="V92" s="710"/>
      <c r="W92" s="710"/>
      <c r="X92" s="706"/>
      <c r="Y92" s="705"/>
      <c r="Z92" s="709"/>
    </row>
    <row r="93" spans="1:26" x14ac:dyDescent="0.25">
      <c r="A93" s="706">
        <v>5000</v>
      </c>
      <c r="B93" s="37">
        <v>820</v>
      </c>
      <c r="C93" s="702" t="s">
        <v>331</v>
      </c>
      <c r="D93" s="706" t="s">
        <v>110</v>
      </c>
      <c r="E93" s="704">
        <v>152.03</v>
      </c>
      <c r="F93" s="723">
        <f t="shared" ref="F93:F104" si="16">EXP((0.68*LN(A93))+5.57)</f>
        <v>85964.643633613116</v>
      </c>
      <c r="G93" s="704"/>
      <c r="H93" s="704"/>
      <c r="I93" s="704"/>
      <c r="J93" s="704" t="s">
        <v>764</v>
      </c>
      <c r="K93" s="704">
        <v>2.36</v>
      </c>
      <c r="L93" s="705">
        <v>0.32</v>
      </c>
      <c r="M93" s="705">
        <v>0.98</v>
      </c>
      <c r="N93" s="704">
        <f t="shared" ref="N93:N125" si="17">+E93*K93*L93*M93</f>
        <v>112.51679488000001</v>
      </c>
      <c r="O93" s="707">
        <v>8100</v>
      </c>
      <c r="P93" s="708">
        <f t="shared" ref="P93:P137" si="18">IF(O93=0,0,N93/O93)</f>
        <v>1.3890962330864199E-2</v>
      </c>
      <c r="Q93" s="709">
        <v>1951500</v>
      </c>
      <c r="R93" s="709">
        <v>265680</v>
      </c>
      <c r="S93" s="709">
        <f t="shared" ref="S93:S137" si="19">+Q93-R93</f>
        <v>1685820</v>
      </c>
      <c r="T93" s="709">
        <f t="shared" ref="T93:T137" si="20">+P93*S93</f>
        <v>23417.662116617485</v>
      </c>
      <c r="U93" s="709">
        <f t="shared" ref="U93:U137" si="21">+T93*0.5</f>
        <v>11708.831058308742</v>
      </c>
      <c r="V93" s="710">
        <v>19.244599999999998</v>
      </c>
      <c r="W93" s="710">
        <v>18.196200000000001</v>
      </c>
      <c r="X93" s="706"/>
      <c r="Y93" s="705">
        <f t="shared" si="15"/>
        <v>1.5540577799256685</v>
      </c>
      <c r="Z93" s="709">
        <f t="shared" si="6"/>
        <v>2619861.6865542904</v>
      </c>
    </row>
    <row r="94" spans="1:26" x14ac:dyDescent="0.25">
      <c r="A94" s="706">
        <v>25000</v>
      </c>
      <c r="B94" s="37">
        <v>820</v>
      </c>
      <c r="C94" s="702" t="s">
        <v>334</v>
      </c>
      <c r="D94" s="706" t="s">
        <v>110</v>
      </c>
      <c r="E94" s="704">
        <v>86.56</v>
      </c>
      <c r="F94" s="723">
        <f t="shared" si="16"/>
        <v>256814.45820084302</v>
      </c>
      <c r="G94" s="704"/>
      <c r="H94" s="704"/>
      <c r="I94" s="704"/>
      <c r="J94" s="704" t="s">
        <v>764</v>
      </c>
      <c r="K94" s="704">
        <v>2.36</v>
      </c>
      <c r="L94" s="705">
        <v>0.42</v>
      </c>
      <c r="M94" s="705">
        <v>0.98</v>
      </c>
      <c r="N94" s="704">
        <f t="shared" si="17"/>
        <v>84.082306559999992</v>
      </c>
      <c r="O94" s="707">
        <v>8100</v>
      </c>
      <c r="P94" s="708">
        <f t="shared" si="18"/>
        <v>1.0380531674074073E-2</v>
      </c>
      <c r="Q94" s="709">
        <v>1951500</v>
      </c>
      <c r="R94" s="709">
        <v>265680</v>
      </c>
      <c r="S94" s="709">
        <f t="shared" si="19"/>
        <v>1685820</v>
      </c>
      <c r="T94" s="709">
        <f t="shared" si="20"/>
        <v>17499.707906787553</v>
      </c>
      <c r="U94" s="709">
        <f t="shared" si="21"/>
        <v>8749.8539533937765</v>
      </c>
      <c r="V94" s="710">
        <v>14.380100000000001</v>
      </c>
      <c r="W94" s="710">
        <v>13.597099999999999</v>
      </c>
      <c r="X94" s="706"/>
      <c r="Y94" s="705">
        <f t="shared" si="15"/>
        <v>1.5539802232614566</v>
      </c>
      <c r="Z94" s="709">
        <f t="shared" si="6"/>
        <v>2619730.9399786289</v>
      </c>
    </row>
    <row r="95" spans="1:26" x14ac:dyDescent="0.25">
      <c r="A95" s="706">
        <v>75000</v>
      </c>
      <c r="B95" s="37">
        <v>820</v>
      </c>
      <c r="C95" s="702" t="s">
        <v>271</v>
      </c>
      <c r="D95" s="706" t="s">
        <v>110</v>
      </c>
      <c r="E95" s="704">
        <v>67.91</v>
      </c>
      <c r="F95" s="723">
        <f t="shared" si="16"/>
        <v>542078.17639541056</v>
      </c>
      <c r="G95" s="704"/>
      <c r="H95" s="704"/>
      <c r="I95" s="704"/>
      <c r="J95" s="704" t="s">
        <v>764</v>
      </c>
      <c r="K95" s="704">
        <v>2.36</v>
      </c>
      <c r="L95" s="705">
        <v>0.51</v>
      </c>
      <c r="M95" s="705">
        <v>0.98</v>
      </c>
      <c r="N95" s="704">
        <f t="shared" si="17"/>
        <v>80.101746479999989</v>
      </c>
      <c r="O95" s="707">
        <v>8100</v>
      </c>
      <c r="P95" s="708">
        <f t="shared" si="18"/>
        <v>9.889104503703703E-3</v>
      </c>
      <c r="Q95" s="709">
        <v>1951500</v>
      </c>
      <c r="R95" s="709">
        <v>265680</v>
      </c>
      <c r="S95" s="709">
        <f t="shared" si="19"/>
        <v>1685820</v>
      </c>
      <c r="T95" s="709">
        <f t="shared" si="20"/>
        <v>16671.250154433776</v>
      </c>
      <c r="U95" s="709">
        <f t="shared" si="21"/>
        <v>8335.6250772168878</v>
      </c>
      <c r="V95" s="710">
        <v>13.7012</v>
      </c>
      <c r="W95" s="710">
        <v>12.954000000000001</v>
      </c>
      <c r="X95" s="706"/>
      <c r="Y95" s="705">
        <f t="shared" si="15"/>
        <v>1.5540526211292967</v>
      </c>
      <c r="Z95" s="709">
        <f t="shared" si="6"/>
        <v>2619852.9897521907</v>
      </c>
    </row>
    <row r="96" spans="1:26" x14ac:dyDescent="0.25">
      <c r="A96" s="706">
        <v>150000</v>
      </c>
      <c r="B96" s="37">
        <v>820</v>
      </c>
      <c r="C96" s="702" t="s">
        <v>338</v>
      </c>
      <c r="D96" s="706" t="s">
        <v>110</v>
      </c>
      <c r="E96" s="704">
        <v>53.28</v>
      </c>
      <c r="F96" s="723">
        <f t="shared" si="16"/>
        <v>868484.99681815447</v>
      </c>
      <c r="G96" s="704"/>
      <c r="H96" s="704"/>
      <c r="I96" s="704"/>
      <c r="J96" s="704" t="s">
        <v>764</v>
      </c>
      <c r="K96" s="704">
        <v>4</v>
      </c>
      <c r="L96" s="705">
        <v>0.57999999999999996</v>
      </c>
      <c r="M96" s="705">
        <v>0.98</v>
      </c>
      <c r="N96" s="704">
        <f t="shared" si="17"/>
        <v>121.13740799999999</v>
      </c>
      <c r="O96" s="707">
        <v>8100</v>
      </c>
      <c r="P96" s="708">
        <f t="shared" si="18"/>
        <v>1.4955235555555555E-2</v>
      </c>
      <c r="Q96" s="709">
        <v>1951500</v>
      </c>
      <c r="R96" s="709">
        <v>265680</v>
      </c>
      <c r="S96" s="709">
        <f t="shared" si="19"/>
        <v>1685820</v>
      </c>
      <c r="T96" s="709">
        <f t="shared" si="20"/>
        <v>25211.835204266667</v>
      </c>
      <c r="U96" s="709">
        <f t="shared" si="21"/>
        <v>12605.917602133333</v>
      </c>
      <c r="V96" s="710">
        <v>20.7196</v>
      </c>
      <c r="W96" s="710">
        <v>19.5914</v>
      </c>
      <c r="X96" s="706"/>
      <c r="Y96" s="705">
        <f t="shared" si="15"/>
        <v>1.5541431110643225</v>
      </c>
      <c r="Z96" s="709">
        <f t="shared" si="6"/>
        <v>2620005.5394944563</v>
      </c>
    </row>
    <row r="97" spans="1:26" x14ac:dyDescent="0.25">
      <c r="A97" s="706">
        <v>250000</v>
      </c>
      <c r="B97" s="37">
        <v>820</v>
      </c>
      <c r="C97" s="702" t="s">
        <v>280</v>
      </c>
      <c r="D97" s="706" t="s">
        <v>110</v>
      </c>
      <c r="E97" s="704">
        <v>46.23</v>
      </c>
      <c r="F97" s="723">
        <f t="shared" si="16"/>
        <v>1229191.2783845791</v>
      </c>
      <c r="G97" s="704"/>
      <c r="H97" s="704"/>
      <c r="I97" s="704"/>
      <c r="J97" s="704" t="s">
        <v>764</v>
      </c>
      <c r="K97" s="704">
        <v>4</v>
      </c>
      <c r="L97" s="705">
        <v>0.62</v>
      </c>
      <c r="M97" s="705">
        <v>0.98</v>
      </c>
      <c r="N97" s="704">
        <f t="shared" si="17"/>
        <v>112.35739199999999</v>
      </c>
      <c r="O97" s="707">
        <v>8100</v>
      </c>
      <c r="P97" s="708">
        <f t="shared" si="18"/>
        <v>1.3871282962962962E-2</v>
      </c>
      <c r="Q97" s="709">
        <v>1951500</v>
      </c>
      <c r="R97" s="709">
        <v>265680</v>
      </c>
      <c r="S97" s="709">
        <f t="shared" si="19"/>
        <v>1685820</v>
      </c>
      <c r="T97" s="709">
        <f t="shared" si="20"/>
        <v>23384.486244622221</v>
      </c>
      <c r="U97" s="709">
        <f t="shared" si="21"/>
        <v>11692.243122311111</v>
      </c>
      <c r="V97" s="710">
        <v>19.218499999999999</v>
      </c>
      <c r="W97" s="710">
        <v>18.171700000000001</v>
      </c>
      <c r="X97" s="706"/>
      <c r="Y97" s="705">
        <f t="shared" si="15"/>
        <v>1.5541671354168822</v>
      </c>
      <c r="Z97" s="709">
        <f t="shared" si="6"/>
        <v>2620046.0402284884</v>
      </c>
    </row>
    <row r="98" spans="1:26" x14ac:dyDescent="0.25">
      <c r="A98" s="706">
        <v>350000</v>
      </c>
      <c r="B98" s="37">
        <v>820</v>
      </c>
      <c r="C98" s="702" t="s">
        <v>283</v>
      </c>
      <c r="D98" s="706" t="s">
        <v>110</v>
      </c>
      <c r="E98" s="704">
        <v>41.8</v>
      </c>
      <c r="F98" s="723">
        <f t="shared" si="16"/>
        <v>1545206.5284565086</v>
      </c>
      <c r="G98" s="704"/>
      <c r="H98" s="704"/>
      <c r="I98" s="704"/>
      <c r="J98" s="704" t="s">
        <v>764</v>
      </c>
      <c r="K98" s="704">
        <v>5.9</v>
      </c>
      <c r="L98" s="705">
        <v>0.64</v>
      </c>
      <c r="M98" s="705">
        <v>0.98</v>
      </c>
      <c r="N98" s="704">
        <f t="shared" si="17"/>
        <v>154.68006400000002</v>
      </c>
      <c r="O98" s="707">
        <v>8100</v>
      </c>
      <c r="P98" s="708">
        <f t="shared" si="18"/>
        <v>1.9096304197530865E-2</v>
      </c>
      <c r="Q98" s="709">
        <v>1951500</v>
      </c>
      <c r="R98" s="709">
        <v>265680</v>
      </c>
      <c r="S98" s="709">
        <f t="shared" si="19"/>
        <v>1685820</v>
      </c>
      <c r="T98" s="709">
        <f t="shared" si="20"/>
        <v>32192.931542281483</v>
      </c>
      <c r="U98" s="709">
        <f t="shared" si="21"/>
        <v>16096.465771140742</v>
      </c>
      <c r="V98" s="710">
        <v>26.458300000000001</v>
      </c>
      <c r="W98" s="710">
        <v>25.017499999999998</v>
      </c>
      <c r="X98" s="706"/>
      <c r="Y98" s="705">
        <f t="shared" si="15"/>
        <v>1.5542231664825286</v>
      </c>
      <c r="Z98" s="709">
        <f t="shared" si="6"/>
        <v>2620140.4985195762</v>
      </c>
    </row>
    <row r="99" spans="1:26" x14ac:dyDescent="0.25">
      <c r="A99" s="706">
        <v>450000</v>
      </c>
      <c r="B99" s="37">
        <v>820</v>
      </c>
      <c r="C99" s="702" t="s">
        <v>286</v>
      </c>
      <c r="D99" s="706" t="s">
        <v>110</v>
      </c>
      <c r="E99" s="704">
        <v>38.659999999999997</v>
      </c>
      <c r="F99" s="723">
        <f t="shared" si="16"/>
        <v>1833178.5780291965</v>
      </c>
      <c r="G99" s="704"/>
      <c r="H99" s="704"/>
      <c r="I99" s="704"/>
      <c r="J99" s="704" t="s">
        <v>764</v>
      </c>
      <c r="K99" s="704">
        <v>5.9</v>
      </c>
      <c r="L99" s="705">
        <v>0.66</v>
      </c>
      <c r="M99" s="705">
        <v>0.98</v>
      </c>
      <c r="N99" s="704">
        <f t="shared" si="17"/>
        <v>147.5311992</v>
      </c>
      <c r="O99" s="707">
        <v>8100</v>
      </c>
      <c r="P99" s="708">
        <f t="shared" si="18"/>
        <v>1.8213728296296295E-2</v>
      </c>
      <c r="Q99" s="709">
        <v>1951500</v>
      </c>
      <c r="R99" s="709">
        <v>265680</v>
      </c>
      <c r="S99" s="709">
        <f t="shared" si="19"/>
        <v>1685820</v>
      </c>
      <c r="T99" s="709">
        <f t="shared" si="20"/>
        <v>30705.067436462221</v>
      </c>
      <c r="U99" s="709">
        <f t="shared" si="21"/>
        <v>15352.53371823111</v>
      </c>
      <c r="V99" s="710">
        <v>25.235600000000002</v>
      </c>
      <c r="W99" s="710">
        <v>23.861599999999999</v>
      </c>
      <c r="X99" s="706"/>
      <c r="Y99" s="705">
        <f t="shared" si="15"/>
        <v>1.5542450801892318</v>
      </c>
      <c r="Z99" s="709">
        <f t="shared" si="6"/>
        <v>2620177.4410846108</v>
      </c>
    </row>
    <row r="100" spans="1:26" x14ac:dyDescent="0.25">
      <c r="A100" s="706">
        <v>550000</v>
      </c>
      <c r="B100" s="37">
        <v>820</v>
      </c>
      <c r="C100" s="702" t="s">
        <v>288</v>
      </c>
      <c r="D100" s="706" t="s">
        <v>110</v>
      </c>
      <c r="E100" s="704">
        <v>36.270000000000003</v>
      </c>
      <c r="F100" s="723">
        <f t="shared" si="16"/>
        <v>2101197.5853862725</v>
      </c>
      <c r="G100" s="704"/>
      <c r="H100" s="704"/>
      <c r="I100" s="704"/>
      <c r="J100" s="704" t="s">
        <v>764</v>
      </c>
      <c r="K100" s="704">
        <v>5.9</v>
      </c>
      <c r="L100" s="705">
        <v>0.67</v>
      </c>
      <c r="M100" s="705">
        <v>0.98</v>
      </c>
      <c r="N100" s="704">
        <f t="shared" si="17"/>
        <v>140.5078038</v>
      </c>
      <c r="O100" s="707">
        <v>8100</v>
      </c>
      <c r="P100" s="708">
        <f t="shared" si="18"/>
        <v>1.7346642444444445E-2</v>
      </c>
      <c r="Q100" s="709">
        <v>1951500</v>
      </c>
      <c r="R100" s="709">
        <v>265680</v>
      </c>
      <c r="S100" s="709">
        <f t="shared" si="19"/>
        <v>1685820</v>
      </c>
      <c r="T100" s="709">
        <f t="shared" si="20"/>
        <v>29243.316765693336</v>
      </c>
      <c r="U100" s="709">
        <f t="shared" si="21"/>
        <v>14621.658382846668</v>
      </c>
      <c r="V100" s="710">
        <v>24.034199999999998</v>
      </c>
      <c r="W100" s="710">
        <v>22.725300000000001</v>
      </c>
      <c r="X100" s="706"/>
      <c r="Y100" s="705">
        <f t="shared" si="15"/>
        <v>1.5542217855848746</v>
      </c>
      <c r="Z100" s="709">
        <f t="shared" si="6"/>
        <v>2620138.170574693</v>
      </c>
    </row>
    <row r="101" spans="1:26" x14ac:dyDescent="0.25">
      <c r="A101" s="706">
        <v>650000</v>
      </c>
      <c r="B101" s="37">
        <v>820</v>
      </c>
      <c r="C101" s="702" t="s">
        <v>349</v>
      </c>
      <c r="D101" s="706" t="s">
        <v>110</v>
      </c>
      <c r="E101" s="704">
        <v>32.799999999999997</v>
      </c>
      <c r="F101" s="723">
        <f t="shared" si="16"/>
        <v>2353972.2928073686</v>
      </c>
      <c r="G101" s="704"/>
      <c r="H101" s="704"/>
      <c r="I101" s="704"/>
      <c r="J101" s="704" t="s">
        <v>764</v>
      </c>
      <c r="K101" s="704">
        <v>5.9</v>
      </c>
      <c r="L101" s="705">
        <v>0.69</v>
      </c>
      <c r="M101" s="705">
        <v>0.98</v>
      </c>
      <c r="N101" s="704">
        <f t="shared" si="17"/>
        <v>130.85822399999998</v>
      </c>
      <c r="O101" s="707">
        <v>8100</v>
      </c>
      <c r="P101" s="708">
        <f t="shared" si="18"/>
        <v>1.6155336296296292E-2</v>
      </c>
      <c r="Q101" s="709">
        <v>1951500</v>
      </c>
      <c r="R101" s="709">
        <v>265680</v>
      </c>
      <c r="S101" s="709">
        <f t="shared" si="19"/>
        <v>1685820</v>
      </c>
      <c r="T101" s="709">
        <f t="shared" si="20"/>
        <v>27234.989035022216</v>
      </c>
      <c r="U101" s="709">
        <f t="shared" si="21"/>
        <v>13617.494517511108</v>
      </c>
      <c r="V101" s="710">
        <v>22.381699999999999</v>
      </c>
      <c r="W101" s="710">
        <v>21.162400000000002</v>
      </c>
      <c r="X101" s="706"/>
      <c r="Y101" s="705">
        <f t="shared" si="15"/>
        <v>1.5540597407832031</v>
      </c>
      <c r="Z101" s="709">
        <f t="shared" si="6"/>
        <v>2619864.9922071393</v>
      </c>
    </row>
    <row r="102" spans="1:26" x14ac:dyDescent="0.25">
      <c r="A102" s="706">
        <v>900000</v>
      </c>
      <c r="B102" s="37">
        <v>820</v>
      </c>
      <c r="C102" s="702" t="s">
        <v>352</v>
      </c>
      <c r="D102" s="706" t="s">
        <v>110</v>
      </c>
      <c r="E102" s="704">
        <v>30.33</v>
      </c>
      <c r="F102" s="723">
        <f t="shared" si="16"/>
        <v>2937008.278203533</v>
      </c>
      <c r="G102" s="704"/>
      <c r="H102" s="704"/>
      <c r="I102" s="704"/>
      <c r="J102" s="704" t="s">
        <v>764</v>
      </c>
      <c r="K102" s="704">
        <v>5.9</v>
      </c>
      <c r="L102" s="705">
        <v>0.7</v>
      </c>
      <c r="M102" s="705">
        <v>0.98</v>
      </c>
      <c r="N102" s="704">
        <f t="shared" si="17"/>
        <v>122.75764199999999</v>
      </c>
      <c r="O102" s="707">
        <v>8100</v>
      </c>
      <c r="P102" s="708">
        <f t="shared" si="18"/>
        <v>1.5155264444444443E-2</v>
      </c>
      <c r="Q102" s="709">
        <v>1951500</v>
      </c>
      <c r="R102" s="709">
        <v>265680</v>
      </c>
      <c r="S102" s="709">
        <f t="shared" si="19"/>
        <v>1685820</v>
      </c>
      <c r="T102" s="709">
        <f t="shared" si="20"/>
        <v>25549.047905733332</v>
      </c>
      <c r="U102" s="709">
        <f t="shared" si="21"/>
        <v>12774.523952866666</v>
      </c>
      <c r="V102" s="710">
        <v>20.999600000000001</v>
      </c>
      <c r="W102" s="710">
        <v>19.8551</v>
      </c>
      <c r="X102" s="706"/>
      <c r="Y102" s="705">
        <f t="shared" si="15"/>
        <v>1.5542731825669649</v>
      </c>
      <c r="Z102" s="709">
        <f t="shared" si="6"/>
        <v>2620224.8166350406</v>
      </c>
    </row>
    <row r="103" spans="1:26" x14ac:dyDescent="0.25">
      <c r="A103" s="706">
        <v>1100000</v>
      </c>
      <c r="B103" s="37">
        <v>820</v>
      </c>
      <c r="C103" s="702" t="s">
        <v>354</v>
      </c>
      <c r="D103" s="706" t="s">
        <v>110</v>
      </c>
      <c r="E103" s="704">
        <v>28.46</v>
      </c>
      <c r="F103" s="723">
        <f t="shared" si="16"/>
        <v>3366412.1850339831</v>
      </c>
      <c r="G103" s="704"/>
      <c r="H103" s="704"/>
      <c r="I103" s="704"/>
      <c r="J103" s="704" t="s">
        <v>764</v>
      </c>
      <c r="K103" s="704">
        <v>5.9</v>
      </c>
      <c r="L103" s="705">
        <v>0.71</v>
      </c>
      <c r="M103" s="705">
        <v>0.98</v>
      </c>
      <c r="N103" s="704">
        <f t="shared" si="17"/>
        <v>116.8345612</v>
      </c>
      <c r="O103" s="707">
        <v>8100</v>
      </c>
      <c r="P103" s="708">
        <f t="shared" si="18"/>
        <v>1.4424019901234568E-2</v>
      </c>
      <c r="Q103" s="709">
        <v>1951500</v>
      </c>
      <c r="R103" s="709">
        <v>265680</v>
      </c>
      <c r="S103" s="709">
        <f t="shared" si="19"/>
        <v>1685820</v>
      </c>
      <c r="T103" s="709">
        <f t="shared" si="20"/>
        <v>24316.301229899258</v>
      </c>
      <c r="U103" s="709">
        <f t="shared" si="21"/>
        <v>12158.150614949629</v>
      </c>
      <c r="V103" s="710">
        <v>19.982099999999999</v>
      </c>
      <c r="W103" s="710">
        <v>18.894600000000001</v>
      </c>
      <c r="X103" s="706"/>
      <c r="Y103" s="705">
        <f t="shared" si="15"/>
        <v>1.5540685913832366</v>
      </c>
      <c r="Z103" s="709">
        <f t="shared" si="6"/>
        <v>2619879.912725688</v>
      </c>
    </row>
    <row r="104" spans="1:26" x14ac:dyDescent="0.25">
      <c r="A104" s="706">
        <v>1300000</v>
      </c>
      <c r="B104" s="37">
        <v>820</v>
      </c>
      <c r="C104" s="702" t="s">
        <v>357</v>
      </c>
      <c r="D104" s="706" t="s">
        <v>110</v>
      </c>
      <c r="E104" s="704">
        <v>27.67</v>
      </c>
      <c r="F104" s="723">
        <f t="shared" si="16"/>
        <v>3771392.5928971232</v>
      </c>
      <c r="G104" s="704"/>
      <c r="H104" s="704"/>
      <c r="I104" s="704"/>
      <c r="J104" s="704" t="s">
        <v>764</v>
      </c>
      <c r="K104" s="704">
        <v>5.9</v>
      </c>
      <c r="L104" s="705">
        <v>0.72</v>
      </c>
      <c r="M104" s="705">
        <v>0.98</v>
      </c>
      <c r="N104" s="704">
        <f t="shared" si="17"/>
        <v>115.19131680000001</v>
      </c>
      <c r="O104" s="707">
        <v>8100</v>
      </c>
      <c r="P104" s="708">
        <f t="shared" si="18"/>
        <v>1.4221150222222223E-2</v>
      </c>
      <c r="Q104" s="709">
        <v>1951500</v>
      </c>
      <c r="R104" s="709">
        <v>265680</v>
      </c>
      <c r="S104" s="709">
        <f t="shared" si="19"/>
        <v>1685820</v>
      </c>
      <c r="T104" s="709">
        <f t="shared" si="20"/>
        <v>23974.299467626668</v>
      </c>
      <c r="U104" s="709">
        <f t="shared" si="21"/>
        <v>11987.149733813334</v>
      </c>
      <c r="V104" s="710">
        <v>19.703700000000001</v>
      </c>
      <c r="W104" s="710">
        <v>18.630800000000001</v>
      </c>
      <c r="X104" s="706"/>
      <c r="Y104" s="705">
        <f t="shared" si="15"/>
        <v>1.5542310235306618</v>
      </c>
      <c r="Z104" s="709">
        <f t="shared" si="6"/>
        <v>2620153.7440884602</v>
      </c>
    </row>
    <row r="105" spans="1:26" x14ac:dyDescent="0.25">
      <c r="A105" s="706"/>
      <c r="B105" s="37">
        <v>823</v>
      </c>
      <c r="C105" s="702" t="s">
        <v>360</v>
      </c>
      <c r="D105" s="706" t="s">
        <v>110</v>
      </c>
      <c r="E105" s="721"/>
      <c r="F105" s="721">
        <v>26.59</v>
      </c>
      <c r="G105" s="721"/>
      <c r="H105" s="704"/>
      <c r="I105" s="704"/>
      <c r="J105" s="704" t="s">
        <v>764</v>
      </c>
      <c r="K105" s="704"/>
      <c r="L105" s="705"/>
      <c r="M105" s="705"/>
      <c r="N105" s="704"/>
      <c r="O105" s="707"/>
      <c r="P105" s="708"/>
      <c r="Q105" s="709"/>
      <c r="R105" s="709"/>
      <c r="S105" s="709"/>
      <c r="T105" s="709"/>
      <c r="U105" s="709"/>
      <c r="V105" s="710"/>
      <c r="W105" s="710"/>
      <c r="X105" s="706"/>
      <c r="Y105" s="705"/>
      <c r="Z105" s="709"/>
    </row>
    <row r="106" spans="1:26" x14ac:dyDescent="0.25">
      <c r="A106" s="706"/>
      <c r="B106" s="37">
        <v>857</v>
      </c>
      <c r="C106" s="702" t="s">
        <v>379</v>
      </c>
      <c r="D106" s="706" t="s">
        <v>110</v>
      </c>
      <c r="E106" s="721"/>
      <c r="F106" s="721">
        <v>41.8</v>
      </c>
      <c r="G106" s="721"/>
      <c r="H106" s="704"/>
      <c r="I106" s="704"/>
      <c r="J106" s="704" t="s">
        <v>764</v>
      </c>
      <c r="K106" s="704"/>
      <c r="L106" s="705"/>
      <c r="M106" s="705"/>
      <c r="N106" s="704"/>
      <c r="O106" s="707"/>
      <c r="P106" s="708"/>
      <c r="Q106" s="709"/>
      <c r="R106" s="709"/>
      <c r="S106" s="709"/>
      <c r="T106" s="709"/>
      <c r="U106" s="709"/>
      <c r="V106" s="710"/>
      <c r="W106" s="710"/>
      <c r="X106" s="706"/>
      <c r="Y106" s="705"/>
      <c r="Z106" s="709"/>
    </row>
    <row r="107" spans="1:26" x14ac:dyDescent="0.25">
      <c r="A107" s="706"/>
      <c r="B107" s="37">
        <v>861</v>
      </c>
      <c r="C107" s="702" t="s">
        <v>382</v>
      </c>
      <c r="D107" s="706" t="s">
        <v>110</v>
      </c>
      <c r="E107" s="721"/>
      <c r="F107" s="721">
        <v>28.75</v>
      </c>
      <c r="G107" s="721"/>
      <c r="H107" s="704"/>
      <c r="I107" s="704"/>
      <c r="J107" s="704" t="s">
        <v>764</v>
      </c>
      <c r="K107" s="704"/>
      <c r="L107" s="705"/>
      <c r="M107" s="705"/>
      <c r="N107" s="704"/>
      <c r="O107" s="707"/>
      <c r="P107" s="708"/>
      <c r="Q107" s="709"/>
      <c r="R107" s="709"/>
      <c r="S107" s="709"/>
      <c r="T107" s="709"/>
      <c r="U107" s="709"/>
      <c r="V107" s="710"/>
      <c r="W107" s="710"/>
      <c r="X107" s="706"/>
      <c r="Y107" s="705"/>
      <c r="Z107" s="709"/>
    </row>
    <row r="108" spans="1:26" x14ac:dyDescent="0.25">
      <c r="A108" s="706"/>
      <c r="B108" s="37">
        <v>863</v>
      </c>
      <c r="C108" s="702" t="s">
        <v>384</v>
      </c>
      <c r="D108" s="706" t="s">
        <v>110</v>
      </c>
      <c r="E108" s="721"/>
      <c r="F108" s="721">
        <v>41.05</v>
      </c>
      <c r="G108" s="721"/>
      <c r="H108" s="704"/>
      <c r="I108" s="704"/>
      <c r="J108" s="704" t="s">
        <v>764</v>
      </c>
      <c r="K108" s="704"/>
      <c r="L108" s="705"/>
      <c r="M108" s="705"/>
      <c r="N108" s="704"/>
      <c r="O108" s="707"/>
      <c r="P108" s="708"/>
      <c r="Q108" s="709"/>
      <c r="R108" s="709"/>
      <c r="S108" s="709"/>
      <c r="T108" s="709"/>
      <c r="U108" s="709"/>
      <c r="V108" s="710"/>
      <c r="W108" s="710"/>
      <c r="X108" s="706"/>
      <c r="Y108" s="705"/>
      <c r="Z108" s="709"/>
    </row>
    <row r="109" spans="1:26" x14ac:dyDescent="0.25">
      <c r="A109" s="706"/>
      <c r="B109" s="37">
        <v>865</v>
      </c>
      <c r="C109" s="702" t="s">
        <v>772</v>
      </c>
      <c r="D109" s="706" t="s">
        <v>110</v>
      </c>
      <c r="E109" s="721"/>
      <c r="F109" s="54" t="s">
        <v>763</v>
      </c>
      <c r="G109" s="721"/>
      <c r="H109" s="704"/>
      <c r="I109" s="704"/>
      <c r="J109" s="704" t="s">
        <v>764</v>
      </c>
      <c r="K109" s="704"/>
      <c r="L109" s="705"/>
      <c r="M109" s="705"/>
      <c r="N109" s="704"/>
      <c r="O109" s="707"/>
      <c r="P109" s="708"/>
      <c r="Q109" s="709"/>
      <c r="R109" s="709"/>
      <c r="S109" s="709"/>
      <c r="T109" s="709"/>
      <c r="U109" s="709"/>
      <c r="V109" s="710"/>
      <c r="W109" s="710"/>
      <c r="X109" s="706"/>
      <c r="Y109" s="705"/>
      <c r="Z109" s="709"/>
    </row>
    <row r="110" spans="1:26" x14ac:dyDescent="0.25">
      <c r="A110" s="706"/>
      <c r="B110" s="37">
        <v>868</v>
      </c>
      <c r="C110" s="702" t="s">
        <v>385</v>
      </c>
      <c r="D110" s="706" t="s">
        <v>110</v>
      </c>
      <c r="E110" s="721"/>
      <c r="F110" s="721">
        <v>143.6</v>
      </c>
      <c r="G110" s="721"/>
      <c r="H110" s="704"/>
      <c r="I110" s="704"/>
      <c r="J110" s="704" t="s">
        <v>764</v>
      </c>
      <c r="K110" s="704"/>
      <c r="L110" s="705"/>
      <c r="M110" s="705"/>
      <c r="N110" s="704"/>
      <c r="O110" s="707"/>
      <c r="P110" s="708"/>
      <c r="Q110" s="709"/>
      <c r="R110" s="709"/>
      <c r="S110" s="709"/>
      <c r="T110" s="709"/>
      <c r="U110" s="709"/>
      <c r="V110" s="710"/>
      <c r="W110" s="710"/>
      <c r="X110" s="706"/>
      <c r="Y110" s="705"/>
      <c r="Z110" s="709"/>
    </row>
    <row r="111" spans="1:26" x14ac:dyDescent="0.25">
      <c r="A111" s="706"/>
      <c r="B111" s="37">
        <v>869</v>
      </c>
      <c r="C111" s="702" t="s">
        <v>386</v>
      </c>
      <c r="D111" s="706" t="s">
        <v>110</v>
      </c>
      <c r="E111" s="721"/>
      <c r="F111" s="721">
        <v>20</v>
      </c>
      <c r="G111" s="721"/>
      <c r="H111" s="704"/>
      <c r="I111" s="704"/>
      <c r="J111" s="704" t="s">
        <v>764</v>
      </c>
      <c r="K111" s="704"/>
      <c r="L111" s="705"/>
      <c r="M111" s="705"/>
      <c r="N111" s="704"/>
      <c r="O111" s="707"/>
      <c r="P111" s="708"/>
      <c r="Q111" s="709"/>
      <c r="R111" s="709"/>
      <c r="S111" s="709"/>
      <c r="T111" s="709"/>
      <c r="U111" s="709"/>
      <c r="V111" s="710"/>
      <c r="W111" s="710"/>
      <c r="X111" s="706"/>
      <c r="Y111" s="705"/>
      <c r="Z111" s="709"/>
    </row>
    <row r="112" spans="1:26" x14ac:dyDescent="0.25">
      <c r="A112" s="706"/>
      <c r="B112" s="37">
        <v>876</v>
      </c>
      <c r="C112" s="702" t="s">
        <v>387</v>
      </c>
      <c r="D112" s="706" t="s">
        <v>110</v>
      </c>
      <c r="E112" s="721"/>
      <c r="F112" s="721">
        <v>66.400000000000006</v>
      </c>
      <c r="G112" s="721"/>
      <c r="H112" s="704"/>
      <c r="I112" s="704"/>
      <c r="J112" s="704" t="s">
        <v>764</v>
      </c>
      <c r="K112" s="704"/>
      <c r="L112" s="705"/>
      <c r="M112" s="705"/>
      <c r="N112" s="704"/>
      <c r="O112" s="707"/>
      <c r="P112" s="708"/>
      <c r="Q112" s="709"/>
      <c r="R112" s="709"/>
      <c r="S112" s="709"/>
      <c r="T112" s="709"/>
      <c r="U112" s="709"/>
      <c r="V112" s="710"/>
      <c r="W112" s="710"/>
      <c r="X112" s="706"/>
      <c r="Y112" s="705"/>
      <c r="Z112" s="709"/>
    </row>
    <row r="113" spans="2:26" x14ac:dyDescent="0.25">
      <c r="B113" s="37">
        <v>879</v>
      </c>
      <c r="C113" s="702" t="s">
        <v>388</v>
      </c>
      <c r="D113" s="706" t="s">
        <v>110</v>
      </c>
      <c r="E113" s="721"/>
      <c r="F113" s="721">
        <v>56.55</v>
      </c>
      <c r="G113" s="721"/>
      <c r="H113" s="704"/>
      <c r="I113" s="704"/>
      <c r="J113" s="704" t="s">
        <v>764</v>
      </c>
      <c r="K113" s="704"/>
      <c r="L113" s="705"/>
      <c r="M113" s="705"/>
      <c r="N113" s="704"/>
      <c r="O113" s="707"/>
      <c r="P113" s="708"/>
      <c r="Q113" s="709"/>
      <c r="R113" s="709"/>
      <c r="S113" s="709"/>
      <c r="T113" s="709"/>
      <c r="U113" s="709"/>
      <c r="V113" s="710"/>
      <c r="W113" s="710"/>
      <c r="X113" s="706"/>
      <c r="Y113" s="705"/>
      <c r="Z113" s="709"/>
    </row>
    <row r="114" spans="2:26" x14ac:dyDescent="0.25">
      <c r="B114" s="37">
        <v>882</v>
      </c>
      <c r="C114" s="702" t="s">
        <v>391</v>
      </c>
      <c r="D114" s="706" t="s">
        <v>110</v>
      </c>
      <c r="E114" s="721"/>
      <c r="F114" s="721">
        <v>252.7</v>
      </c>
      <c r="G114" s="721"/>
      <c r="H114" s="704"/>
      <c r="I114" s="704"/>
      <c r="J114" s="704" t="s">
        <v>764</v>
      </c>
      <c r="K114" s="704"/>
      <c r="L114" s="705"/>
      <c r="M114" s="705"/>
      <c r="N114" s="704"/>
      <c r="O114" s="707"/>
      <c r="P114" s="708"/>
      <c r="Q114" s="709"/>
      <c r="R114" s="709"/>
      <c r="S114" s="709"/>
      <c r="T114" s="709"/>
      <c r="U114" s="709"/>
      <c r="V114" s="710"/>
      <c r="W114" s="710"/>
      <c r="X114" s="706"/>
      <c r="Y114" s="705"/>
      <c r="Z114" s="709"/>
    </row>
    <row r="115" spans="2:26" x14ac:dyDescent="0.25">
      <c r="B115" s="37">
        <v>840</v>
      </c>
      <c r="C115" s="702" t="s">
        <v>363</v>
      </c>
      <c r="D115" s="706" t="s">
        <v>110</v>
      </c>
      <c r="E115" s="704">
        <v>33.56</v>
      </c>
      <c r="F115" s="704">
        <v>27.84</v>
      </c>
      <c r="G115" s="704"/>
      <c r="H115" s="704"/>
      <c r="I115" s="704"/>
      <c r="J115" s="704" t="s">
        <v>764</v>
      </c>
      <c r="K115" s="704">
        <v>5.9</v>
      </c>
      <c r="L115" s="705">
        <v>0.75</v>
      </c>
      <c r="M115" s="705">
        <v>0.98</v>
      </c>
      <c r="N115" s="704">
        <f t="shared" si="17"/>
        <v>145.53294000000002</v>
      </c>
      <c r="O115" s="707">
        <v>8100</v>
      </c>
      <c r="P115" s="708">
        <f t="shared" si="18"/>
        <v>1.7967029629629632E-2</v>
      </c>
      <c r="Q115" s="709">
        <v>1951500</v>
      </c>
      <c r="R115" s="709">
        <v>265680</v>
      </c>
      <c r="S115" s="709">
        <f t="shared" si="19"/>
        <v>1685820</v>
      </c>
      <c r="T115" s="709">
        <f t="shared" si="20"/>
        <v>30289.177890222225</v>
      </c>
      <c r="U115" s="709">
        <f t="shared" si="21"/>
        <v>15144.588945111112</v>
      </c>
      <c r="V115" s="710">
        <v>24.892099999999999</v>
      </c>
      <c r="W115" s="710">
        <v>23.536000000000001</v>
      </c>
      <c r="X115" s="706"/>
      <c r="Y115" s="705">
        <f t="shared" si="15"/>
        <v>1.5540864189382806</v>
      </c>
      <c r="Z115" s="709">
        <f t="shared" ref="Z115:Z137" si="22">+S115*Y115</f>
        <v>2619909.9667745321</v>
      </c>
    </row>
    <row r="116" spans="2:26" x14ac:dyDescent="0.25">
      <c r="B116" s="37">
        <v>843</v>
      </c>
      <c r="C116" s="702" t="s">
        <v>438</v>
      </c>
      <c r="D116" s="706" t="s">
        <v>110</v>
      </c>
      <c r="E116" s="704">
        <v>21.44</v>
      </c>
      <c r="F116" s="704">
        <v>55.34</v>
      </c>
      <c r="G116" s="704"/>
      <c r="H116" s="704"/>
      <c r="I116" s="704"/>
      <c r="J116" s="704" t="s">
        <v>764</v>
      </c>
      <c r="K116" s="704">
        <v>5.9</v>
      </c>
      <c r="L116" s="705">
        <v>0.75</v>
      </c>
      <c r="M116" s="705">
        <v>0.98</v>
      </c>
      <c r="N116" s="704">
        <f t="shared" si="17"/>
        <v>92.974560000000011</v>
      </c>
      <c r="O116" s="707">
        <v>8100</v>
      </c>
      <c r="P116" s="708">
        <f t="shared" si="18"/>
        <v>1.1478340740740741E-2</v>
      </c>
      <c r="Q116" s="709">
        <v>1951500</v>
      </c>
      <c r="R116" s="709">
        <v>265680</v>
      </c>
      <c r="S116" s="709">
        <f t="shared" si="19"/>
        <v>1685820</v>
      </c>
      <c r="T116" s="709">
        <f t="shared" si="20"/>
        <v>19350.416387555557</v>
      </c>
      <c r="U116" s="709">
        <f t="shared" si="21"/>
        <v>9675.2081937777784</v>
      </c>
      <c r="V116" s="710">
        <v>15.9023</v>
      </c>
      <c r="W116" s="710">
        <v>15.036199999999999</v>
      </c>
      <c r="X116" s="706"/>
      <c r="Y116" s="705">
        <f t="shared" si="15"/>
        <v>1.5540957567889782</v>
      </c>
      <c r="Z116" s="709">
        <f t="shared" si="22"/>
        <v>2619925.7087099953</v>
      </c>
    </row>
    <row r="117" spans="2:26" x14ac:dyDescent="0.25">
      <c r="B117" s="37">
        <v>848</v>
      </c>
      <c r="C117" s="702" t="s">
        <v>368</v>
      </c>
      <c r="D117" s="706" t="s">
        <v>110</v>
      </c>
      <c r="E117" s="704">
        <v>24.87</v>
      </c>
      <c r="F117" s="704">
        <v>28.52</v>
      </c>
      <c r="G117" s="704"/>
      <c r="H117" s="704"/>
      <c r="I117" s="704"/>
      <c r="J117" s="704" t="s">
        <v>764</v>
      </c>
      <c r="K117" s="704">
        <v>5.9</v>
      </c>
      <c r="L117" s="705">
        <v>1</v>
      </c>
      <c r="M117" s="705">
        <v>0.98</v>
      </c>
      <c r="N117" s="704">
        <f t="shared" si="17"/>
        <v>143.79834</v>
      </c>
      <c r="O117" s="707">
        <v>8100</v>
      </c>
      <c r="P117" s="708">
        <f t="shared" si="18"/>
        <v>1.7752881481481481E-2</v>
      </c>
      <c r="Q117" s="709">
        <v>1951500</v>
      </c>
      <c r="R117" s="709">
        <v>265680</v>
      </c>
      <c r="S117" s="709">
        <f t="shared" si="19"/>
        <v>1685820</v>
      </c>
      <c r="T117" s="709">
        <f t="shared" si="20"/>
        <v>29928.162659111113</v>
      </c>
      <c r="U117" s="709">
        <f t="shared" si="21"/>
        <v>14964.081329555556</v>
      </c>
      <c r="V117" s="710">
        <v>24.595800000000001</v>
      </c>
      <c r="W117" s="710">
        <v>23.256</v>
      </c>
      <c r="X117" s="706"/>
      <c r="Y117" s="705">
        <f t="shared" si="15"/>
        <v>1.5541214651157418</v>
      </c>
      <c r="Z117" s="709">
        <f t="shared" si="22"/>
        <v>2619969.0483214199</v>
      </c>
    </row>
    <row r="118" spans="2:26" x14ac:dyDescent="0.25">
      <c r="B118" s="37">
        <v>850</v>
      </c>
      <c r="C118" s="702" t="s">
        <v>335</v>
      </c>
      <c r="D118" s="706" t="s">
        <v>110</v>
      </c>
      <c r="E118" s="704">
        <v>102.24</v>
      </c>
      <c r="F118" s="704">
        <v>108.78</v>
      </c>
      <c r="G118" s="704"/>
      <c r="H118" s="704"/>
      <c r="I118" s="704"/>
      <c r="J118" s="704" t="s">
        <v>764</v>
      </c>
      <c r="K118" s="704">
        <v>2.36</v>
      </c>
      <c r="L118" s="705">
        <v>0.5</v>
      </c>
      <c r="M118" s="705">
        <v>0.98</v>
      </c>
      <c r="N118" s="704">
        <f t="shared" si="17"/>
        <v>118.23033599999999</v>
      </c>
      <c r="O118" s="707">
        <v>8100</v>
      </c>
      <c r="P118" s="708">
        <f t="shared" si="18"/>
        <v>1.4596337777777777E-2</v>
      </c>
      <c r="Q118" s="709">
        <v>1951500</v>
      </c>
      <c r="R118" s="709">
        <v>265680</v>
      </c>
      <c r="S118" s="709">
        <f t="shared" si="19"/>
        <v>1685820</v>
      </c>
      <c r="T118" s="709">
        <f t="shared" si="20"/>
        <v>24606.798152533331</v>
      </c>
      <c r="U118" s="709">
        <f t="shared" si="21"/>
        <v>12303.399076266665</v>
      </c>
      <c r="V118" s="710">
        <v>20.222999999999999</v>
      </c>
      <c r="W118" s="710">
        <v>19.116</v>
      </c>
      <c r="X118" s="706"/>
      <c r="Y118" s="705">
        <f t="shared" si="15"/>
        <v>1.5537169754068114</v>
      </c>
      <c r="Z118" s="709">
        <f t="shared" si="22"/>
        <v>2619287.1514803106</v>
      </c>
    </row>
    <row r="119" spans="2:26" x14ac:dyDescent="0.25">
      <c r="B119" s="37">
        <v>851</v>
      </c>
      <c r="C119" s="702" t="s">
        <v>373</v>
      </c>
      <c r="D119" s="706" t="s">
        <v>110</v>
      </c>
      <c r="E119" s="704">
        <v>737.99</v>
      </c>
      <c r="F119" s="704">
        <v>762.28</v>
      </c>
      <c r="G119" s="704">
        <v>1496.03</v>
      </c>
      <c r="H119" s="704"/>
      <c r="I119" s="704"/>
      <c r="J119" s="704" t="s">
        <v>764</v>
      </c>
      <c r="K119" s="704">
        <v>1.25</v>
      </c>
      <c r="L119" s="705">
        <v>0.35</v>
      </c>
      <c r="M119" s="705">
        <v>0.98</v>
      </c>
      <c r="N119" s="704">
        <f t="shared" si="17"/>
        <v>316.41321249999993</v>
      </c>
      <c r="O119" s="707">
        <v>8100</v>
      </c>
      <c r="P119" s="708">
        <f t="shared" si="18"/>
        <v>3.9063359567901225E-2</v>
      </c>
      <c r="Q119" s="709">
        <v>1951500</v>
      </c>
      <c r="R119" s="709">
        <v>265680</v>
      </c>
      <c r="S119" s="709">
        <f t="shared" si="19"/>
        <v>1685820</v>
      </c>
      <c r="T119" s="709">
        <f t="shared" si="20"/>
        <v>65853.792826759236</v>
      </c>
      <c r="U119" s="709">
        <f t="shared" si="21"/>
        <v>32926.896413379618</v>
      </c>
      <c r="V119" s="710">
        <v>54.119599999999998</v>
      </c>
      <c r="W119" s="710">
        <v>51.171300000000002</v>
      </c>
      <c r="X119" s="706"/>
      <c r="Y119" s="705">
        <f t="shared" si="15"/>
        <v>1.5540881642038664</v>
      </c>
      <c r="Z119" s="709">
        <f t="shared" si="22"/>
        <v>2619912.9089781619</v>
      </c>
    </row>
    <row r="120" spans="2:26" x14ac:dyDescent="0.25">
      <c r="B120" s="37">
        <v>853</v>
      </c>
      <c r="C120" s="702" t="s">
        <v>376</v>
      </c>
      <c r="D120" s="706" t="s">
        <v>110</v>
      </c>
      <c r="E120" s="704">
        <v>845.6</v>
      </c>
      <c r="F120" s="704">
        <v>624.20000000000005</v>
      </c>
      <c r="G120" s="704"/>
      <c r="H120" s="704"/>
      <c r="I120" s="704"/>
      <c r="J120" s="704" t="s">
        <v>764</v>
      </c>
      <c r="K120" s="704">
        <v>1.25</v>
      </c>
      <c r="L120" s="705">
        <v>0.35</v>
      </c>
      <c r="M120" s="705">
        <v>0.98</v>
      </c>
      <c r="N120" s="704">
        <f t="shared" si="17"/>
        <v>362.55099999999999</v>
      </c>
      <c r="O120" s="707">
        <v>8100</v>
      </c>
      <c r="P120" s="708">
        <f t="shared" si="18"/>
        <v>4.475938271604938E-2</v>
      </c>
      <c r="Q120" s="709">
        <v>1951500</v>
      </c>
      <c r="R120" s="709">
        <v>265680</v>
      </c>
      <c r="S120" s="709">
        <f t="shared" si="19"/>
        <v>1685820</v>
      </c>
      <c r="T120" s="709">
        <f t="shared" si="20"/>
        <v>75456.262570370367</v>
      </c>
      <c r="U120" s="709">
        <f t="shared" si="21"/>
        <v>37728.131285185184</v>
      </c>
      <c r="V120" s="710">
        <v>62.0105</v>
      </c>
      <c r="W120" s="710">
        <v>58.632399999999997</v>
      </c>
      <c r="X120" s="706"/>
      <c r="Y120" s="705">
        <f t="shared" si="15"/>
        <v>1.5540764411786108</v>
      </c>
      <c r="Z120" s="709">
        <f t="shared" si="22"/>
        <v>2619893.1460677255</v>
      </c>
    </row>
    <row r="121" spans="2:26" x14ac:dyDescent="0.25">
      <c r="B121" s="37">
        <v>862</v>
      </c>
      <c r="C121" s="702" t="s">
        <v>383</v>
      </c>
      <c r="D121" s="706" t="s">
        <v>110</v>
      </c>
      <c r="E121" s="704">
        <v>30.74</v>
      </c>
      <c r="F121" s="704">
        <v>30.74</v>
      </c>
      <c r="G121" s="704"/>
      <c r="H121" s="704"/>
      <c r="I121" s="704"/>
      <c r="J121" s="704" t="s">
        <v>764</v>
      </c>
      <c r="K121" s="704">
        <v>5.9</v>
      </c>
      <c r="L121" s="705">
        <v>0.75</v>
      </c>
      <c r="M121" s="705">
        <v>0.98</v>
      </c>
      <c r="N121" s="704">
        <f t="shared" si="17"/>
        <v>133.30401000000001</v>
      </c>
      <c r="O121" s="707">
        <v>8100</v>
      </c>
      <c r="P121" s="708">
        <f t="shared" si="18"/>
        <v>1.6457285185185185E-2</v>
      </c>
      <c r="Q121" s="709">
        <v>1951500</v>
      </c>
      <c r="R121" s="709">
        <v>265680</v>
      </c>
      <c r="S121" s="709">
        <f t="shared" si="19"/>
        <v>1685820</v>
      </c>
      <c r="T121" s="709">
        <f t="shared" si="20"/>
        <v>27744.020510888888</v>
      </c>
      <c r="U121" s="709">
        <f t="shared" si="21"/>
        <v>13872.010255444444</v>
      </c>
      <c r="V121" s="710">
        <v>22.8001</v>
      </c>
      <c r="W121" s="710">
        <v>21.558</v>
      </c>
      <c r="X121" s="706"/>
      <c r="Y121" s="705">
        <f t="shared" si="15"/>
        <v>1.5540645950387026</v>
      </c>
      <c r="Z121" s="709">
        <f t="shared" si="22"/>
        <v>2619873.1756081455</v>
      </c>
    </row>
    <row r="122" spans="2:26" x14ac:dyDescent="0.25">
      <c r="B122" s="37">
        <v>875</v>
      </c>
      <c r="C122" s="702" t="s">
        <v>343</v>
      </c>
      <c r="D122" s="706" t="s">
        <v>110</v>
      </c>
      <c r="E122" s="704">
        <v>22.88</v>
      </c>
      <c r="F122" s="704">
        <v>22.88</v>
      </c>
      <c r="G122" s="704"/>
      <c r="H122" s="704"/>
      <c r="I122" s="704"/>
      <c r="J122" s="704" t="s">
        <v>764</v>
      </c>
      <c r="K122" s="704">
        <v>5.9</v>
      </c>
      <c r="L122" s="705">
        <v>0.42</v>
      </c>
      <c r="M122" s="705">
        <v>0.98</v>
      </c>
      <c r="N122" s="704">
        <f t="shared" si="17"/>
        <v>55.562707199999991</v>
      </c>
      <c r="O122" s="707">
        <v>8100</v>
      </c>
      <c r="P122" s="708">
        <f t="shared" si="18"/>
        <v>6.8595934814814803E-3</v>
      </c>
      <c r="Q122" s="709">
        <v>1951500</v>
      </c>
      <c r="R122" s="709">
        <v>265680</v>
      </c>
      <c r="S122" s="709">
        <f t="shared" si="19"/>
        <v>1685820</v>
      </c>
      <c r="T122" s="709">
        <f t="shared" si="20"/>
        <v>11564.039882951109</v>
      </c>
      <c r="U122" s="709">
        <f t="shared" si="21"/>
        <v>5782.0199414755543</v>
      </c>
      <c r="V122" s="710">
        <v>9.5043000000000006</v>
      </c>
      <c r="W122" s="710">
        <v>8.9848999999999997</v>
      </c>
      <c r="X122" s="706"/>
      <c r="Y122" s="705">
        <f t="shared" si="15"/>
        <v>1.5539379128649424</v>
      </c>
      <c r="Z122" s="709">
        <f t="shared" si="22"/>
        <v>2619659.6122659771</v>
      </c>
    </row>
    <row r="123" spans="2:26" x14ac:dyDescent="0.25">
      <c r="B123" s="37">
        <v>880</v>
      </c>
      <c r="C123" s="702" t="s">
        <v>389</v>
      </c>
      <c r="D123" s="706" t="s">
        <v>110</v>
      </c>
      <c r="E123" s="704">
        <v>90.06</v>
      </c>
      <c r="F123" s="704">
        <v>90.08</v>
      </c>
      <c r="G123" s="704">
        <v>323.69</v>
      </c>
      <c r="H123" s="704"/>
      <c r="I123" s="704"/>
      <c r="J123" s="704">
        <v>323.69</v>
      </c>
      <c r="K123" s="704">
        <v>2.36</v>
      </c>
      <c r="L123" s="705">
        <v>0.32</v>
      </c>
      <c r="M123" s="705">
        <v>0.98</v>
      </c>
      <c r="N123" s="704">
        <f t="shared" si="17"/>
        <v>66.653045759999998</v>
      </c>
      <c r="O123" s="707">
        <v>8100</v>
      </c>
      <c r="P123" s="708">
        <f t="shared" si="18"/>
        <v>8.2287710814814806E-3</v>
      </c>
      <c r="Q123" s="709">
        <v>1951500</v>
      </c>
      <c r="R123" s="709">
        <v>265680</v>
      </c>
      <c r="S123" s="709">
        <f t="shared" si="19"/>
        <v>1685820</v>
      </c>
      <c r="T123" s="709">
        <f t="shared" si="20"/>
        <v>13872.22686458311</v>
      </c>
      <c r="U123" s="709">
        <f t="shared" si="21"/>
        <v>6936.113432291555</v>
      </c>
      <c r="V123" s="710">
        <v>11.4009</v>
      </c>
      <c r="W123" s="710">
        <v>10.779</v>
      </c>
      <c r="X123" s="706"/>
      <c r="Y123" s="705">
        <f t="shared" si="15"/>
        <v>1.5540403289567932</v>
      </c>
      <c r="Z123" s="709">
        <f t="shared" si="22"/>
        <v>2619832.2673619413</v>
      </c>
    </row>
    <row r="124" spans="2:26" x14ac:dyDescent="0.25">
      <c r="B124" s="37">
        <v>881</v>
      </c>
      <c r="C124" s="702" t="s">
        <v>390</v>
      </c>
      <c r="D124" s="706" t="s">
        <v>110</v>
      </c>
      <c r="E124" s="704">
        <v>96.91</v>
      </c>
      <c r="F124" s="704">
        <v>109.16</v>
      </c>
      <c r="G124" s="704">
        <v>69.17</v>
      </c>
      <c r="H124" s="704"/>
      <c r="I124" s="704"/>
      <c r="J124" s="704" t="s">
        <v>764</v>
      </c>
      <c r="K124" s="704">
        <v>2.36</v>
      </c>
      <c r="L124" s="705">
        <v>0.32</v>
      </c>
      <c r="M124" s="705">
        <v>0.98</v>
      </c>
      <c r="N124" s="704">
        <f t="shared" si="17"/>
        <v>71.722703359999997</v>
      </c>
      <c r="O124" s="707">
        <v>8100</v>
      </c>
      <c r="P124" s="708">
        <f t="shared" si="18"/>
        <v>8.8546547358024693E-3</v>
      </c>
      <c r="Q124" s="709">
        <v>1951500</v>
      </c>
      <c r="R124" s="709">
        <v>265680</v>
      </c>
      <c r="S124" s="709">
        <f t="shared" si="19"/>
        <v>1685820</v>
      </c>
      <c r="T124" s="709">
        <f t="shared" si="20"/>
        <v>14927.354046710519</v>
      </c>
      <c r="U124" s="709">
        <f t="shared" si="21"/>
        <v>7463.6770233552597</v>
      </c>
      <c r="V124" s="710">
        <v>12.266999999999999</v>
      </c>
      <c r="W124" s="710">
        <v>11.599500000000001</v>
      </c>
      <c r="X124" s="706"/>
      <c r="Y124" s="705">
        <f t="shared" si="15"/>
        <v>1.5541267345442422</v>
      </c>
      <c r="Z124" s="709">
        <f t="shared" si="22"/>
        <v>2619977.9316293746</v>
      </c>
    </row>
    <row r="125" spans="2:26" x14ac:dyDescent="0.25">
      <c r="B125" s="37">
        <v>890</v>
      </c>
      <c r="C125" s="702" t="s">
        <v>350</v>
      </c>
      <c r="D125" s="706" t="s">
        <v>110</v>
      </c>
      <c r="E125" s="704">
        <v>5.0599999999999996</v>
      </c>
      <c r="F125" s="704">
        <v>6.3</v>
      </c>
      <c r="G125" s="704"/>
      <c r="H125" s="704"/>
      <c r="I125" s="704"/>
      <c r="J125" s="704" t="s">
        <v>764</v>
      </c>
      <c r="K125" s="704">
        <v>4</v>
      </c>
      <c r="L125" s="705">
        <v>0.5</v>
      </c>
      <c r="M125" s="705">
        <v>0.98</v>
      </c>
      <c r="N125" s="704">
        <f t="shared" si="17"/>
        <v>9.9175999999999984</v>
      </c>
      <c r="O125" s="707">
        <v>8100</v>
      </c>
      <c r="P125" s="708">
        <f t="shared" si="18"/>
        <v>1.2243950617283948E-3</v>
      </c>
      <c r="Q125" s="709">
        <v>1951500</v>
      </c>
      <c r="R125" s="709">
        <v>265680</v>
      </c>
      <c r="S125" s="709">
        <f t="shared" si="19"/>
        <v>1685820</v>
      </c>
      <c r="T125" s="709">
        <f t="shared" si="20"/>
        <v>2064.1096829629628</v>
      </c>
      <c r="U125" s="709">
        <f t="shared" si="21"/>
        <v>1032.0548414814814</v>
      </c>
      <c r="V125" s="710">
        <v>1.6963999999999999</v>
      </c>
      <c r="W125" s="710">
        <v>1.6035999999999999</v>
      </c>
      <c r="X125" s="706"/>
      <c r="Y125" s="705">
        <f t="shared" si="15"/>
        <v>1.553793398903186</v>
      </c>
      <c r="Z125" s="709">
        <f t="shared" si="22"/>
        <v>2619415.9877389693</v>
      </c>
    </row>
    <row r="126" spans="2:26" x14ac:dyDescent="0.25">
      <c r="B126" s="37">
        <v>889</v>
      </c>
      <c r="C126" s="702" t="s">
        <v>392</v>
      </c>
      <c r="D126" s="706" t="s">
        <v>110</v>
      </c>
      <c r="E126" s="721"/>
      <c r="F126" s="721">
        <v>101.49</v>
      </c>
      <c r="G126" s="721"/>
      <c r="H126" s="704"/>
      <c r="I126" s="704"/>
      <c r="J126" s="704" t="s">
        <v>764</v>
      </c>
      <c r="K126" s="704"/>
      <c r="L126" s="705"/>
      <c r="M126" s="705"/>
      <c r="N126" s="704"/>
      <c r="O126" s="707"/>
      <c r="P126" s="708"/>
      <c r="Q126" s="709"/>
      <c r="R126" s="709"/>
      <c r="S126" s="709"/>
      <c r="T126" s="709"/>
      <c r="U126" s="709"/>
      <c r="V126" s="710"/>
      <c r="W126" s="710"/>
      <c r="X126" s="706"/>
      <c r="Y126" s="705"/>
      <c r="Z126" s="709"/>
    </row>
    <row r="127" spans="2:26" x14ac:dyDescent="0.25">
      <c r="B127" s="53" t="s">
        <v>353</v>
      </c>
      <c r="C127" s="711"/>
      <c r="D127" s="712"/>
      <c r="E127" s="713"/>
      <c r="F127" s="713"/>
      <c r="G127" s="713"/>
      <c r="H127" s="713"/>
      <c r="I127" s="713"/>
      <c r="J127" s="713"/>
      <c r="K127" s="713"/>
      <c r="L127" s="714"/>
      <c r="M127" s="714"/>
      <c r="N127" s="713"/>
      <c r="O127" s="715"/>
      <c r="P127" s="716"/>
      <c r="Q127" s="717"/>
      <c r="R127" s="717"/>
      <c r="S127" s="717"/>
      <c r="T127" s="717"/>
      <c r="U127" s="717"/>
      <c r="V127" s="718"/>
      <c r="W127" s="718"/>
      <c r="X127" s="706"/>
      <c r="Y127" s="705"/>
      <c r="Z127" s="709"/>
    </row>
    <row r="128" spans="2:26" x14ac:dyDescent="0.25">
      <c r="B128" s="37">
        <v>911</v>
      </c>
      <c r="C128" s="702" t="s">
        <v>355</v>
      </c>
      <c r="D128" s="706" t="s">
        <v>110</v>
      </c>
      <c r="E128" s="704">
        <v>156.47999999999999</v>
      </c>
      <c r="F128" s="54" t="s">
        <v>763</v>
      </c>
      <c r="G128" s="704"/>
      <c r="H128" s="704"/>
      <c r="I128" s="704"/>
      <c r="J128" s="704" t="s">
        <v>764</v>
      </c>
      <c r="K128" s="704">
        <v>1.25</v>
      </c>
      <c r="L128" s="705">
        <v>0.5</v>
      </c>
      <c r="M128" s="705">
        <v>0.98</v>
      </c>
      <c r="N128" s="704">
        <f t="shared" ref="N128:N137" si="23">+E128*K128*L128*M128</f>
        <v>95.843999999999994</v>
      </c>
      <c r="O128" s="707">
        <v>8100</v>
      </c>
      <c r="P128" s="708">
        <f t="shared" si="18"/>
        <v>1.1832592592592592E-2</v>
      </c>
      <c r="Q128" s="709">
        <v>1951500</v>
      </c>
      <c r="R128" s="709">
        <v>265680</v>
      </c>
      <c r="S128" s="709">
        <f t="shared" si="19"/>
        <v>1685820</v>
      </c>
      <c r="T128" s="709">
        <f t="shared" si="20"/>
        <v>19947.621244444443</v>
      </c>
      <c r="U128" s="709">
        <f t="shared" si="21"/>
        <v>9973.8106222222214</v>
      </c>
      <c r="V128" s="724">
        <v>16.392299999999999</v>
      </c>
      <c r="W128" s="724">
        <v>15.5002</v>
      </c>
      <c r="X128" s="706"/>
      <c r="Y128" s="705">
        <f t="shared" si="15"/>
        <v>1.5540900651817737</v>
      </c>
      <c r="Z128" s="709">
        <f t="shared" si="22"/>
        <v>2619916.1136847376</v>
      </c>
    </row>
    <row r="129" spans="2:26" x14ac:dyDescent="0.25">
      <c r="B129" s="37">
        <v>912</v>
      </c>
      <c r="C129" s="702" t="s">
        <v>358</v>
      </c>
      <c r="D129" s="706" t="s">
        <v>110</v>
      </c>
      <c r="E129" s="704">
        <v>246.49</v>
      </c>
      <c r="F129" s="704">
        <v>100.03</v>
      </c>
      <c r="G129" s="704"/>
      <c r="H129" s="704"/>
      <c r="I129" s="704"/>
      <c r="J129" s="704" t="s">
        <v>764</v>
      </c>
      <c r="K129" s="704">
        <v>1.25</v>
      </c>
      <c r="L129" s="705">
        <v>0.5</v>
      </c>
      <c r="M129" s="705">
        <v>0.98</v>
      </c>
      <c r="N129" s="704">
        <f t="shared" si="23"/>
        <v>150.97512499999999</v>
      </c>
      <c r="O129" s="707">
        <v>8100</v>
      </c>
      <c r="P129" s="708">
        <f t="shared" si="18"/>
        <v>1.8638904320987654E-2</v>
      </c>
      <c r="Q129" s="709">
        <v>1951500</v>
      </c>
      <c r="R129" s="709">
        <v>265680</v>
      </c>
      <c r="S129" s="709">
        <f t="shared" si="19"/>
        <v>1685820</v>
      </c>
      <c r="T129" s="709">
        <f t="shared" si="20"/>
        <v>31421.837682407408</v>
      </c>
      <c r="U129" s="709">
        <f t="shared" si="21"/>
        <v>15710.918841203704</v>
      </c>
      <c r="V129" s="724">
        <v>25.8233</v>
      </c>
      <c r="W129" s="724">
        <v>24.416699999999999</v>
      </c>
      <c r="X129" s="706"/>
      <c r="Y129" s="705">
        <f t="shared" si="15"/>
        <v>1.5541229794889129</v>
      </c>
      <c r="Z129" s="709">
        <f t="shared" si="22"/>
        <v>2619971.6012819991</v>
      </c>
    </row>
    <row r="130" spans="2:26" x14ac:dyDescent="0.25">
      <c r="B130" s="37">
        <v>931</v>
      </c>
      <c r="C130" s="702" t="s">
        <v>361</v>
      </c>
      <c r="D130" s="706" t="s">
        <v>110</v>
      </c>
      <c r="E130" s="704">
        <v>89.95</v>
      </c>
      <c r="F130" s="704">
        <v>83.84</v>
      </c>
      <c r="G130" s="704"/>
      <c r="H130" s="704"/>
      <c r="I130" s="704"/>
      <c r="J130" s="704" t="s">
        <v>764</v>
      </c>
      <c r="K130" s="704">
        <v>6.16</v>
      </c>
      <c r="L130" s="705">
        <v>0.75</v>
      </c>
      <c r="M130" s="705">
        <v>0.98</v>
      </c>
      <c r="N130" s="704">
        <f t="shared" si="23"/>
        <v>407.25761999999997</v>
      </c>
      <c r="O130" s="707">
        <v>8100</v>
      </c>
      <c r="P130" s="708">
        <f t="shared" si="18"/>
        <v>5.0278718518518513E-2</v>
      </c>
      <c r="Q130" s="709">
        <v>1951500</v>
      </c>
      <c r="R130" s="709">
        <v>265680</v>
      </c>
      <c r="S130" s="709">
        <f t="shared" si="19"/>
        <v>1685820</v>
      </c>
      <c r="T130" s="709">
        <f t="shared" si="20"/>
        <v>84760.869252888879</v>
      </c>
      <c r="U130" s="709">
        <f t="shared" si="21"/>
        <v>42380.434626444439</v>
      </c>
      <c r="V130" s="724">
        <v>69.657200000000003</v>
      </c>
      <c r="W130" s="724">
        <v>65.862399999999994</v>
      </c>
      <c r="X130" s="706"/>
      <c r="Y130" s="705">
        <f t="shared" si="15"/>
        <v>1.5540756148570345</v>
      </c>
      <c r="Z130" s="709">
        <f t="shared" si="22"/>
        <v>2619891.7530382858</v>
      </c>
    </row>
    <row r="131" spans="2:26" x14ac:dyDescent="0.25">
      <c r="B131" s="37">
        <v>931</v>
      </c>
      <c r="C131" s="702" t="s">
        <v>393</v>
      </c>
      <c r="D131" s="706" t="s">
        <v>394</v>
      </c>
      <c r="E131" s="704">
        <v>2.86</v>
      </c>
      <c r="F131" s="704">
        <v>2.6</v>
      </c>
      <c r="G131" s="704"/>
      <c r="H131" s="704"/>
      <c r="I131" s="704"/>
      <c r="J131" s="704" t="s">
        <v>764</v>
      </c>
      <c r="K131" s="704">
        <v>6.16</v>
      </c>
      <c r="L131" s="705">
        <v>0.75</v>
      </c>
      <c r="M131" s="705">
        <v>0.98</v>
      </c>
      <c r="N131" s="704">
        <f t="shared" si="23"/>
        <v>12.948936</v>
      </c>
      <c r="O131" s="707">
        <v>8100</v>
      </c>
      <c r="P131" s="708">
        <f t="shared" si="18"/>
        <v>1.598634074074074E-3</v>
      </c>
      <c r="Q131" s="709">
        <v>1951500</v>
      </c>
      <c r="R131" s="709">
        <v>265680</v>
      </c>
      <c r="S131" s="709">
        <f t="shared" si="19"/>
        <v>1685820</v>
      </c>
      <c r="T131" s="709">
        <f t="shared" si="20"/>
        <v>2695.0092947555554</v>
      </c>
      <c r="U131" s="709">
        <f t="shared" si="21"/>
        <v>1347.5046473777777</v>
      </c>
      <c r="V131" s="724">
        <v>2214.08</v>
      </c>
      <c r="W131" s="724">
        <v>2093.6080000000002</v>
      </c>
      <c r="X131" s="706"/>
      <c r="Y131" s="705">
        <f t="shared" ref="Y131:Y137" si="24">+W131/U131</f>
        <v>1.5536926006705265</v>
      </c>
      <c r="Z131" s="709">
        <f t="shared" si="22"/>
        <v>2619246.060062387</v>
      </c>
    </row>
    <row r="132" spans="2:26" x14ac:dyDescent="0.25">
      <c r="B132" s="37">
        <v>932</v>
      </c>
      <c r="C132" s="702" t="s">
        <v>773</v>
      </c>
      <c r="D132" s="706" t="s">
        <v>110</v>
      </c>
      <c r="E132" s="704">
        <v>11</v>
      </c>
      <c r="F132" s="704">
        <v>112.18</v>
      </c>
      <c r="G132" s="704"/>
      <c r="H132" s="704"/>
      <c r="I132" s="704"/>
      <c r="J132" s="704" t="s">
        <v>764</v>
      </c>
      <c r="K132" s="704">
        <v>4</v>
      </c>
      <c r="L132" s="705">
        <v>0.5</v>
      </c>
      <c r="M132" s="705">
        <v>0.98</v>
      </c>
      <c r="N132" s="704">
        <f t="shared" si="23"/>
        <v>21.56</v>
      </c>
      <c r="O132" s="707">
        <v>8100</v>
      </c>
      <c r="P132" s="708">
        <f t="shared" si="18"/>
        <v>2.661728395061728E-3</v>
      </c>
      <c r="Q132" s="709">
        <v>1951500</v>
      </c>
      <c r="R132" s="709">
        <v>265680</v>
      </c>
      <c r="S132" s="709">
        <f t="shared" si="19"/>
        <v>1685820</v>
      </c>
      <c r="T132" s="709">
        <f t="shared" si="20"/>
        <v>4487.1949629629626</v>
      </c>
      <c r="U132" s="709">
        <f t="shared" si="21"/>
        <v>2243.5974814814813</v>
      </c>
      <c r="V132" s="724">
        <v>53.092300000000002</v>
      </c>
      <c r="W132" s="724">
        <v>50.199399999999997</v>
      </c>
      <c r="X132" s="706"/>
      <c r="Y132" s="705">
        <f t="shared" si="15"/>
        <v>22.374512547077995</v>
      </c>
      <c r="Z132" s="709">
        <f t="shared" si="22"/>
        <v>37719400.742115028</v>
      </c>
    </row>
    <row r="133" spans="2:26" x14ac:dyDescent="0.25">
      <c r="B133" s="37">
        <v>932</v>
      </c>
      <c r="C133" s="702" t="s">
        <v>774</v>
      </c>
      <c r="D133" s="706" t="s">
        <v>394</v>
      </c>
      <c r="E133" s="704">
        <v>4.83</v>
      </c>
      <c r="F133" s="704">
        <v>4.37</v>
      </c>
      <c r="G133" s="704"/>
      <c r="H133" s="704"/>
      <c r="I133" s="704"/>
      <c r="J133" s="704" t="s">
        <v>764</v>
      </c>
      <c r="K133" s="704">
        <v>4</v>
      </c>
      <c r="L133" s="705">
        <v>0.5</v>
      </c>
      <c r="M133" s="705">
        <v>0.98</v>
      </c>
      <c r="N133" s="704">
        <f t="shared" si="23"/>
        <v>9.4667999999999992</v>
      </c>
      <c r="O133" s="707">
        <v>8100</v>
      </c>
      <c r="P133" s="708">
        <f t="shared" si="18"/>
        <v>1.1687407407407406E-3</v>
      </c>
      <c r="Q133" s="709">
        <v>1951500</v>
      </c>
      <c r="R133" s="709">
        <v>265680</v>
      </c>
      <c r="S133" s="709">
        <f t="shared" si="19"/>
        <v>1685820</v>
      </c>
      <c r="T133" s="709">
        <f t="shared" si="20"/>
        <v>1970.2865155555553</v>
      </c>
      <c r="U133" s="709">
        <f t="shared" si="21"/>
        <v>985.14325777777765</v>
      </c>
      <c r="V133" s="724">
        <v>1619.86</v>
      </c>
      <c r="W133" s="724">
        <v>1530.32</v>
      </c>
      <c r="X133" s="706"/>
      <c r="Y133" s="705">
        <f t="shared" si="24"/>
        <v>1.5533984401943699</v>
      </c>
      <c r="Z133" s="709">
        <f t="shared" si="22"/>
        <v>2618750.1584484726</v>
      </c>
    </row>
    <row r="134" spans="2:26" x14ac:dyDescent="0.25">
      <c r="B134" s="37">
        <v>933</v>
      </c>
      <c r="C134" s="702" t="s">
        <v>396</v>
      </c>
      <c r="D134" s="706" t="s">
        <v>110</v>
      </c>
      <c r="E134" s="704">
        <v>716</v>
      </c>
      <c r="F134" s="704">
        <v>346.23</v>
      </c>
      <c r="G134" s="704"/>
      <c r="H134" s="704"/>
      <c r="I134" s="704"/>
      <c r="J134" s="704" t="s">
        <v>764</v>
      </c>
      <c r="K134" s="704">
        <v>1.25</v>
      </c>
      <c r="L134" s="705">
        <v>0.5</v>
      </c>
      <c r="M134" s="705">
        <v>0.98</v>
      </c>
      <c r="N134" s="704">
        <f t="shared" si="23"/>
        <v>438.55</v>
      </c>
      <c r="O134" s="707">
        <v>8100</v>
      </c>
      <c r="P134" s="708">
        <f t="shared" si="18"/>
        <v>5.4141975308641975E-2</v>
      </c>
      <c r="Q134" s="709">
        <v>1951500</v>
      </c>
      <c r="R134" s="709">
        <v>265680</v>
      </c>
      <c r="S134" s="709">
        <f t="shared" si="19"/>
        <v>1685820</v>
      </c>
      <c r="T134" s="709">
        <f t="shared" si="20"/>
        <v>91273.624814814815</v>
      </c>
      <c r="U134" s="709">
        <f t="shared" si="21"/>
        <v>45636.812407407408</v>
      </c>
      <c r="V134" s="724">
        <v>75.010099999999994</v>
      </c>
      <c r="W134" s="724">
        <v>70.9238</v>
      </c>
      <c r="X134" s="706"/>
      <c r="Y134" s="705">
        <f t="shared" si="15"/>
        <v>1.5540918889525293</v>
      </c>
      <c r="Z134" s="709">
        <f t="shared" si="22"/>
        <v>2619919.188233953</v>
      </c>
    </row>
    <row r="135" spans="2:26" x14ac:dyDescent="0.25">
      <c r="B135" s="37">
        <v>934</v>
      </c>
      <c r="C135" s="702" t="s">
        <v>397</v>
      </c>
      <c r="D135" s="706" t="s">
        <v>110</v>
      </c>
      <c r="E135" s="704">
        <v>496.12</v>
      </c>
      <c r="F135" s="704">
        <v>470.95</v>
      </c>
      <c r="G135" s="704"/>
      <c r="H135" s="704"/>
      <c r="I135" s="704"/>
      <c r="J135" s="704" t="s">
        <v>764</v>
      </c>
      <c r="K135" s="704">
        <v>1.25</v>
      </c>
      <c r="L135" s="705">
        <v>0.5</v>
      </c>
      <c r="M135" s="705">
        <v>0.98</v>
      </c>
      <c r="N135" s="704">
        <f t="shared" si="23"/>
        <v>303.87349999999998</v>
      </c>
      <c r="O135" s="707">
        <v>8100</v>
      </c>
      <c r="P135" s="708">
        <f t="shared" si="18"/>
        <v>3.7515246913580241E-2</v>
      </c>
      <c r="Q135" s="709">
        <v>1951500</v>
      </c>
      <c r="R135" s="709">
        <v>265680</v>
      </c>
      <c r="S135" s="709">
        <f t="shared" si="19"/>
        <v>1685820</v>
      </c>
      <c r="T135" s="709">
        <f t="shared" si="20"/>
        <v>63243.953551851846</v>
      </c>
      <c r="U135" s="709">
        <f t="shared" si="21"/>
        <v>31621.976775925923</v>
      </c>
      <c r="V135" s="724">
        <v>51.9739</v>
      </c>
      <c r="W135" s="724">
        <v>49.142800000000001</v>
      </c>
      <c r="X135" s="706"/>
      <c r="Y135" s="705">
        <f t="shared" si="15"/>
        <v>1.5540710926526526</v>
      </c>
      <c r="Z135" s="709">
        <f t="shared" si="22"/>
        <v>2619884.1294156951</v>
      </c>
    </row>
    <row r="136" spans="2:26" x14ac:dyDescent="0.25">
      <c r="B136" s="37">
        <v>937</v>
      </c>
      <c r="C136" s="702" t="s">
        <v>398</v>
      </c>
      <c r="D136" s="706" t="s">
        <v>110</v>
      </c>
      <c r="E136" s="704">
        <v>818.58</v>
      </c>
      <c r="F136" s="704">
        <v>820.38</v>
      </c>
      <c r="G136" s="704"/>
      <c r="H136" s="704"/>
      <c r="I136" s="704"/>
      <c r="J136" s="704" t="s">
        <v>764</v>
      </c>
      <c r="K136" s="704">
        <v>1.25</v>
      </c>
      <c r="L136" s="705">
        <v>0.35</v>
      </c>
      <c r="M136" s="705">
        <v>0.98</v>
      </c>
      <c r="N136" s="704">
        <f t="shared" si="23"/>
        <v>350.96617499999996</v>
      </c>
      <c r="O136" s="707">
        <v>8100</v>
      </c>
      <c r="P136" s="708">
        <f t="shared" si="18"/>
        <v>4.33291574074074E-2</v>
      </c>
      <c r="Q136" s="709">
        <v>1951500</v>
      </c>
      <c r="R136" s="709">
        <v>265680</v>
      </c>
      <c r="S136" s="709">
        <f t="shared" si="19"/>
        <v>1685820</v>
      </c>
      <c r="T136" s="709">
        <f t="shared" si="20"/>
        <v>73045.160140555541</v>
      </c>
      <c r="U136" s="709">
        <f t="shared" si="21"/>
        <v>36522.580070277771</v>
      </c>
      <c r="V136" s="724">
        <v>59.972299999999997</v>
      </c>
      <c r="W136" s="724">
        <v>56.758600000000001</v>
      </c>
      <c r="X136" s="706"/>
      <c r="Y136" s="705">
        <f t="shared" si="15"/>
        <v>1.5540687402364102</v>
      </c>
      <c r="Z136" s="709">
        <f t="shared" si="22"/>
        <v>2619880.1636653449</v>
      </c>
    </row>
    <row r="137" spans="2:26" x14ac:dyDescent="0.25">
      <c r="B137" s="37">
        <v>944</v>
      </c>
      <c r="C137" s="702" t="s">
        <v>399</v>
      </c>
      <c r="D137" s="706" t="s">
        <v>400</v>
      </c>
      <c r="E137" s="704">
        <v>168.56</v>
      </c>
      <c r="F137" s="704">
        <v>172.01</v>
      </c>
      <c r="G137" s="704"/>
      <c r="H137" s="704"/>
      <c r="I137" s="704"/>
      <c r="J137" s="704" t="s">
        <v>764</v>
      </c>
      <c r="K137" s="704">
        <v>1.25</v>
      </c>
      <c r="L137" s="705">
        <v>0.35</v>
      </c>
      <c r="M137" s="705">
        <v>0.98</v>
      </c>
      <c r="N137" s="704">
        <f t="shared" si="23"/>
        <v>72.270099999999985</v>
      </c>
      <c r="O137" s="707">
        <v>8100</v>
      </c>
      <c r="P137" s="708">
        <f t="shared" si="18"/>
        <v>8.9222345679012324E-3</v>
      </c>
      <c r="Q137" s="709">
        <v>1951500</v>
      </c>
      <c r="R137" s="709">
        <v>265680</v>
      </c>
      <c r="S137" s="709">
        <f t="shared" si="19"/>
        <v>1685820</v>
      </c>
      <c r="T137" s="709">
        <f t="shared" si="20"/>
        <v>15041.281479259256</v>
      </c>
      <c r="U137" s="709">
        <f t="shared" si="21"/>
        <v>7520.6407396296281</v>
      </c>
      <c r="V137" s="724">
        <v>12361.404</v>
      </c>
      <c r="W137" s="724">
        <v>11687.412</v>
      </c>
      <c r="X137" s="706"/>
      <c r="Y137" s="705">
        <f t="shared" si="24"/>
        <v>1.5540447156867614</v>
      </c>
      <c r="Z137" s="709">
        <f t="shared" si="22"/>
        <v>2619839.662599056</v>
      </c>
    </row>
    <row r="138" spans="2:26" x14ac:dyDescent="0.25">
      <c r="B138" s="37">
        <v>945</v>
      </c>
      <c r="C138" s="702" t="s">
        <v>399</v>
      </c>
      <c r="D138" s="706" t="s">
        <v>110</v>
      </c>
      <c r="E138" s="704"/>
      <c r="F138" s="704">
        <v>1202.83</v>
      </c>
      <c r="G138" s="704"/>
      <c r="H138" s="704">
        <v>1863.33</v>
      </c>
      <c r="I138" s="704"/>
      <c r="J138" s="704" t="s">
        <v>764</v>
      </c>
      <c r="K138" s="704"/>
      <c r="L138" s="705"/>
      <c r="M138" s="705"/>
      <c r="N138" s="706"/>
      <c r="O138" s="707"/>
      <c r="P138" s="708"/>
      <c r="Q138" s="709"/>
      <c r="R138" s="709"/>
      <c r="S138" s="709"/>
      <c r="T138" s="709"/>
      <c r="U138" s="709"/>
      <c r="V138" s="710"/>
      <c r="W138" s="710"/>
      <c r="X138" s="706"/>
      <c r="Y138" s="706"/>
      <c r="Z138" s="706"/>
    </row>
  </sheetData>
  <mergeCells count="2">
    <mergeCell ref="V65:W65"/>
    <mergeCell ref="F2:H2"/>
  </mergeCells>
  <phoneticPr fontId="5" type="noConversion"/>
  <pageMargins left="0.7" right="0.7" top="0.75" bottom="0.75" header="0.3" footer="0.3"/>
  <pageSetup orientation="portrait" horizontalDpi="300" verticalDpi="300"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E0404-B417-40CC-B100-7C8096F2738D}">
  <sheetPr>
    <tabColor theme="7" tint="0.39997558519241921"/>
  </sheetPr>
  <dimension ref="D7:U19"/>
  <sheetViews>
    <sheetView workbookViewId="0">
      <selection activeCell="M41" sqref="M41"/>
    </sheetView>
  </sheetViews>
  <sheetFormatPr defaultColWidth="9" defaultRowHeight="15.75" x14ac:dyDescent="0.25"/>
  <cols>
    <col min="4" max="12" width="9.85546875" customWidth="1"/>
    <col min="13" max="15" width="15.85546875" customWidth="1"/>
    <col min="16" max="18" width="9.85546875" customWidth="1"/>
  </cols>
  <sheetData>
    <row r="7" spans="4:21" x14ac:dyDescent="0.25">
      <c r="E7" s="887" t="s">
        <v>775</v>
      </c>
      <c r="F7" s="888"/>
      <c r="G7" s="888"/>
      <c r="H7" s="888"/>
      <c r="I7" s="888"/>
      <c r="J7" s="889"/>
      <c r="K7" s="890" t="s">
        <v>776</v>
      </c>
      <c r="L7" s="891"/>
      <c r="M7" s="887" t="s">
        <v>777</v>
      </c>
      <c r="N7" s="888"/>
      <c r="O7" s="889"/>
      <c r="P7" s="186" t="s">
        <v>778</v>
      </c>
    </row>
    <row r="8" spans="4:21" ht="47.25" x14ac:dyDescent="0.25">
      <c r="D8" s="173" t="s">
        <v>779</v>
      </c>
      <c r="E8" s="176" t="s">
        <v>780</v>
      </c>
      <c r="F8" s="174" t="s">
        <v>142</v>
      </c>
      <c r="G8" s="174" t="s">
        <v>751</v>
      </c>
      <c r="H8" s="174" t="s">
        <v>781</v>
      </c>
      <c r="I8" s="174" t="s">
        <v>782</v>
      </c>
      <c r="J8" s="175" t="s">
        <v>753</v>
      </c>
      <c r="K8" s="176" t="s">
        <v>783</v>
      </c>
      <c r="L8" s="175" t="s">
        <v>784</v>
      </c>
      <c r="M8" s="176" t="s">
        <v>756</v>
      </c>
      <c r="N8" s="174" t="s">
        <v>515</v>
      </c>
      <c r="O8" s="175" t="s">
        <v>757</v>
      </c>
      <c r="P8" s="177" t="s">
        <v>143</v>
      </c>
      <c r="Q8" s="174" t="s">
        <v>785</v>
      </c>
      <c r="R8" s="175" t="s">
        <v>786</v>
      </c>
      <c r="T8" s="170" t="s">
        <v>787</v>
      </c>
    </row>
    <row r="9" spans="4:21" ht="47.25" x14ac:dyDescent="0.25">
      <c r="D9" s="178" t="s">
        <v>788</v>
      </c>
      <c r="E9" s="179">
        <v>9.57</v>
      </c>
      <c r="F9" s="180">
        <v>6.09</v>
      </c>
      <c r="G9" s="181">
        <v>1</v>
      </c>
      <c r="H9" s="181">
        <v>0.98</v>
      </c>
      <c r="I9" s="182">
        <v>2</v>
      </c>
      <c r="J9" s="183">
        <f>+E9*F9*G9*H9/I9</f>
        <v>28.557836999999999</v>
      </c>
      <c r="K9" s="184">
        <v>8100</v>
      </c>
      <c r="L9" s="185">
        <f>+J9/K9</f>
        <v>3.5256588888888888E-3</v>
      </c>
      <c r="M9" s="187">
        <v>3103570</v>
      </c>
      <c r="N9" s="188">
        <v>422500</v>
      </c>
      <c r="O9" s="189">
        <f>+M9-N9</f>
        <v>2681070</v>
      </c>
      <c r="P9" s="190">
        <f>+T9</f>
        <v>9543.67</v>
      </c>
      <c r="Q9" s="172">
        <f>+L9*O9</f>
        <v>9452.5382772333323</v>
      </c>
      <c r="R9" s="172">
        <v>6001</v>
      </c>
      <c r="T9">
        <f>+FEE_1_In!G22</f>
        <v>9543.67</v>
      </c>
      <c r="U9" s="2">
        <f>+T9/R9</f>
        <v>1.590346608898517</v>
      </c>
    </row>
    <row r="10" spans="4:21" ht="31.5" x14ac:dyDescent="0.25">
      <c r="D10" s="178" t="s">
        <v>789</v>
      </c>
      <c r="E10" s="179">
        <v>6.72</v>
      </c>
      <c r="F10" s="180">
        <v>6.09</v>
      </c>
      <c r="G10" s="181">
        <v>1</v>
      </c>
      <c r="H10" s="181">
        <v>0.98</v>
      </c>
      <c r="I10" s="182">
        <v>2</v>
      </c>
      <c r="J10" s="183">
        <f>+E10*F10*G10*H10/I10</f>
        <v>20.053151999999997</v>
      </c>
      <c r="K10" s="184">
        <v>8100</v>
      </c>
      <c r="L10" s="185">
        <f>+J10/K10</f>
        <v>2.4756977777777773E-3</v>
      </c>
      <c r="M10" s="187">
        <v>3103570</v>
      </c>
      <c r="N10" s="188">
        <v>422500</v>
      </c>
      <c r="O10" s="189">
        <f>+M10-N10</f>
        <v>2681070</v>
      </c>
      <c r="P10" s="190">
        <f>+T10</f>
        <v>6701.09</v>
      </c>
      <c r="Q10" s="168">
        <f>+L10*O10</f>
        <v>6637.5190410666655</v>
      </c>
      <c r="R10" s="169">
        <v>4214</v>
      </c>
      <c r="T10">
        <f>+FEE_1_In!G23</f>
        <v>6701.09</v>
      </c>
    </row>
    <row r="11" spans="4:21" ht="47.25" x14ac:dyDescent="0.25">
      <c r="D11" s="178" t="s">
        <v>790</v>
      </c>
      <c r="E11" s="179">
        <v>15.65</v>
      </c>
      <c r="F11" s="180">
        <v>6.07</v>
      </c>
      <c r="G11" s="181">
        <v>0.88</v>
      </c>
      <c r="H11" s="181">
        <v>0.98</v>
      </c>
      <c r="I11" s="182">
        <v>2</v>
      </c>
      <c r="J11" s="183">
        <f>+E11*F11*G11*H11/I11</f>
        <v>40.962059600000003</v>
      </c>
      <c r="K11" s="184">
        <v>8100</v>
      </c>
      <c r="L11" s="185">
        <f>+J11/K11</f>
        <v>5.0570443950617291E-3</v>
      </c>
      <c r="M11" s="187">
        <v>3103570</v>
      </c>
      <c r="N11" s="188">
        <v>422500</v>
      </c>
      <c r="O11" s="189">
        <f>+M11-N11</f>
        <v>2681070</v>
      </c>
      <c r="P11" s="190">
        <f>+T11</f>
        <v>13259.2</v>
      </c>
      <c r="Q11" s="168">
        <f>+L11*O11</f>
        <v>13558.290016268151</v>
      </c>
      <c r="R11" s="169">
        <v>9778</v>
      </c>
      <c r="T11">
        <f>+FEE_1_In!G69</f>
        <v>13259.2</v>
      </c>
    </row>
    <row r="12" spans="4:21" ht="47.25" x14ac:dyDescent="0.25">
      <c r="D12" s="178" t="s">
        <v>791</v>
      </c>
      <c r="E12" s="179">
        <v>152.03</v>
      </c>
      <c r="F12" s="180">
        <v>2.2000000000000002</v>
      </c>
      <c r="G12" s="181">
        <v>0.26</v>
      </c>
      <c r="H12" s="181">
        <v>0.98</v>
      </c>
      <c r="I12" s="182">
        <v>2</v>
      </c>
      <c r="J12" s="183">
        <f>+E12*F12*G12*H12/I12</f>
        <v>42.610968400000004</v>
      </c>
      <c r="K12" s="184">
        <v>8100</v>
      </c>
      <c r="L12" s="185">
        <f>+J12/K12</f>
        <v>5.2606133827160497E-3</v>
      </c>
      <c r="M12" s="187">
        <v>3103570</v>
      </c>
      <c r="N12" s="188">
        <v>422500</v>
      </c>
      <c r="O12" s="189">
        <f>+M12-N12</f>
        <v>2681070</v>
      </c>
      <c r="P12" s="190">
        <f>+T12</f>
        <v>14048.1</v>
      </c>
      <c r="Q12" s="168">
        <f>+L12*O12</f>
        <v>14104.07272199852</v>
      </c>
      <c r="R12" s="169">
        <v>11821</v>
      </c>
      <c r="T12">
        <f>+FEE_1_In!G95</f>
        <v>14048.1</v>
      </c>
    </row>
    <row r="14" spans="4:21" x14ac:dyDescent="0.25">
      <c r="M14" s="169">
        <v>1951500</v>
      </c>
      <c r="N14" s="171">
        <f>+N9/M9</f>
        <v>0.13613354942856129</v>
      </c>
      <c r="O14" s="169">
        <v>1685820</v>
      </c>
      <c r="P14" s="169"/>
    </row>
    <row r="15" spans="4:21" x14ac:dyDescent="0.25">
      <c r="O15">
        <f>+O14*U9</f>
        <v>2681038.1202132977</v>
      </c>
    </row>
    <row r="16" spans="4:21" x14ac:dyDescent="0.25">
      <c r="N16">
        <v>0.1361</v>
      </c>
    </row>
    <row r="18" spans="14:14" x14ac:dyDescent="0.25">
      <c r="N18" s="171">
        <f>+N10/O10</f>
        <v>0.15758633679836781</v>
      </c>
    </row>
    <row r="19" spans="14:14" x14ac:dyDescent="0.25">
      <c r="N19">
        <v>0.15759999999999999</v>
      </c>
    </row>
  </sheetData>
  <mergeCells count="3">
    <mergeCell ref="E7:J7"/>
    <mergeCell ref="K7:L7"/>
    <mergeCell ref="M7:O7"/>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B584F-3019-4DFB-BC5F-A76EEC03E304}">
  <sheetPr>
    <tabColor theme="7" tint="0.39997558519241921"/>
  </sheetPr>
  <dimension ref="A1:AE82"/>
  <sheetViews>
    <sheetView workbookViewId="0">
      <selection activeCell="F10" sqref="F10:I10"/>
    </sheetView>
  </sheetViews>
  <sheetFormatPr defaultColWidth="9" defaultRowHeight="15.75" x14ac:dyDescent="0.25"/>
  <cols>
    <col min="1" max="3" width="9" style="467"/>
    <col min="4" max="4" width="13.5703125" style="467" customWidth="1"/>
    <col min="5" max="5" width="11.140625" style="467" customWidth="1"/>
    <col min="6" max="16384" width="9" style="467"/>
  </cols>
  <sheetData>
    <row r="1" spans="1:31" s="892" customFormat="1" ht="33" customHeight="1" x14ac:dyDescent="0.25">
      <c r="A1" s="892" t="s">
        <v>792</v>
      </c>
    </row>
    <row r="2" spans="1:31" x14ac:dyDescent="0.25">
      <c r="I2" s="654"/>
      <c r="P2" s="654"/>
      <c r="W2" s="654"/>
    </row>
    <row r="3" spans="1:31" x14ac:dyDescent="0.25">
      <c r="C3" s="467" t="s">
        <v>793</v>
      </c>
      <c r="D3" s="653"/>
      <c r="E3" s="653"/>
      <c r="F3" s="653"/>
      <c r="G3" s="653"/>
      <c r="H3" s="653"/>
      <c r="I3" s="655"/>
      <c r="K3" s="653" t="s">
        <v>794</v>
      </c>
      <c r="L3" s="653"/>
      <c r="M3" s="653"/>
      <c r="N3" s="653"/>
      <c r="O3" s="653"/>
      <c r="P3" s="655"/>
      <c r="R3" s="653" t="s">
        <v>795</v>
      </c>
      <c r="S3" s="653"/>
      <c r="T3" s="653"/>
      <c r="U3" s="653"/>
      <c r="V3" s="653"/>
      <c r="W3" s="655"/>
      <c r="Y3" s="653" t="s">
        <v>796</v>
      </c>
      <c r="Z3" s="653"/>
      <c r="AA3" s="653"/>
      <c r="AB3" s="653"/>
      <c r="AC3" s="653"/>
      <c r="AD3" s="655"/>
      <c r="AE3" s="654"/>
    </row>
    <row r="4" spans="1:31" x14ac:dyDescent="0.25">
      <c r="D4" s="653"/>
      <c r="E4" s="653" t="s">
        <v>797</v>
      </c>
      <c r="F4" s="653" t="s">
        <v>119</v>
      </c>
      <c r="G4" s="653" t="s">
        <v>61</v>
      </c>
      <c r="H4" s="653" t="s">
        <v>798</v>
      </c>
      <c r="I4" s="655" t="s">
        <v>799</v>
      </c>
      <c r="K4" s="653"/>
      <c r="L4" s="653" t="s">
        <v>797</v>
      </c>
      <c r="M4" s="653" t="s">
        <v>119</v>
      </c>
      <c r="N4" s="653" t="s">
        <v>61</v>
      </c>
      <c r="O4" s="653" t="s">
        <v>798</v>
      </c>
      <c r="P4" s="655" t="s">
        <v>799</v>
      </c>
      <c r="R4" s="653"/>
      <c r="S4" s="653" t="s">
        <v>797</v>
      </c>
      <c r="T4" s="653" t="s">
        <v>119</v>
      </c>
      <c r="U4" s="653" t="s">
        <v>61</v>
      </c>
      <c r="V4" s="653" t="s">
        <v>798</v>
      </c>
      <c r="W4" s="655" t="s">
        <v>799</v>
      </c>
      <c r="Y4" s="653"/>
      <c r="Z4" s="653" t="s">
        <v>797</v>
      </c>
      <c r="AA4" s="653" t="s">
        <v>119</v>
      </c>
      <c r="AB4" s="653" t="s">
        <v>61</v>
      </c>
      <c r="AC4" s="653" t="s">
        <v>798</v>
      </c>
      <c r="AD4" s="655" t="s">
        <v>799</v>
      </c>
      <c r="AE4" s="654"/>
    </row>
    <row r="5" spans="1:31" x14ac:dyDescent="0.25">
      <c r="D5" s="653" t="s">
        <v>501</v>
      </c>
      <c r="E5" s="475">
        <f>+FEE_1_In!G22</f>
        <v>9543.67</v>
      </c>
      <c r="F5" s="475">
        <f>+FEE_ByContextArea_ByMode!I24</f>
        <v>7843.4177405852297</v>
      </c>
      <c r="G5" s="475">
        <f>+FEE_ByContextArea_ByMode!J24</f>
        <v>1584.0785281900839</v>
      </c>
      <c r="H5" s="475">
        <f>+FEE_ByContextArea_ByMode!K24</f>
        <v>110.50661530115225</v>
      </c>
      <c r="I5" s="656">
        <f t="shared" ref="I5:I12" si="0">SUM(F5:H5)</f>
        <v>9538.0028840764662</v>
      </c>
      <c r="K5" s="653" t="s">
        <v>501</v>
      </c>
      <c r="L5" s="475">
        <f>+FEE_1_In!G23</f>
        <v>6701.09</v>
      </c>
      <c r="M5" s="475">
        <f>+FEE_ByContextArea_ByMode!I25</f>
        <v>6081.9722310470224</v>
      </c>
      <c r="N5" s="475">
        <f>+FEE_ByContextArea_ByMode!J25</f>
        <v>1228.3320790626501</v>
      </c>
      <c r="O5" s="475">
        <f>+FEE_ByContextArea_ByMode!K25</f>
        <v>85.689451695385017</v>
      </c>
      <c r="P5" s="656">
        <f t="shared" ref="P5:P12" si="1">SUM(M5:O5)</f>
        <v>7395.9937618050581</v>
      </c>
      <c r="R5" s="653" t="s">
        <v>501</v>
      </c>
      <c r="S5" s="475">
        <f>+FEE_ByContextArea_ByMode!G71</f>
        <v>13259.2</v>
      </c>
      <c r="T5" s="475">
        <f>+FEE_ByContextArea_ByMode!I71</f>
        <v>9581.8028319390942</v>
      </c>
      <c r="U5" s="475">
        <f>+FEE_ByContextArea_ByMode!J71</f>
        <v>3258.5317003895379</v>
      </c>
      <c r="V5" s="475">
        <f>+FEE_ByContextArea_ByMode!K71</f>
        <v>204.72483355632085</v>
      </c>
      <c r="W5" s="656">
        <f t="shared" ref="W5:W12" si="2">SUM(T5:V5)</f>
        <v>13045.059365884954</v>
      </c>
      <c r="Y5" s="653" t="s">
        <v>501</v>
      </c>
      <c r="Z5" s="475">
        <f>+FEE_ByContextArea_ByMode!G97</f>
        <v>14048.1</v>
      </c>
      <c r="AA5" s="475">
        <f>+FEE_ByContextArea_ByMode!I97</f>
        <v>6216.8792775624906</v>
      </c>
      <c r="AB5" s="475">
        <f>+FEE_ByContextArea_ByMode!J97</f>
        <v>2114.2052867030811</v>
      </c>
      <c r="AC5" s="475">
        <f>+FEE_ByContextArea_ByMode!K97</f>
        <v>132.82986486595775</v>
      </c>
      <c r="AD5" s="657">
        <f t="shared" ref="AD5:AD12" si="3">SUM(AA5:AC5)</f>
        <v>8463.9144291315297</v>
      </c>
      <c r="AE5" s="654"/>
    </row>
    <row r="6" spans="1:31" x14ac:dyDescent="0.25">
      <c r="D6" s="653" t="s">
        <v>502</v>
      </c>
      <c r="E6" s="475">
        <f>+E5</f>
        <v>9543.67</v>
      </c>
      <c r="F6" s="475">
        <f>+FEE_ByContextArea_ByMode!M24</f>
        <v>8623.2698278700536</v>
      </c>
      <c r="G6" s="475">
        <f>+FEE_ByContextArea_ByMode!N24</f>
        <v>1706.5044396130345</v>
      </c>
      <c r="H6" s="475">
        <f>+FEE_ByContextArea_ByMode!O24</f>
        <v>73.462901705404533</v>
      </c>
      <c r="I6" s="656">
        <f t="shared" si="0"/>
        <v>10403.237169188493</v>
      </c>
      <c r="K6" s="653" t="s">
        <v>502</v>
      </c>
      <c r="L6" s="475">
        <f>+L5</f>
        <v>6701.09</v>
      </c>
      <c r="M6" s="475">
        <f>+FEE_ByContextArea_ByMode!M25</f>
        <v>6686.6880444924582</v>
      </c>
      <c r="N6" s="475">
        <f>+FEE_ByContextArea_ByMode!N25</f>
        <v>1323.2640358016329</v>
      </c>
      <c r="O6" s="475">
        <f>+FEE_ByContextArea_ByMode!O25</f>
        <v>56.964877169868785</v>
      </c>
      <c r="P6" s="656">
        <f t="shared" si="1"/>
        <v>8066.91695746396</v>
      </c>
      <c r="R6" s="653" t="s">
        <v>502</v>
      </c>
      <c r="S6" s="475">
        <f>+S5</f>
        <v>13259.2</v>
      </c>
      <c r="T6" s="475">
        <f>+FEE_ByContextArea_ByMode!M71</f>
        <v>12867.107939220752</v>
      </c>
      <c r="U6" s="475">
        <f>+FEE_ByContextArea_ByMode!N71</f>
        <v>2539.0502810276685</v>
      </c>
      <c r="V6" s="475">
        <f>+FEE_ByContextArea_ByMode!O71</f>
        <v>109.70941100037857</v>
      </c>
      <c r="W6" s="656">
        <f t="shared" si="2"/>
        <v>15515.867631248799</v>
      </c>
      <c r="Y6" s="653" t="s">
        <v>502</v>
      </c>
      <c r="Z6" s="475">
        <f>+Z5</f>
        <v>14048.1</v>
      </c>
      <c r="AA6" s="475">
        <f>+FEE_ByContextArea_ByMode!M97</f>
        <v>8348.4557251438291</v>
      </c>
      <c r="AB6" s="475">
        <f>+FEE_ByContextArea_ByMode!N97</f>
        <v>1647.3903036487011</v>
      </c>
      <c r="AC6" s="475">
        <f>+FEE_ByContextArea_ByMode!O97</f>
        <v>71.181819931459771</v>
      </c>
      <c r="AD6" s="657">
        <f t="shared" si="3"/>
        <v>10067.02784872399</v>
      </c>
      <c r="AE6" s="654"/>
    </row>
    <row r="7" spans="1:31" x14ac:dyDescent="0.25">
      <c r="D7" s="653" t="s">
        <v>503</v>
      </c>
      <c r="E7" s="475">
        <f t="shared" ref="E7:E12" si="4">+E6</f>
        <v>9543.67</v>
      </c>
      <c r="F7" s="475">
        <f>+FEE_ByContextArea_ByMode!Q24</f>
        <v>9218.4896179009975</v>
      </c>
      <c r="G7" s="649">
        <f>+FEE_ByContextArea_ByMode!R24</f>
        <v>975.91493004221707</v>
      </c>
      <c r="H7" s="649">
        <f>+FEE_ByContextArea_ByMode!S24</f>
        <v>44.474496941823112</v>
      </c>
      <c r="I7" s="656">
        <f t="shared" si="0"/>
        <v>10238.879044885038</v>
      </c>
      <c r="K7" s="653" t="s">
        <v>503</v>
      </c>
      <c r="L7" s="475">
        <f t="shared" ref="L7:L12" si="5">+L6</f>
        <v>6701.09</v>
      </c>
      <c r="M7" s="475">
        <f>+FEE_ByContextArea_ByMode!Q25</f>
        <v>7148.2355935418755</v>
      </c>
      <c r="N7" s="475">
        <f>+FEE_ByContextArea_ByMode!R25</f>
        <v>756.74759405815985</v>
      </c>
      <c r="O7" s="475">
        <f>+FEE_ByContextArea_ByMode!S25</f>
        <v>34.486580255735724</v>
      </c>
      <c r="P7" s="656">
        <f t="shared" si="1"/>
        <v>7939.4697678557714</v>
      </c>
      <c r="R7" s="653" t="s">
        <v>503</v>
      </c>
      <c r="S7" s="475">
        <f t="shared" ref="S7:S12" si="6">+S6</f>
        <v>13259.2</v>
      </c>
      <c r="T7" s="475">
        <f>+FEE_ByContextArea_ByMode!Q71</f>
        <v>13881.405656956053</v>
      </c>
      <c r="U7" s="475">
        <f>+FEE_ByContextArea_ByMode!R71</f>
        <v>1485.8622356916092</v>
      </c>
      <c r="V7" s="475">
        <f>+FEE_ByContextArea_ByMode!S71</f>
        <v>66.708731190167327</v>
      </c>
      <c r="W7" s="656">
        <f t="shared" si="2"/>
        <v>15433.976623837829</v>
      </c>
      <c r="Y7" s="653" t="s">
        <v>503</v>
      </c>
      <c r="Z7" s="475">
        <f t="shared" ref="Z7:Z12" si="7">+Z6</f>
        <v>14048.1</v>
      </c>
      <c r="AA7" s="475">
        <f>+FEE_ByContextArea_ByMode!Q97</f>
        <v>9006.553848562573</v>
      </c>
      <c r="AB7" s="475">
        <f>+FEE_ByContextArea_ByMode!R97</f>
        <v>964.05930119879497</v>
      </c>
      <c r="AC7" s="475">
        <f>+FEE_ByContextArea_ByMode!S97</f>
        <v>43.282056189493709</v>
      </c>
      <c r="AD7" s="657">
        <f t="shared" si="3"/>
        <v>10013.895205950861</v>
      </c>
      <c r="AE7" s="654"/>
    </row>
    <row r="8" spans="1:31" x14ac:dyDescent="0.25">
      <c r="D8" s="653" t="s">
        <v>504</v>
      </c>
      <c r="E8" s="475">
        <f t="shared" si="4"/>
        <v>9543.67</v>
      </c>
      <c r="F8" s="475">
        <f>+FEE_ByContextArea_ByMode!U24</f>
        <v>7980.1108238479956</v>
      </c>
      <c r="G8" s="475">
        <f>+FEE_ByContextArea_ByMode!V24</f>
        <v>1527.5477625441074</v>
      </c>
      <c r="H8" s="475">
        <f>+FEE_ByContextArea_ByMode!W24</f>
        <v>42.390266636781412</v>
      </c>
      <c r="I8" s="656">
        <f t="shared" si="0"/>
        <v>9550.048853028884</v>
      </c>
      <c r="K8" s="653" t="s">
        <v>504</v>
      </c>
      <c r="L8" s="475">
        <f t="shared" si="5"/>
        <v>6701.09</v>
      </c>
      <c r="M8" s="475">
        <f>+FEE_ByContextArea_ByMode!U25</f>
        <v>6187.9672913736586</v>
      </c>
      <c r="N8" s="475">
        <f>+FEE_ByContextArea_ByMode!V25</f>
        <v>1184.4967819727617</v>
      </c>
      <c r="O8" s="475">
        <f>+FEE_ByContextArea_ByMode!W25</f>
        <v>32.870418620894064</v>
      </c>
      <c r="P8" s="656">
        <f t="shared" si="1"/>
        <v>7405.3344919673145</v>
      </c>
      <c r="R8" s="653" t="s">
        <v>504</v>
      </c>
      <c r="S8" s="475">
        <f t="shared" si="6"/>
        <v>13259.2</v>
      </c>
      <c r="T8" s="475">
        <f>+FEE_ByContextArea_ByMode!U71</f>
        <v>12056.609100881562</v>
      </c>
      <c r="U8" s="475">
        <f>+FEE_ByContextArea_ByMode!V71</f>
        <v>2367.3360263092295</v>
      </c>
      <c r="V8" s="475">
        <f>+FEE_ByContextArea_ByMode!W71</f>
        <v>63.952376738651857</v>
      </c>
      <c r="W8" s="656">
        <f t="shared" si="2"/>
        <v>14487.897503929444</v>
      </c>
      <c r="Y8" s="653" t="s">
        <v>504</v>
      </c>
      <c r="Z8" s="475">
        <f t="shared" si="7"/>
        <v>14048.1</v>
      </c>
      <c r="AA8" s="475">
        <f>+FEE_ByContextArea_ByMode!U97</f>
        <v>7822.5866876633681</v>
      </c>
      <c r="AB8" s="475">
        <f>+FEE_ByContextArea_ByMode!V97</f>
        <v>1535.9784106526613</v>
      </c>
      <c r="AC8" s="475">
        <f>+FEE_ByContextArea_ByMode!W97</f>
        <v>41.493674277258535</v>
      </c>
      <c r="AD8" s="657">
        <f t="shared" si="3"/>
        <v>9400.0587725932892</v>
      </c>
      <c r="AE8" s="654"/>
    </row>
    <row r="9" spans="1:31" x14ac:dyDescent="0.25">
      <c r="D9" s="653" t="s">
        <v>505</v>
      </c>
      <c r="E9" s="658">
        <f t="shared" si="4"/>
        <v>9543.67</v>
      </c>
      <c r="F9" s="658">
        <f>+FEE_ByContextArea_ByMode!Y24</f>
        <v>6214.0811735644793</v>
      </c>
      <c r="G9" s="658">
        <f>+FEE_ByContextArea_ByMode!Z24</f>
        <v>843.80543038227972</v>
      </c>
      <c r="H9" s="658">
        <f>+FEE_ByContextArea_ByMode!AA24</f>
        <v>136.53711208930599</v>
      </c>
      <c r="I9" s="656">
        <f t="shared" si="0"/>
        <v>7194.4237160360653</v>
      </c>
      <c r="K9" s="653" t="s">
        <v>505</v>
      </c>
      <c r="L9" s="658">
        <f t="shared" si="5"/>
        <v>6701.09</v>
      </c>
      <c r="M9" s="658">
        <f>+FEE_ByContextArea_ByMode!Y25</f>
        <v>4818.5459947555082</v>
      </c>
      <c r="N9" s="658">
        <f>+FEE_ByContextArea_ByMode!Z25</f>
        <v>654.3067532201577</v>
      </c>
      <c r="O9" s="658">
        <f>+FEE_ByContextArea_ByMode!AA25</f>
        <v>105.87411657772459</v>
      </c>
      <c r="P9" s="656">
        <f t="shared" si="1"/>
        <v>5578.7268645533904</v>
      </c>
      <c r="R9" s="653" t="s">
        <v>505</v>
      </c>
      <c r="S9" s="658">
        <f t="shared" si="6"/>
        <v>13259.2</v>
      </c>
      <c r="T9" s="658">
        <f>+FEE_ByContextArea_ByMode!Y71</f>
        <v>11307.487933628559</v>
      </c>
      <c r="U9" s="658">
        <f>+FEE_ByContextArea_ByMode!Z71</f>
        <v>885.70137161552498</v>
      </c>
      <c r="V9" s="658">
        <f>+FEE_ByContextArea_ByMode!AA71</f>
        <v>163.82651898669513</v>
      </c>
      <c r="W9" s="656">
        <f t="shared" si="2"/>
        <v>12357.015824230779</v>
      </c>
      <c r="Y9" s="653" t="s">
        <v>505</v>
      </c>
      <c r="Z9" s="658">
        <f t="shared" si="7"/>
        <v>14048.1</v>
      </c>
      <c r="AA9" s="658">
        <f>+FEE_ByContextArea_ByMode!Y97</f>
        <v>7336.540800186458</v>
      </c>
      <c r="AB9" s="658">
        <f>+FEE_ByContextArea_ByMode!Z97</f>
        <v>574.66205471803767</v>
      </c>
      <c r="AC9" s="658">
        <f>+FEE_ByContextArea_ByMode!AA97</f>
        <v>106.29416080329307</v>
      </c>
      <c r="AD9" s="657">
        <f t="shared" si="3"/>
        <v>8017.4970157077887</v>
      </c>
      <c r="AE9" s="654"/>
    </row>
    <row r="10" spans="1:31" x14ac:dyDescent="0.25">
      <c r="D10" s="653" t="s">
        <v>506</v>
      </c>
      <c r="E10" s="475">
        <f t="shared" si="4"/>
        <v>9543.67</v>
      </c>
      <c r="F10" s="475">
        <f>+FEE_ByContextArea_ByMode!AC24</f>
        <v>8549.2101811085904</v>
      </c>
      <c r="G10" s="475">
        <f>+FEE_ByContextArea_ByMode!AD24</f>
        <v>433.83739163209788</v>
      </c>
      <c r="H10" s="475">
        <f>+FEE_ByContextArea_ByMode!AE24</f>
        <v>70.17684694915144</v>
      </c>
      <c r="I10" s="656">
        <f t="shared" si="0"/>
        <v>9053.2244196898391</v>
      </c>
      <c r="K10" s="653" t="s">
        <v>506</v>
      </c>
      <c r="L10" s="475">
        <f t="shared" si="5"/>
        <v>6701.09</v>
      </c>
      <c r="M10" s="475">
        <f>+FEE_ByContextArea_ByMode!AC25</f>
        <v>6629.2604370460704</v>
      </c>
      <c r="N10" s="475">
        <f>+FEE_ByContextArea_ByMode!AD25</f>
        <v>336.40780791810988</v>
      </c>
      <c r="O10" s="475">
        <f>+FEE_ByContextArea_ByMode!AE25</f>
        <v>54.416792337689479</v>
      </c>
      <c r="P10" s="656">
        <f t="shared" si="1"/>
        <v>7020.0850373018702</v>
      </c>
      <c r="R10" s="653" t="s">
        <v>506</v>
      </c>
      <c r="S10" s="475">
        <f t="shared" si="6"/>
        <v>13259.2</v>
      </c>
      <c r="T10" s="475">
        <f>+FEE_ByContextArea_ByMode!AC71</f>
        <v>12776.019333675631</v>
      </c>
      <c r="U10" s="475">
        <f>+FEE_ByContextArea_ByMode!AD71</f>
        <v>648.00036339396343</v>
      </c>
      <c r="V10" s="475">
        <f>+FEE_ByContextArea_ByMode!AE71</f>
        <v>105.48819702380446</v>
      </c>
      <c r="W10" s="656">
        <f t="shared" si="2"/>
        <v>13529.507894093398</v>
      </c>
      <c r="Y10" s="653" t="s">
        <v>506</v>
      </c>
      <c r="Z10" s="475">
        <f t="shared" si="7"/>
        <v>14048.1</v>
      </c>
      <c r="AA10" s="475">
        <f>+FEE_ByContextArea_ByMode!AC97</f>
        <v>8289.3554833450817</v>
      </c>
      <c r="AB10" s="475">
        <f>+FEE_ByContextArea_ByMode!AD97</f>
        <v>420.43654014759443</v>
      </c>
      <c r="AC10" s="475">
        <f>+FEE_ByContextArea_ByMode!AE97</f>
        <v>68.443005727347199</v>
      </c>
      <c r="AD10" s="657">
        <f t="shared" si="3"/>
        <v>8778.2350292200244</v>
      </c>
      <c r="AE10" s="654"/>
    </row>
    <row r="11" spans="1:31" x14ac:dyDescent="0.25">
      <c r="D11" s="653" t="s">
        <v>507</v>
      </c>
      <c r="E11" s="475">
        <f t="shared" si="4"/>
        <v>9543.67</v>
      </c>
      <c r="F11" s="475">
        <f>+FEE_ByContextArea_ByMode!AG24</f>
        <v>9487.733920890234</v>
      </c>
      <c r="G11" s="475">
        <f>+FEE_ByContextArea_ByMode!AH24</f>
        <v>429.36138614072826</v>
      </c>
      <c r="H11" s="475">
        <f>+FEE_ByContextArea_ByMode!AI24</f>
        <v>41.181568454185559</v>
      </c>
      <c r="I11" s="656">
        <f t="shared" si="0"/>
        <v>9958.2768754851477</v>
      </c>
      <c r="K11" s="653" t="s">
        <v>507</v>
      </c>
      <c r="L11" s="475">
        <f t="shared" si="5"/>
        <v>6701.09</v>
      </c>
      <c r="M11" s="475">
        <f>+FEE_ByContextArea_ByMode!AG25</f>
        <v>7357.0140149275985</v>
      </c>
      <c r="N11" s="475">
        <f>+FEE_ByContextArea_ByMode!AH25</f>
        <v>332.93700704980205</v>
      </c>
      <c r="O11" s="475">
        <f>+FEE_ByContextArea_ByMode!AI25</f>
        <v>31.93316536913542</v>
      </c>
      <c r="P11" s="656">
        <f t="shared" si="1"/>
        <v>7721.8841873465353</v>
      </c>
      <c r="R11" s="653" t="s">
        <v>507</v>
      </c>
      <c r="S11" s="475">
        <f t="shared" si="6"/>
        <v>13259.2</v>
      </c>
      <c r="T11" s="475">
        <f>+FEE_ByContextArea_ByMode!AG71</f>
        <v>14211.781616053475</v>
      </c>
      <c r="U11" s="475">
        <f>+FEE_ByContextArea_ByMode!AH71</f>
        <v>645.30449782889559</v>
      </c>
      <c r="V11" s="475">
        <f>+FEE_ByContextArea_ByMode!AI71</f>
        <v>61.597345057530191</v>
      </c>
      <c r="W11" s="656">
        <f t="shared" si="2"/>
        <v>14918.6834589399</v>
      </c>
      <c r="Y11" s="653" t="s">
        <v>507</v>
      </c>
      <c r="Z11" s="475">
        <f t="shared" si="7"/>
        <v>14048.1</v>
      </c>
      <c r="AA11" s="475">
        <f>+FEE_ByContextArea_ByMode!AG97</f>
        <v>9220.908859821131</v>
      </c>
      <c r="AB11" s="475">
        <f>+FEE_ByContextArea_ByMode!AH97</f>
        <v>418.68740472281837</v>
      </c>
      <c r="AC11" s="475">
        <f>+FEE_ByContextArea_ByMode!AI97</f>
        <v>39.965679189782335</v>
      </c>
      <c r="AD11" s="657">
        <f t="shared" si="3"/>
        <v>9679.56194373373</v>
      </c>
      <c r="AE11" s="654"/>
    </row>
    <row r="12" spans="1:31" x14ac:dyDescent="0.25">
      <c r="D12" s="653" t="s">
        <v>508</v>
      </c>
      <c r="E12" s="475">
        <f t="shared" si="4"/>
        <v>9543.67</v>
      </c>
      <c r="F12" s="475">
        <f>+FEE_ByContextArea_ByMode!AK24</f>
        <v>9787.1888099722273</v>
      </c>
      <c r="G12" s="475">
        <f>+FEE_ByContextArea_ByMode!AL24</f>
        <v>607.34970997571668</v>
      </c>
      <c r="H12" s="475">
        <f>+FEE_ByContextArea_ByMode!AM24</f>
        <v>38.850955490641837</v>
      </c>
      <c r="I12" s="656">
        <f t="shared" si="0"/>
        <v>10433.389475438586</v>
      </c>
      <c r="K12" s="653" t="s">
        <v>508</v>
      </c>
      <c r="L12" s="475">
        <f t="shared" si="5"/>
        <v>6701.09</v>
      </c>
      <c r="M12" s="475">
        <f>+FEE_ByContextArea_ByMode!AK25</f>
        <v>7589.2184416310083</v>
      </c>
      <c r="N12" s="475">
        <f>+FEE_ByContextArea_ByMode!AL25</f>
        <v>470.95337680320415</v>
      </c>
      <c r="O12" s="475">
        <f>+FEE_ByContextArea_ByMode!AM25</f>
        <v>30.125952774523125</v>
      </c>
      <c r="P12" s="656">
        <f t="shared" si="1"/>
        <v>8090.2977712087359</v>
      </c>
      <c r="R12" s="653" t="s">
        <v>508</v>
      </c>
      <c r="S12" s="475">
        <f t="shared" si="6"/>
        <v>13259.2</v>
      </c>
      <c r="T12" s="475">
        <f>+FEE_ByContextArea_ByMode!AK71</f>
        <v>14637.596087912672</v>
      </c>
      <c r="U12" s="475">
        <f>+FEE_ByContextArea_ByMode!AL71</f>
        <v>935.93426620655282</v>
      </c>
      <c r="V12" s="475">
        <f>+FEE_ByContextArea_ByMode!AM71</f>
        <v>58.021850915086219</v>
      </c>
      <c r="W12" s="656">
        <f t="shared" si="2"/>
        <v>15631.552205034312</v>
      </c>
      <c r="Y12" s="653" t="s">
        <v>508</v>
      </c>
      <c r="Z12" s="475">
        <f t="shared" si="7"/>
        <v>14048.1</v>
      </c>
      <c r="AA12" s="475">
        <f>+FEE_ByContextArea_ByMode!AK97</f>
        <v>9497.1864260181337</v>
      </c>
      <c r="AB12" s="475">
        <f>+FEE_ByContextArea_ByMode!AL97</f>
        <v>607.25423459403942</v>
      </c>
      <c r="AC12" s="475">
        <f>+FEE_ByContextArea_ByMode!AM97</f>
        <v>37.645821869496864</v>
      </c>
      <c r="AD12" s="657">
        <f t="shared" si="3"/>
        <v>10142.086482481671</v>
      </c>
      <c r="AE12" s="654"/>
    </row>
    <row r="13" spans="1:31" x14ac:dyDescent="0.25">
      <c r="I13" s="654"/>
      <c r="P13" s="654"/>
      <c r="W13" s="654"/>
      <c r="AD13" s="654"/>
      <c r="AE13" s="654"/>
    </row>
    <row r="14" spans="1:31" x14ac:dyDescent="0.25">
      <c r="P14" s="654"/>
      <c r="W14" s="654"/>
      <c r="AD14" s="654"/>
      <c r="AE14" s="654"/>
    </row>
    <row r="15" spans="1:31" x14ac:dyDescent="0.25">
      <c r="P15" s="654"/>
    </row>
    <row r="70" spans="3:20" x14ac:dyDescent="0.25">
      <c r="C70" s="650"/>
      <c r="D70" s="650"/>
      <c r="E70" s="650" t="s">
        <v>800</v>
      </c>
      <c r="F70" s="650"/>
      <c r="G70" s="650" t="s">
        <v>801</v>
      </c>
      <c r="H70" s="650"/>
    </row>
    <row r="71" spans="3:20" x14ac:dyDescent="0.25">
      <c r="C71" s="650" t="str">
        <f>RoadCapCost!A11</f>
        <v xml:space="preserve">  Class II arterial add 2 lanes</v>
      </c>
      <c r="D71" s="650"/>
      <c r="E71" s="650" t="s">
        <v>521</v>
      </c>
      <c r="F71" s="650" t="s">
        <v>520</v>
      </c>
      <c r="G71" s="650" t="s">
        <v>521</v>
      </c>
      <c r="H71" s="650" t="s">
        <v>518</v>
      </c>
    </row>
    <row r="72" spans="3:20" x14ac:dyDescent="0.25">
      <c r="C72" s="650"/>
      <c r="D72" s="651" t="s">
        <v>102</v>
      </c>
      <c r="E72" s="651" t="str">
        <f>RoadCapCost!Q11</f>
        <v>E</v>
      </c>
      <c r="F72" s="224">
        <f>RoadCapCost!T11</f>
        <v>402.63157894736844</v>
      </c>
      <c r="G72" s="651" t="str">
        <f>RoadCapCost!AH11</f>
        <v>E</v>
      </c>
      <c r="H72" s="224">
        <f>RoadCapCost!AJ11</f>
        <v>402.63157894736844</v>
      </c>
      <c r="I72" s="652"/>
      <c r="J72" s="652"/>
      <c r="K72" s="652"/>
      <c r="L72" s="652"/>
      <c r="M72" s="652"/>
      <c r="N72" s="652"/>
      <c r="O72" s="652"/>
      <c r="Q72" s="652"/>
      <c r="R72" s="652"/>
      <c r="S72" s="652"/>
      <c r="T72" s="652"/>
    </row>
    <row r="73" spans="3:20" x14ac:dyDescent="0.25">
      <c r="C73" s="650"/>
      <c r="D73" s="651" t="s">
        <v>103</v>
      </c>
      <c r="E73" s="651" t="str">
        <f>RoadCapCost!U11</f>
        <v>E</v>
      </c>
      <c r="F73" s="224">
        <f>RoadCapCost!X11</f>
        <v>402.63157894736844</v>
      </c>
      <c r="G73" s="651" t="str">
        <f>RoadCapCost!AL11</f>
        <v>E</v>
      </c>
      <c r="H73" s="224">
        <f>RoadCapCost!AN11</f>
        <v>402.63157894736844</v>
      </c>
    </row>
    <row r="74" spans="3:20" x14ac:dyDescent="0.25">
      <c r="C74" s="650"/>
      <c r="D74" s="651" t="s">
        <v>104</v>
      </c>
      <c r="E74" s="651" t="str">
        <f>RoadCapCost!Y11</f>
        <v>E</v>
      </c>
      <c r="F74" s="224">
        <f>RoadCapCost!AB11</f>
        <v>402.63157894736844</v>
      </c>
      <c r="G74" s="651" t="str">
        <f>RoadCapCost!AP11</f>
        <v>E</v>
      </c>
      <c r="H74" s="224">
        <f>RoadCapCost!AR11</f>
        <v>402.63157894736844</v>
      </c>
    </row>
    <row r="75" spans="3:20" x14ac:dyDescent="0.25">
      <c r="C75" s="650"/>
      <c r="D75" s="651" t="s">
        <v>105</v>
      </c>
      <c r="E75" s="651" t="str">
        <f>RoadCapCost!AC11</f>
        <v>E</v>
      </c>
      <c r="F75" s="224">
        <f>RoadCapCost!AF11</f>
        <v>402.63157894736844</v>
      </c>
      <c r="G75" s="651" t="str">
        <f>RoadCapCost!AT11</f>
        <v>E</v>
      </c>
      <c r="H75" s="224">
        <f>RoadCapCost!AV11</f>
        <v>402.63157894736844</v>
      </c>
    </row>
    <row r="76" spans="3:20" x14ac:dyDescent="0.25">
      <c r="F76" s="223"/>
      <c r="H76" s="223"/>
    </row>
    <row r="77" spans="3:20" x14ac:dyDescent="0.25">
      <c r="F77" s="223"/>
      <c r="H77" s="223"/>
    </row>
    <row r="78" spans="3:20" x14ac:dyDescent="0.25">
      <c r="F78" s="223"/>
      <c r="H78" s="223"/>
    </row>
    <row r="79" spans="3:20" x14ac:dyDescent="0.25">
      <c r="F79" s="223"/>
      <c r="H79" s="223"/>
    </row>
    <row r="80" spans="3:20" x14ac:dyDescent="0.25">
      <c r="F80" s="223"/>
      <c r="H80" s="223"/>
    </row>
    <row r="81" spans="6:6" x14ac:dyDescent="0.25">
      <c r="F81" s="223"/>
    </row>
    <row r="82" spans="6:6" x14ac:dyDescent="0.25">
      <c r="F82" s="223"/>
    </row>
  </sheetData>
  <mergeCells count="1">
    <mergeCell ref="A1:XFD1"/>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E3AD8-8D81-944A-AD1E-45F5E5F3ED6E}">
  <sheetPr>
    <tabColor theme="7" tint="0.39997558519241921"/>
  </sheetPr>
  <dimension ref="A1:AE78"/>
  <sheetViews>
    <sheetView zoomScale="160" zoomScaleNormal="160" workbookViewId="0">
      <selection activeCell="C8" sqref="C8"/>
    </sheetView>
  </sheetViews>
  <sheetFormatPr defaultColWidth="9" defaultRowHeight="15.75" x14ac:dyDescent="0.25"/>
  <cols>
    <col min="1" max="3" width="9" style="467"/>
    <col min="4" max="4" width="22.85546875" style="467" customWidth="1"/>
    <col min="5" max="5" width="11.140625" style="467" customWidth="1"/>
    <col min="6" max="10" width="9" style="467"/>
    <col min="11" max="11" width="19.5703125" style="467" customWidth="1"/>
    <col min="12" max="15" width="9" style="467"/>
    <col min="16" max="16" width="9.42578125" style="467" bestFit="1" customWidth="1"/>
    <col min="17" max="17" width="9" style="467"/>
    <col min="18" max="18" width="21.140625" style="467" customWidth="1"/>
    <col min="19" max="24" width="9" style="467"/>
    <col min="25" max="25" width="20.140625" style="467" customWidth="1"/>
    <col min="26" max="31" width="9" style="467"/>
    <col min="32" max="32" width="9" style="467" customWidth="1"/>
    <col min="33" max="16384" width="9" style="467"/>
  </cols>
  <sheetData>
    <row r="1" spans="1:31" s="892" customFormat="1" ht="33" customHeight="1" x14ac:dyDescent="0.25">
      <c r="A1" s="892" t="s">
        <v>792</v>
      </c>
    </row>
    <row r="2" spans="1:31" x14ac:dyDescent="0.25">
      <c r="I2" s="654"/>
      <c r="P2" s="654"/>
      <c r="W2" s="654"/>
    </row>
    <row r="3" spans="1:31" x14ac:dyDescent="0.25">
      <c r="D3" s="727" t="s">
        <v>793</v>
      </c>
      <c r="E3" s="653"/>
      <c r="F3" s="653"/>
      <c r="G3" s="653"/>
      <c r="H3" s="653"/>
      <c r="I3" s="655"/>
      <c r="K3" s="653" t="s">
        <v>794</v>
      </c>
      <c r="L3" s="653"/>
      <c r="M3" s="653"/>
      <c r="N3" s="653"/>
      <c r="O3" s="653"/>
      <c r="P3" s="655"/>
      <c r="R3" s="653" t="s">
        <v>795</v>
      </c>
      <c r="S3" s="653"/>
      <c r="T3" s="653"/>
      <c r="U3" s="653"/>
      <c r="V3" s="653"/>
      <c r="W3" s="655"/>
      <c r="Y3" s="653" t="s">
        <v>796</v>
      </c>
      <c r="Z3" s="653"/>
      <c r="AA3" s="653"/>
      <c r="AB3" s="653"/>
      <c r="AC3" s="653"/>
      <c r="AD3" s="655"/>
      <c r="AE3" s="654"/>
    </row>
    <row r="4" spans="1:31" x14ac:dyDescent="0.25">
      <c r="D4" s="653"/>
      <c r="E4" s="653" t="s">
        <v>802</v>
      </c>
      <c r="F4" s="653" t="s">
        <v>119</v>
      </c>
      <c r="G4" s="653" t="s">
        <v>61</v>
      </c>
      <c r="H4" s="653" t="s">
        <v>798</v>
      </c>
      <c r="I4" s="655" t="s">
        <v>799</v>
      </c>
      <c r="K4" s="653"/>
      <c r="L4" s="653" t="str">
        <f>E4</f>
        <v>RIF</v>
      </c>
      <c r="M4" s="653" t="s">
        <v>119</v>
      </c>
      <c r="N4" s="653" t="s">
        <v>61</v>
      </c>
      <c r="O4" s="653" t="s">
        <v>798</v>
      </c>
      <c r="P4" s="655" t="s">
        <v>799</v>
      </c>
      <c r="R4" s="653"/>
      <c r="S4" s="653" t="str">
        <f>E4</f>
        <v>RIF</v>
      </c>
      <c r="T4" s="653" t="s">
        <v>119</v>
      </c>
      <c r="U4" s="653" t="s">
        <v>61</v>
      </c>
      <c r="V4" s="653" t="s">
        <v>798</v>
      </c>
      <c r="W4" s="655" t="s">
        <v>799</v>
      </c>
      <c r="Y4" s="653"/>
      <c r="Z4" s="653" t="str">
        <f>E4</f>
        <v>RIF</v>
      </c>
      <c r="AA4" s="653" t="s">
        <v>119</v>
      </c>
      <c r="AB4" s="653" t="s">
        <v>61</v>
      </c>
      <c r="AC4" s="653" t="s">
        <v>798</v>
      </c>
      <c r="AD4" s="655" t="s">
        <v>799</v>
      </c>
      <c r="AE4" s="654"/>
    </row>
    <row r="5" spans="1:31" x14ac:dyDescent="0.25">
      <c r="D5" s="653" t="s">
        <v>803</v>
      </c>
      <c r="E5" s="475">
        <f>+FEE_1_In!G22</f>
        <v>9543.67</v>
      </c>
      <c r="F5" s="475">
        <f>+FEE_ByContextArea_ByMode!I24</f>
        <v>7843.4177405852297</v>
      </c>
      <c r="G5" s="475">
        <f>+FEE_ByContextArea_ByMode!J24</f>
        <v>1584.0785281900839</v>
      </c>
      <c r="H5" s="475">
        <f>+FEE_ByContextArea_ByMode!K24</f>
        <v>110.50661530115225</v>
      </c>
      <c r="I5" s="656">
        <f t="shared" ref="I5:I6" si="0">SUM(F5:H5)</f>
        <v>9538.0028840764662</v>
      </c>
      <c r="K5" s="653" t="str">
        <f>D5</f>
        <v>Ring 1 In SMART Plan</v>
      </c>
      <c r="L5" s="475">
        <f>+FEE_1_In!G23</f>
        <v>6701.09</v>
      </c>
      <c r="M5" s="475">
        <f>+FEE_ByContextArea_ByMode!I25</f>
        <v>6081.9722310470224</v>
      </c>
      <c r="N5" s="475">
        <f>+FEE_ByContextArea_ByMode!J25</f>
        <v>1228.3320790626501</v>
      </c>
      <c r="O5" s="475">
        <f>+FEE_ByContextArea_ByMode!K25</f>
        <v>85.689451695385017</v>
      </c>
      <c r="P5" s="656">
        <f t="shared" ref="P5:P6" si="1">SUM(M5:O5)</f>
        <v>7395.9937618050581</v>
      </c>
      <c r="R5" s="653" t="str">
        <f>K5</f>
        <v>Ring 1 In SMART Plan</v>
      </c>
      <c r="S5" s="475">
        <f>+FEE_ByContextArea_ByMode!G71</f>
        <v>13259.2</v>
      </c>
      <c r="T5" s="475">
        <f>+FEE_ByContextArea_ByMode!I71</f>
        <v>9581.8028319390942</v>
      </c>
      <c r="U5" s="475">
        <f>+FEE_ByContextArea_ByMode!J71</f>
        <v>3258.5317003895379</v>
      </c>
      <c r="V5" s="475">
        <f>+FEE_ByContextArea_ByMode!K71</f>
        <v>204.72483355632085</v>
      </c>
      <c r="W5" s="656">
        <f t="shared" ref="W5:W6" si="2">SUM(T5:V5)</f>
        <v>13045.059365884954</v>
      </c>
      <c r="Y5" s="653" t="str">
        <f>R5</f>
        <v>Ring 1 In SMART Plan</v>
      </c>
      <c r="Z5" s="475">
        <f>+FEE_ByContextArea_ByMode!G97</f>
        <v>14048.1</v>
      </c>
      <c r="AA5" s="475">
        <f>+FEE_ByContextArea_ByMode!I98</f>
        <v>4636.941654720802</v>
      </c>
      <c r="AB5" s="475">
        <f>+FEE_ByContextArea_ByMode!J98</f>
        <v>1576.907982744066</v>
      </c>
      <c r="AC5" s="475">
        <f>+FEE_ByContextArea_ByMode!K98</f>
        <v>99.072911969007336</v>
      </c>
      <c r="AD5" s="657">
        <f>SUM(AA5:AC5)</f>
        <v>6312.9225494338752</v>
      </c>
      <c r="AE5" s="654"/>
    </row>
    <row r="6" spans="1:31" x14ac:dyDescent="0.25">
      <c r="D6" s="653" t="s">
        <v>804</v>
      </c>
      <c r="E6" s="475">
        <f t="shared" ref="E6:E11" si="3">+E5</f>
        <v>9543.67</v>
      </c>
      <c r="F6" s="475">
        <f>+FEE_ByContextArea_ByMode!M24</f>
        <v>8623.2698278700536</v>
      </c>
      <c r="G6" s="475">
        <f>+FEE_ByContextArea_ByMode!N24</f>
        <v>1706.5044396130345</v>
      </c>
      <c r="H6" s="475">
        <f>+FEE_ByContextArea_ByMode!O24</f>
        <v>73.462901705404533</v>
      </c>
      <c r="I6" s="656">
        <f t="shared" si="0"/>
        <v>10403.237169188493</v>
      </c>
      <c r="K6" s="653" t="str">
        <f t="shared" ref="K6" si="4">D6</f>
        <v>Ring 2 In SMART Plan</v>
      </c>
      <c r="L6" s="475">
        <f t="shared" ref="L6:L11" si="5">+L5</f>
        <v>6701.09</v>
      </c>
      <c r="M6" s="475">
        <f>+FEE_ByContextArea_ByMode!M25</f>
        <v>6686.6880444924582</v>
      </c>
      <c r="N6" s="475">
        <f>+FEE_ByContextArea_ByMode!N25</f>
        <v>1323.2640358016329</v>
      </c>
      <c r="O6" s="475">
        <f>+FEE_ByContextArea_ByMode!O25</f>
        <v>56.964877169868785</v>
      </c>
      <c r="P6" s="656">
        <f t="shared" si="1"/>
        <v>8066.91695746396</v>
      </c>
      <c r="R6" s="653" t="str">
        <f t="shared" ref="R6" si="6">K6</f>
        <v>Ring 2 In SMART Plan</v>
      </c>
      <c r="S6" s="475">
        <f>+S5</f>
        <v>13259.2</v>
      </c>
      <c r="T6" s="475">
        <f>+FEE_ByContextArea_ByMode!M71</f>
        <v>12867.107939220752</v>
      </c>
      <c r="U6" s="475">
        <f>+FEE_ByContextArea_ByMode!N71</f>
        <v>2539.0502810276685</v>
      </c>
      <c r="V6" s="475">
        <f>+FEE_ByContextArea_ByMode!O71</f>
        <v>109.70941100037857</v>
      </c>
      <c r="W6" s="656">
        <f t="shared" si="2"/>
        <v>15515.867631248799</v>
      </c>
      <c r="Y6" s="653" t="str">
        <f t="shared" ref="Y6" si="7">R6</f>
        <v>Ring 2 In SMART Plan</v>
      </c>
      <c r="Z6" s="475">
        <f>+Z5</f>
        <v>14048.1</v>
      </c>
      <c r="AA6" s="475">
        <f>+FEE_ByContextArea_ByMode!M98</f>
        <v>6226.8061476158637</v>
      </c>
      <c r="AB6" s="475">
        <f>+FEE_ByContextArea_ByMode!N98</f>
        <v>1228.7278519532151</v>
      </c>
      <c r="AC6" s="475">
        <f>+FEE_ByContextArea_ByMode!O98</f>
        <v>53.091902088282673</v>
      </c>
      <c r="AD6" s="657">
        <f t="shared" ref="AD6" si="8">SUM(AA6:AC6)</f>
        <v>7508.6259016573622</v>
      </c>
      <c r="AE6" s="654"/>
    </row>
    <row r="7" spans="1:31" x14ac:dyDescent="0.25">
      <c r="D7" s="653" t="s">
        <v>805</v>
      </c>
      <c r="E7" s="475">
        <f t="shared" si="3"/>
        <v>9543.67</v>
      </c>
      <c r="F7" s="475">
        <f>+FEE_ByContextArea_ByMode!Q24</f>
        <v>9218.4896179009975</v>
      </c>
      <c r="G7" s="728">
        <f>+FEE_ByContextArea_ByMode!R24</f>
        <v>975.91493004221707</v>
      </c>
      <c r="H7" s="728">
        <f>+FEE_ByContextArea_ByMode!S24</f>
        <v>44.474496941823112</v>
      </c>
      <c r="I7" s="656">
        <f>SUM(F7:H7)</f>
        <v>10238.879044885038</v>
      </c>
      <c r="K7" s="653" t="str">
        <f>D7</f>
        <v>Ring 3 In SMART Plan</v>
      </c>
      <c r="L7" s="475">
        <f t="shared" si="5"/>
        <v>6701.09</v>
      </c>
      <c r="M7" s="475">
        <f>+FEE_ByContextArea_ByMode!Q25</f>
        <v>7148.2355935418755</v>
      </c>
      <c r="N7" s="475">
        <f>+FEE_ByContextArea_ByMode!R25</f>
        <v>756.74759405815985</v>
      </c>
      <c r="O7" s="475">
        <f>+FEE_ByContextArea_ByMode!S25</f>
        <v>34.486580255735724</v>
      </c>
      <c r="P7" s="656">
        <f>SUM(M7:O7)</f>
        <v>7939.4697678557714</v>
      </c>
      <c r="R7" s="653" t="str">
        <f>K7</f>
        <v>Ring 3 In SMART Plan</v>
      </c>
      <c r="S7" s="475">
        <f t="shared" ref="S7:S11" si="9">+S6</f>
        <v>13259.2</v>
      </c>
      <c r="T7" s="475">
        <f>+FEE_ByContextArea_ByMode!Q71</f>
        <v>13881.405656956053</v>
      </c>
      <c r="U7" s="475">
        <f>+FEE_ByContextArea_ByMode!R71</f>
        <v>1485.8622356916092</v>
      </c>
      <c r="V7" s="475">
        <f>+FEE_ByContextArea_ByMode!S71</f>
        <v>66.708731190167327</v>
      </c>
      <c r="W7" s="656">
        <f>SUM(T7:V7)</f>
        <v>15433.976623837829</v>
      </c>
      <c r="Y7" s="653" t="str">
        <f>R7</f>
        <v>Ring 3 In SMART Plan</v>
      </c>
      <c r="Z7" s="475">
        <v>14155</v>
      </c>
      <c r="AA7" s="475">
        <f>+FEE_ByContextArea_ByMode!Q98</f>
        <v>6717.6573392076716</v>
      </c>
      <c r="AB7" s="475">
        <f>+FEE_ByContextArea_ByMode!R98</f>
        <v>719.05638372029443</v>
      </c>
      <c r="AC7" s="475">
        <f>+FEE_ByContextArea_ByMode!S98</f>
        <v>32.282494204345973</v>
      </c>
      <c r="AD7" s="657">
        <f>SUM(AA7:AC7)</f>
        <v>7468.9962171323123</v>
      </c>
      <c r="AE7" s="654"/>
    </row>
    <row r="8" spans="1:31" x14ac:dyDescent="0.25">
      <c r="D8" s="653" t="s">
        <v>806</v>
      </c>
      <c r="E8" s="475">
        <f t="shared" si="3"/>
        <v>9543.67</v>
      </c>
      <c r="F8" s="475">
        <f>+FEE_ByContextArea_ByMode!U24</f>
        <v>7980.1108238479956</v>
      </c>
      <c r="G8" s="475">
        <f>+FEE_ByContextArea_ByMode!V24</f>
        <v>1527.5477625441074</v>
      </c>
      <c r="H8" s="475">
        <f>+FEE_ByContextArea_ByMode!W24</f>
        <v>42.390266636781412</v>
      </c>
      <c r="I8" s="656">
        <f>SUM(F8:H8)</f>
        <v>9550.048853028884</v>
      </c>
      <c r="K8" s="653" t="str">
        <f>D8</f>
        <v>Ring 4 In SMART Plan</v>
      </c>
      <c r="L8" s="475">
        <f t="shared" si="5"/>
        <v>6701.09</v>
      </c>
      <c r="M8" s="475">
        <f>+FEE_ByContextArea_ByMode!U25</f>
        <v>6187.9672913736586</v>
      </c>
      <c r="N8" s="475">
        <f>+FEE_ByContextArea_ByMode!V25</f>
        <v>1184.4967819727617</v>
      </c>
      <c r="O8" s="475">
        <f>+FEE_ByContextArea_ByMode!W25</f>
        <v>32.870418620894064</v>
      </c>
      <c r="P8" s="656">
        <f>SUM(M8:O8)</f>
        <v>7405.3344919673145</v>
      </c>
      <c r="R8" s="653" t="str">
        <f>K8</f>
        <v>Ring 4 In SMART Plan</v>
      </c>
      <c r="S8" s="475">
        <f t="shared" si="9"/>
        <v>13259.2</v>
      </c>
      <c r="T8" s="475">
        <f>+FEE_ByContextArea_ByMode!U71</f>
        <v>12056.609100881562</v>
      </c>
      <c r="U8" s="475">
        <f>+FEE_ByContextArea_ByMode!V71</f>
        <v>2367.3360263092295</v>
      </c>
      <c r="V8" s="475">
        <f>+FEE_ByContextArea_ByMode!W71</f>
        <v>63.952376738651857</v>
      </c>
      <c r="W8" s="656">
        <f>SUM(T8:V8)</f>
        <v>14487.897503929444</v>
      </c>
      <c r="Y8" s="653" t="str">
        <f>R8</f>
        <v>Ring 4 In SMART Plan</v>
      </c>
      <c r="Z8" s="475">
        <v>14155</v>
      </c>
      <c r="AA8" s="475">
        <f>+FEE_ByContextArea_ByMode!U98</f>
        <v>5834.5797690819145</v>
      </c>
      <c r="AB8" s="475">
        <f>+FEE_ByContextArea_ByMode!V98</f>
        <v>1145.6298176501928</v>
      </c>
      <c r="AC8" s="475">
        <f>+FEE_ByContextArea_ByMode!W98</f>
        <v>30.948605895894872</v>
      </c>
      <c r="AD8" s="657">
        <f>SUM(AA8:AC8)</f>
        <v>7011.1581926280023</v>
      </c>
      <c r="AE8" s="654"/>
    </row>
    <row r="9" spans="1:31" x14ac:dyDescent="0.25">
      <c r="D9" s="653" t="s">
        <v>807</v>
      </c>
      <c r="E9" s="475">
        <f t="shared" si="3"/>
        <v>9543.67</v>
      </c>
      <c r="F9" s="475">
        <f>'RIFvMIF (Simple)'!F10</f>
        <v>8549.2101811085904</v>
      </c>
      <c r="G9" s="475">
        <f>'RIFvMIF (Simple)'!G10</f>
        <v>433.83739163209788</v>
      </c>
      <c r="H9" s="475">
        <f>'RIFvMIF (Simple)'!H10</f>
        <v>70.17684694915144</v>
      </c>
      <c r="I9" s="656">
        <f>SUM(F9:H9)</f>
        <v>9053.2244196898391</v>
      </c>
      <c r="K9" s="653" t="str">
        <f>D9</f>
        <v>Ring 2 Out SMART Plan</v>
      </c>
      <c r="L9" s="475">
        <f t="shared" si="5"/>
        <v>6701.09</v>
      </c>
      <c r="M9" s="475">
        <f>'RIFvMIF (Simple)'!M10</f>
        <v>6629.2604370460704</v>
      </c>
      <c r="N9" s="475">
        <f>'RIFvMIF (Simple)'!N10</f>
        <v>336.40780791810988</v>
      </c>
      <c r="O9" s="475">
        <f>'RIFvMIF (Simple)'!O10</f>
        <v>54.416792337689479</v>
      </c>
      <c r="P9" s="656">
        <f>SUM(M9:O9)</f>
        <v>7020.0850373018702</v>
      </c>
      <c r="R9" s="653" t="str">
        <f>K9</f>
        <v>Ring 2 Out SMART Plan</v>
      </c>
      <c r="S9" s="475">
        <f t="shared" si="9"/>
        <v>13259.2</v>
      </c>
      <c r="T9" s="475">
        <f>'RIFvMIF (Simple)'!T10</f>
        <v>12776.019333675631</v>
      </c>
      <c r="U9" s="475">
        <f>'RIFvMIF (Simple)'!U10</f>
        <v>648.00036339396343</v>
      </c>
      <c r="V9" s="475">
        <f>'RIFvMIF (Simple)'!V10</f>
        <v>105.48819702380446</v>
      </c>
      <c r="W9" s="656">
        <f>SUM(T9:V9)</f>
        <v>13529.507894093398</v>
      </c>
      <c r="Y9" s="653" t="str">
        <f>K9</f>
        <v>Ring 2 Out SMART Plan</v>
      </c>
      <c r="Z9" s="475">
        <f>+Z6</f>
        <v>14048.1</v>
      </c>
      <c r="AA9" s="475">
        <f>'RIFvMIF (Simple)'!AA10</f>
        <v>8289.3554833450817</v>
      </c>
      <c r="AB9" s="475">
        <f>'RIFvMIF (Simple)'!AB10</f>
        <v>420.43654014759443</v>
      </c>
      <c r="AC9" s="475">
        <f>'RIFvMIF (Simple)'!AC10</f>
        <v>68.443005727347199</v>
      </c>
      <c r="AD9" s="657">
        <f>SUM(AA9:AC9)</f>
        <v>8778.2350292200244</v>
      </c>
      <c r="AE9" s="654"/>
    </row>
    <row r="10" spans="1:31" x14ac:dyDescent="0.25">
      <c r="D10" s="653" t="s">
        <v>808</v>
      </c>
      <c r="E10" s="475">
        <f t="shared" si="3"/>
        <v>9543.67</v>
      </c>
      <c r="F10" s="475">
        <f>+FEE_ByContextArea_ByMode!AG24</f>
        <v>9487.733920890234</v>
      </c>
      <c r="G10" s="475">
        <f>+FEE_ByContextArea_ByMode!AH24</f>
        <v>429.36138614072826</v>
      </c>
      <c r="H10" s="475">
        <f>+FEE_ByContextArea_ByMode!AI24</f>
        <v>41.181568454185559</v>
      </c>
      <c r="I10" s="656">
        <f>SUM(F10:H10)</f>
        <v>9958.2768754851477</v>
      </c>
      <c r="K10" s="653" t="str">
        <f>D10</f>
        <v>Ring 3 Out SMART Plan</v>
      </c>
      <c r="L10" s="475">
        <f t="shared" si="5"/>
        <v>6701.09</v>
      </c>
      <c r="M10" s="475">
        <f>+FEE_ByContextArea_ByMode!AG25</f>
        <v>7357.0140149275985</v>
      </c>
      <c r="N10" s="475">
        <f>+FEE_ByContextArea_ByMode!AH25</f>
        <v>332.93700704980205</v>
      </c>
      <c r="O10" s="475">
        <f>+FEE_ByContextArea_ByMode!AI25</f>
        <v>31.93316536913542</v>
      </c>
      <c r="P10" s="656">
        <f>SUM(M10:O10)</f>
        <v>7721.8841873465353</v>
      </c>
      <c r="R10" s="653" t="str">
        <f>K10</f>
        <v>Ring 3 Out SMART Plan</v>
      </c>
      <c r="S10" s="475">
        <f t="shared" si="9"/>
        <v>13259.2</v>
      </c>
      <c r="T10" s="475">
        <f>+FEE_ByContextArea_ByMode!AG71</f>
        <v>14211.781616053475</v>
      </c>
      <c r="U10" s="475">
        <f>+FEE_ByContextArea_ByMode!AH71</f>
        <v>645.30449782889559</v>
      </c>
      <c r="V10" s="475">
        <f>+FEE_ByContextArea_ByMode!AI71</f>
        <v>61.597345057530191</v>
      </c>
      <c r="W10" s="656">
        <f>SUM(T10:V10)</f>
        <v>14918.6834589399</v>
      </c>
      <c r="Y10" s="653" t="str">
        <f>R10</f>
        <v>Ring 3 Out SMART Plan</v>
      </c>
      <c r="Z10" s="475">
        <v>14155</v>
      </c>
      <c r="AA10" s="475">
        <f>+FEE_ByContextArea_ByMode!AG98</f>
        <v>6877.5368601419523</v>
      </c>
      <c r="AB10" s="475">
        <f>+FEE_ByContextArea_ByMode!AH98</f>
        <v>312.28353979351795</v>
      </c>
      <c r="AC10" s="475">
        <f>+FEE_ByContextArea_ByMode!AI98</f>
        <v>29.80893054545038</v>
      </c>
      <c r="AD10" s="657">
        <f>SUM(AA10:AC10)</f>
        <v>7219.6293304809205</v>
      </c>
      <c r="AE10" s="654"/>
    </row>
    <row r="11" spans="1:31" x14ac:dyDescent="0.25">
      <c r="D11" s="653" t="s">
        <v>809</v>
      </c>
      <c r="E11" s="475">
        <f t="shared" si="3"/>
        <v>9543.67</v>
      </c>
      <c r="F11" s="475">
        <f>+FEE_ByContextArea_ByMode!AK24</f>
        <v>9787.1888099722273</v>
      </c>
      <c r="G11" s="475">
        <f>+FEE_ByContextArea_ByMode!AL24</f>
        <v>607.34970997571668</v>
      </c>
      <c r="H11" s="475">
        <f>+FEE_ByContextArea_ByMode!AM24</f>
        <v>38.850955490641837</v>
      </c>
      <c r="I11" s="656">
        <f>SUM(F11:H11)</f>
        <v>10433.389475438586</v>
      </c>
      <c r="K11" s="653" t="str">
        <f>D11</f>
        <v>Ring 4 Out SMART Plan</v>
      </c>
      <c r="L11" s="475">
        <f t="shared" si="5"/>
        <v>6701.09</v>
      </c>
      <c r="M11" s="475">
        <f>+FEE_ByContextArea_ByMode!AK25</f>
        <v>7589.2184416310083</v>
      </c>
      <c r="N11" s="475">
        <f>+FEE_ByContextArea_ByMode!AL25</f>
        <v>470.95337680320415</v>
      </c>
      <c r="O11" s="475">
        <f>+FEE_ByContextArea_ByMode!AM25</f>
        <v>30.125952774523125</v>
      </c>
      <c r="P11" s="656">
        <f>SUM(M11:O11)</f>
        <v>8090.2977712087359</v>
      </c>
      <c r="R11" s="653" t="str">
        <f>K11</f>
        <v>Ring 4 Out SMART Plan</v>
      </c>
      <c r="S11" s="475">
        <f t="shared" si="9"/>
        <v>13259.2</v>
      </c>
      <c r="T11" s="475">
        <f>+FEE_ByContextArea_ByMode!AK71</f>
        <v>14637.596087912672</v>
      </c>
      <c r="U11" s="475">
        <f>+FEE_ByContextArea_ByMode!AL71</f>
        <v>935.93426620655282</v>
      </c>
      <c r="V11" s="475">
        <f>+FEE_ByContextArea_ByMode!AM71</f>
        <v>58.021850915086219</v>
      </c>
      <c r="W11" s="656">
        <f>SUM(T11:V11)</f>
        <v>15631.552205034312</v>
      </c>
      <c r="Y11" s="653" t="str">
        <f>R11</f>
        <v>Ring 4 Out SMART Plan</v>
      </c>
      <c r="Z11" s="475">
        <v>14155</v>
      </c>
      <c r="AA11" s="475">
        <f>+FEE_ByContextArea_ByMode!AK98</f>
        <v>7083.6021378750038</v>
      </c>
      <c r="AB11" s="475">
        <f>+FEE_ByContextArea_ByMode!AL98</f>
        <v>452.92860447801985</v>
      </c>
      <c r="AC11" s="475">
        <f>+FEE_ByContextArea_ByMode!AM98</f>
        <v>28.07863427280693</v>
      </c>
      <c r="AD11" s="657">
        <f>SUM(AA11:AC11)</f>
        <v>7564.6093766258309</v>
      </c>
      <c r="AE11" s="654"/>
    </row>
    <row r="66" spans="3:20" x14ac:dyDescent="0.25">
      <c r="C66" s="650"/>
      <c r="D66" s="650"/>
      <c r="E66" s="650" t="s">
        <v>800</v>
      </c>
      <c r="F66" s="650"/>
      <c r="G66" s="650" t="s">
        <v>801</v>
      </c>
      <c r="H66" s="650"/>
    </row>
    <row r="67" spans="3:20" x14ac:dyDescent="0.25">
      <c r="C67" s="650" t="str">
        <f>RoadCapCost!A11</f>
        <v xml:space="preserve">  Class II arterial add 2 lanes</v>
      </c>
      <c r="D67" s="650"/>
      <c r="E67" s="650" t="s">
        <v>521</v>
      </c>
      <c r="F67" s="650" t="s">
        <v>520</v>
      </c>
      <c r="G67" s="650" t="s">
        <v>521</v>
      </c>
      <c r="H67" s="650" t="s">
        <v>518</v>
      </c>
    </row>
    <row r="68" spans="3:20" x14ac:dyDescent="0.25">
      <c r="C68" s="650"/>
      <c r="D68" s="651" t="s">
        <v>102</v>
      </c>
      <c r="E68" s="651" t="str">
        <f>RoadCapCost!Q11</f>
        <v>E</v>
      </c>
      <c r="F68" s="224">
        <f>RoadCapCost!T11</f>
        <v>402.63157894736844</v>
      </c>
      <c r="G68" s="651" t="str">
        <f>RoadCapCost!AH11</f>
        <v>E</v>
      </c>
      <c r="H68" s="224">
        <f>RoadCapCost!AJ11</f>
        <v>402.63157894736844</v>
      </c>
      <c r="I68" s="652"/>
      <c r="J68" s="652"/>
      <c r="K68" s="652"/>
      <c r="L68" s="652"/>
      <c r="M68" s="652"/>
      <c r="N68" s="652"/>
      <c r="O68" s="652"/>
      <c r="Q68" s="652"/>
      <c r="R68" s="652"/>
      <c r="S68" s="652"/>
      <c r="T68" s="652"/>
    </row>
    <row r="69" spans="3:20" x14ac:dyDescent="0.25">
      <c r="C69" s="650"/>
      <c r="D69" s="651" t="s">
        <v>103</v>
      </c>
      <c r="E69" s="651" t="str">
        <f>RoadCapCost!U11</f>
        <v>E</v>
      </c>
      <c r="F69" s="224">
        <f>RoadCapCost!X11</f>
        <v>402.63157894736844</v>
      </c>
      <c r="G69" s="651" t="str">
        <f>RoadCapCost!AL11</f>
        <v>E</v>
      </c>
      <c r="H69" s="224">
        <f>RoadCapCost!AN11</f>
        <v>402.63157894736844</v>
      </c>
    </row>
    <row r="70" spans="3:20" x14ac:dyDescent="0.25">
      <c r="C70" s="650"/>
      <c r="D70" s="651" t="s">
        <v>104</v>
      </c>
      <c r="E70" s="651" t="str">
        <f>RoadCapCost!Y11</f>
        <v>E</v>
      </c>
      <c r="F70" s="224">
        <f>RoadCapCost!AB11</f>
        <v>402.63157894736844</v>
      </c>
      <c r="G70" s="651" t="str">
        <f>RoadCapCost!AP11</f>
        <v>E</v>
      </c>
      <c r="H70" s="224">
        <f>RoadCapCost!AR11</f>
        <v>402.63157894736844</v>
      </c>
    </row>
    <row r="71" spans="3:20" x14ac:dyDescent="0.25">
      <c r="C71" s="650"/>
      <c r="D71" s="651" t="s">
        <v>105</v>
      </c>
      <c r="E71" s="651" t="str">
        <f>RoadCapCost!AC11</f>
        <v>E</v>
      </c>
      <c r="F71" s="224">
        <f>RoadCapCost!AF11</f>
        <v>402.63157894736844</v>
      </c>
      <c r="G71" s="651" t="str">
        <f>RoadCapCost!AT11</f>
        <v>E</v>
      </c>
      <c r="H71" s="224">
        <f>RoadCapCost!AV11</f>
        <v>402.63157894736844</v>
      </c>
    </row>
    <row r="72" spans="3:20" x14ac:dyDescent="0.25">
      <c r="F72" s="223"/>
      <c r="H72" s="223"/>
    </row>
    <row r="73" spans="3:20" x14ac:dyDescent="0.25">
      <c r="F73" s="223"/>
      <c r="H73" s="223"/>
    </row>
    <row r="74" spans="3:20" x14ac:dyDescent="0.25">
      <c r="F74" s="223"/>
      <c r="H74" s="223"/>
    </row>
    <row r="75" spans="3:20" x14ac:dyDescent="0.25">
      <c r="F75" s="223"/>
      <c r="H75" s="223"/>
    </row>
    <row r="76" spans="3:20" x14ac:dyDescent="0.25">
      <c r="F76" s="223"/>
      <c r="H76" s="223"/>
    </row>
    <row r="77" spans="3:20" x14ac:dyDescent="0.25">
      <c r="F77" s="223"/>
    </row>
    <row r="78" spans="3:20" x14ac:dyDescent="0.25">
      <c r="F78" s="223"/>
    </row>
  </sheetData>
  <mergeCells count="1">
    <mergeCell ref="A1:XFD1"/>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2BD38-C6C1-4B79-9F46-741F31054E48}">
  <sheetPr>
    <tabColor theme="7" tint="0.59999389629810485"/>
  </sheetPr>
  <dimension ref="D6:I22"/>
  <sheetViews>
    <sheetView workbookViewId="0">
      <selection activeCell="D7" sqref="D7:I22"/>
    </sheetView>
  </sheetViews>
  <sheetFormatPr defaultColWidth="9" defaultRowHeight="15.75" x14ac:dyDescent="0.25"/>
  <cols>
    <col min="4" max="4" width="3.5703125" customWidth="1"/>
    <col min="5" max="5" width="22.5703125" customWidth="1"/>
    <col min="9" max="9" width="29.140625" customWidth="1"/>
  </cols>
  <sheetData>
    <row r="6" spans="4:9" x14ac:dyDescent="0.25">
      <c r="F6" s="884" t="s">
        <v>810</v>
      </c>
      <c r="G6" s="884"/>
      <c r="H6" s="884"/>
    </row>
    <row r="7" spans="4:9" ht="30" x14ac:dyDescent="0.25">
      <c r="D7" s="191" t="s">
        <v>811</v>
      </c>
      <c r="E7" s="196"/>
      <c r="F7" s="201" t="s">
        <v>733</v>
      </c>
      <c r="G7" s="202" t="s">
        <v>599</v>
      </c>
      <c r="H7" s="203" t="s">
        <v>600</v>
      </c>
      <c r="I7" s="214" t="s">
        <v>812</v>
      </c>
    </row>
    <row r="8" spans="4:9" x14ac:dyDescent="0.25">
      <c r="D8" s="192" t="s">
        <v>813</v>
      </c>
      <c r="E8" s="197"/>
      <c r="F8" s="204"/>
      <c r="G8" s="205"/>
      <c r="H8" s="206"/>
      <c r="I8" s="215"/>
    </row>
    <row r="9" spans="4:9" x14ac:dyDescent="0.25">
      <c r="D9" s="193"/>
      <c r="E9" s="198" t="s">
        <v>814</v>
      </c>
      <c r="F9" s="207">
        <v>0.35</v>
      </c>
      <c r="G9" s="1">
        <f>+RoadCapCost!K7</f>
        <v>0.35</v>
      </c>
      <c r="H9" s="4">
        <f>+RoadCapCost!O7</f>
        <v>0.35</v>
      </c>
      <c r="I9" s="893" t="s">
        <v>815</v>
      </c>
    </row>
    <row r="10" spans="4:9" x14ac:dyDescent="0.25">
      <c r="D10" s="193"/>
      <c r="E10" s="198" t="s">
        <v>532</v>
      </c>
      <c r="F10" s="207">
        <v>0.65</v>
      </c>
      <c r="G10" s="1">
        <f>+RoadCapCost!K11</f>
        <v>0.65</v>
      </c>
      <c r="H10" s="4">
        <f>+RoadCapCost!O11</f>
        <v>0.65</v>
      </c>
      <c r="I10" s="893"/>
    </row>
    <row r="11" spans="4:9" x14ac:dyDescent="0.25">
      <c r="D11" s="218"/>
      <c r="E11" s="219" t="s">
        <v>98</v>
      </c>
      <c r="F11" s="220">
        <f>+F9+F10</f>
        <v>1</v>
      </c>
      <c r="G11" s="221">
        <f>+G9+G10</f>
        <v>1</v>
      </c>
      <c r="H11" s="222">
        <f>+H9+H10</f>
        <v>1</v>
      </c>
      <c r="I11" s="893"/>
    </row>
    <row r="12" spans="4:9" x14ac:dyDescent="0.25">
      <c r="D12" s="194" t="s">
        <v>61</v>
      </c>
      <c r="E12" s="199"/>
      <c r="F12" s="208"/>
      <c r="G12" s="209"/>
      <c r="H12" s="210"/>
      <c r="I12" s="216"/>
    </row>
    <row r="13" spans="4:9" x14ac:dyDescent="0.25">
      <c r="D13" s="193"/>
      <c r="E13" s="198" t="s">
        <v>816</v>
      </c>
      <c r="F13" s="207">
        <v>0</v>
      </c>
      <c r="G13" s="1">
        <f>+TransitCapCost!AA9</f>
        <v>0.69</v>
      </c>
      <c r="H13" s="4">
        <f>+TransitCapCost!AC9</f>
        <v>0.15</v>
      </c>
      <c r="I13" s="893" t="s">
        <v>817</v>
      </c>
    </row>
    <row r="14" spans="4:9" x14ac:dyDescent="0.25">
      <c r="D14" s="193"/>
      <c r="E14" s="198" t="s">
        <v>584</v>
      </c>
      <c r="F14" s="207">
        <v>0</v>
      </c>
      <c r="G14" s="1">
        <f>+TransitCapCost!AA10</f>
        <v>0.04</v>
      </c>
      <c r="H14" s="4">
        <f>+TransitCapCost!AC10</f>
        <v>0.21</v>
      </c>
      <c r="I14" s="893"/>
    </row>
    <row r="15" spans="4:9" x14ac:dyDescent="0.25">
      <c r="D15" s="193"/>
      <c r="E15" s="198" t="s">
        <v>585</v>
      </c>
      <c r="F15" s="207">
        <v>0</v>
      </c>
      <c r="G15" s="1">
        <f>+TransitCapCost!AA11</f>
        <v>0.27</v>
      </c>
      <c r="H15" s="4">
        <f>+TransitCapCost!AC11</f>
        <v>0.64</v>
      </c>
      <c r="I15" s="893"/>
    </row>
    <row r="16" spans="4:9" x14ac:dyDescent="0.25">
      <c r="D16" s="218"/>
      <c r="E16" s="219" t="s">
        <v>98</v>
      </c>
      <c r="F16" s="220">
        <f>SUM(F13:F15)</f>
        <v>0</v>
      </c>
      <c r="G16" s="221">
        <f>SUM(G13:G15)</f>
        <v>1</v>
      </c>
      <c r="H16" s="222">
        <f>SUM(H13:H15)</f>
        <v>1</v>
      </c>
      <c r="I16" s="893"/>
    </row>
    <row r="17" spans="4:9" x14ac:dyDescent="0.25">
      <c r="D17" s="195" t="s">
        <v>818</v>
      </c>
      <c r="E17" s="200"/>
      <c r="F17" s="211"/>
      <c r="G17" s="212"/>
      <c r="H17" s="213"/>
      <c r="I17" s="217"/>
    </row>
    <row r="18" spans="4:9" ht="14.85" customHeight="1" x14ac:dyDescent="0.25">
      <c r="D18" s="193"/>
      <c r="E18" s="3" t="s">
        <v>819</v>
      </c>
      <c r="F18" s="207">
        <f>+G18</f>
        <v>0.15</v>
      </c>
      <c r="G18" s="1">
        <f>+WalkBikeCapCost!U3</f>
        <v>0.15</v>
      </c>
      <c r="H18" s="4">
        <f>+WalkBikeCapCost!Y3</f>
        <v>0.15</v>
      </c>
      <c r="I18" s="893" t="s">
        <v>820</v>
      </c>
    </row>
    <row r="19" spans="4:9" ht="14.85" customHeight="1" x14ac:dyDescent="0.25">
      <c r="D19" s="193"/>
      <c r="E19" s="3" t="s">
        <v>821</v>
      </c>
      <c r="F19" s="207">
        <f>+G19</f>
        <v>0.35</v>
      </c>
      <c r="G19" s="1">
        <f>+WalkBikeCapCost!U4</f>
        <v>0.35</v>
      </c>
      <c r="H19" s="4">
        <f>+WalkBikeCapCost!Y4</f>
        <v>0.35</v>
      </c>
      <c r="I19" s="893"/>
    </row>
    <row r="20" spans="4:9" ht="14.85" customHeight="1" x14ac:dyDescent="0.25">
      <c r="D20" s="193"/>
      <c r="E20" s="3" t="s">
        <v>822</v>
      </c>
      <c r="F20" s="207">
        <f>+G20</f>
        <v>7.0000000000000007E-2</v>
      </c>
      <c r="G20" s="1">
        <f>+WalkBikeCapCost!U5</f>
        <v>7.0000000000000007E-2</v>
      </c>
      <c r="H20" s="4">
        <f>+WalkBikeCapCost!Y5</f>
        <v>7.0000000000000007E-2</v>
      </c>
      <c r="I20" s="893"/>
    </row>
    <row r="21" spans="4:9" ht="14.85" customHeight="1" x14ac:dyDescent="0.25">
      <c r="D21" s="193"/>
      <c r="E21" s="3" t="s">
        <v>823</v>
      </c>
      <c r="F21" s="207">
        <f>+G21</f>
        <v>0.43</v>
      </c>
      <c r="G21" s="1">
        <f>+WalkBikeCapCost!U6</f>
        <v>0.43</v>
      </c>
      <c r="H21" s="4">
        <f>+WalkBikeCapCost!Y6</f>
        <v>0.43</v>
      </c>
      <c r="I21" s="893"/>
    </row>
    <row r="22" spans="4:9" x14ac:dyDescent="0.25">
      <c r="D22" s="218"/>
      <c r="E22" s="219" t="s">
        <v>98</v>
      </c>
      <c r="F22" s="220">
        <f>SUM(F18:F21)</f>
        <v>1</v>
      </c>
      <c r="G22" s="221">
        <f>SUM(G18:G21)</f>
        <v>1</v>
      </c>
      <c r="H22" s="222">
        <f>SUM(H18:H21)</f>
        <v>1</v>
      </c>
      <c r="I22" s="894"/>
    </row>
  </sheetData>
  <mergeCells count="4">
    <mergeCell ref="F6:H6"/>
    <mergeCell ref="I9:I11"/>
    <mergeCell ref="I13:I16"/>
    <mergeCell ref="I18:I22"/>
  </mergeCells>
  <pageMargins left="0.7" right="0.7" top="0.75" bottom="0.75" header="0.3" footer="0.3"/>
  <pageSetup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rimary_x0020_Audience xmlns="E86CB381-5C01-4B57-B905-007C920881CB" xsi:nil="true"/>
    <Status xmlns="E86CB381-5C01-4B57-B905-007C920881CB" xsi:nil="true"/>
    <Project_x0020_Use xmlns="E86CB381-5C01-4B57-B905-007C920881CB" xsi:nil="true"/>
    <SharedWithUsers xmlns="23d37c51-de62-4c07-9dce-c6fca7b41c24">
      <UserInfo>
        <DisplayName>Kohl Malo</DisplayName>
        <AccountId>129</AccountId>
        <AccountType/>
      </UserInfo>
      <UserInfo>
        <DisplayName>Joel Lehman</DisplayName>
        <AccountId>25</AccountId>
        <AccountType/>
      </UserInfo>
      <UserInfo>
        <DisplayName>Dan Hardy</DisplayName>
        <AccountId>28</AccountId>
        <AccountType/>
      </UserInfo>
      <UserInfo>
        <DisplayName>Kristen Wilcox</DisplayName>
        <AccountId>141</AccountId>
        <AccountType/>
      </UserInfo>
    </SharedWithUser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552BEBB70811D4A9B208134DE8F89A7" ma:contentTypeVersion="" ma:contentTypeDescription="Create a new document." ma:contentTypeScope="" ma:versionID="472e8221e1c436e04168001b327f0770">
  <xsd:schema xmlns:xsd="http://www.w3.org/2001/XMLSchema" xmlns:xs="http://www.w3.org/2001/XMLSchema" xmlns:p="http://schemas.microsoft.com/office/2006/metadata/properties" xmlns:ns2="E86CB381-5C01-4B57-B905-007C920881CB" xmlns:ns3="e86cb381-5c01-4b57-b905-007c920881cb" xmlns:ns4="23d37c51-de62-4c07-9dce-c6fca7b41c24" targetNamespace="http://schemas.microsoft.com/office/2006/metadata/properties" ma:root="true" ma:fieldsID="d7e905d7b272fe2ee700f09c261bd69e" ns2:_="" ns3:_="" ns4:_="">
    <xsd:import namespace="E86CB381-5C01-4B57-B905-007C920881CB"/>
    <xsd:import namespace="e86cb381-5c01-4b57-b905-007c920881cb"/>
    <xsd:import namespace="23d37c51-de62-4c07-9dce-c6fca7b41c24"/>
    <xsd:element name="properties">
      <xsd:complexType>
        <xsd:sequence>
          <xsd:element name="documentManagement">
            <xsd:complexType>
              <xsd:all>
                <xsd:element ref="ns2:Status" minOccurs="0"/>
                <xsd:element ref="ns2:Project_x0020_Use" minOccurs="0"/>
                <xsd:element ref="ns2:Primary_x0020_Audience" minOccurs="0"/>
                <xsd:element ref="ns3:MediaServiceMetadata" minOccurs="0"/>
                <xsd:element ref="ns3:MediaServiceFastMetadata" minOccurs="0"/>
                <xsd:element ref="ns4:SharedWithUsers" minOccurs="0"/>
                <xsd:element ref="ns4:SharedWithDetails" minOccurs="0"/>
                <xsd:element ref="ns3:MediaServiceAutoKeyPoints" minOccurs="0"/>
                <xsd:element ref="ns3:MediaServiceKeyPoints" minOccurs="0"/>
                <xsd:element ref="ns3:MediaServiceAutoTags" minOccurs="0"/>
                <xsd:element ref="ns3:MediaServiceOCR" minOccurs="0"/>
                <xsd:element ref="ns3:MediaServiceDateTaken" minOccurs="0"/>
                <xsd:element ref="ns3:MediaServiceLocation"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86CB381-5C01-4B57-B905-007C920881CB" elementFormDefault="qualified">
    <xsd:import namespace="http://schemas.microsoft.com/office/2006/documentManagement/types"/>
    <xsd:import namespace="http://schemas.microsoft.com/office/infopath/2007/PartnerControls"/>
    <xsd:element name="Status" ma:index="8" nillable="true" ma:displayName="Status" ma:format="Dropdown" ma:internalName="Status">
      <xsd:simpleType>
        <xsd:union memberTypes="dms:Text">
          <xsd:simpleType>
            <xsd:restriction base="dms:Choice">
              <xsd:enumeration value="NA"/>
              <xsd:enumeration value="Draft"/>
              <xsd:enumeration value="Final submitted"/>
              <xsd:enumeration value="Final client comments"/>
              <xsd:enumeration value="Final approved"/>
            </xsd:restriction>
          </xsd:simpleType>
        </xsd:union>
      </xsd:simpleType>
    </xsd:element>
    <xsd:element name="Project_x0020_Use" ma:index="9" nillable="true" ma:displayName="Project Use" ma:format="Dropdown" ma:internalName="Project_x0020_Use">
      <xsd:simpleType>
        <xsd:restriction base="dms:Choice">
          <xsd:enumeration value="Coordination / management"/>
          <xsd:enumeration value="Meeting / outreach information"/>
          <xsd:enumeration value="Graphic / illustration / concept"/>
          <xsd:enumeration value="Data / analysis / model"/>
          <xsd:enumeration value="Report / paper / memorandum"/>
          <xsd:enumeration value="Background / resource information"/>
          <xsd:enumeration value="Other"/>
        </xsd:restriction>
      </xsd:simpleType>
    </xsd:element>
    <xsd:element name="Primary_x0020_Audience" ma:index="10" nillable="true" ma:displayName="Primary Audience" ma:format="Dropdown" ma:internalName="Primary_x0020_Audience">
      <xsd:simpleType>
        <xsd:restriction base="dms:Choice">
          <xsd:enumeration value="External / public"/>
          <xsd:enumeration value="Client"/>
          <xsd:enumeration value="Project consulting team"/>
          <xsd:enumeration value="Renaissance project team"/>
          <xsd:enumeration value="Other"/>
        </xsd:restriction>
      </xsd:simpleType>
    </xsd:element>
  </xsd:schema>
  <xsd:schema xmlns:xsd="http://www.w3.org/2001/XMLSchema" xmlns:xs="http://www.w3.org/2001/XMLSchema" xmlns:dms="http://schemas.microsoft.com/office/2006/documentManagement/types" xmlns:pc="http://schemas.microsoft.com/office/infopath/2007/PartnerControls" targetNamespace="e86cb381-5c01-4b57-b905-007c920881c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AutoTags" ma:index="17" nillable="true" ma:displayName="Tags" ma:internalName="MediaServiceAutoTags"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3d37c51-de62-4c07-9dce-c6fca7b41c2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BBB9320-863E-4451-9066-801661F69252}">
  <ds:schemaRefs>
    <ds:schemaRef ds:uri="http://schemas.microsoft.com/sharepoint/v3/contenttype/forms"/>
  </ds:schemaRefs>
</ds:datastoreItem>
</file>

<file path=customXml/itemProps2.xml><?xml version="1.0" encoding="utf-8"?>
<ds:datastoreItem xmlns:ds="http://schemas.openxmlformats.org/officeDocument/2006/customXml" ds:itemID="{C2696DEC-3799-41DC-AE81-50B11C87380E}">
  <ds:schemaRefs>
    <ds:schemaRef ds:uri="http://schemas.microsoft.com/office/2006/metadata/properties"/>
    <ds:schemaRef ds:uri="http://schemas.microsoft.com/office/infopath/2007/PartnerControls"/>
    <ds:schemaRef ds:uri="E86CB381-5C01-4B57-B905-007C920881CB"/>
    <ds:schemaRef ds:uri="23d37c51-de62-4c07-9dce-c6fca7b41c24"/>
  </ds:schemaRefs>
</ds:datastoreItem>
</file>

<file path=customXml/itemProps3.xml><?xml version="1.0" encoding="utf-8"?>
<ds:datastoreItem xmlns:ds="http://schemas.openxmlformats.org/officeDocument/2006/customXml" ds:itemID="{EE2E0627-D7D4-4A56-A0F0-BFC44D55B64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86CB381-5C01-4B57-B905-007C920881CB"/>
    <ds:schemaRef ds:uri="e86cb381-5c01-4b57-b905-007c920881cb"/>
    <ds:schemaRef ds:uri="23d37c51-de62-4c07-9dce-c6fca7b41c2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TOC</vt:lpstr>
      <vt:lpstr>ContextAreas_Map</vt:lpstr>
      <vt:lpstr>Calc_Worksheet</vt:lpstr>
      <vt:lpstr>FEE_ByContextArea</vt:lpstr>
      <vt:lpstr>FEE_ByContextArea_ByMode</vt:lpstr>
      <vt:lpstr>MF_ByContextArea</vt:lpstr>
      <vt:lpstr>FEE_1_In</vt:lpstr>
      <vt:lpstr>FEE_1_Out</vt:lpstr>
      <vt:lpstr>FEE_2_In</vt:lpstr>
      <vt:lpstr>FEE_2_Out</vt:lpstr>
      <vt:lpstr>FEE_3_In</vt:lpstr>
      <vt:lpstr>FEE_3_Out</vt:lpstr>
      <vt:lpstr>FEE_4_In</vt:lpstr>
      <vt:lpstr>FEE_4_Out</vt:lpstr>
      <vt:lpstr>ITE_LUC_Rates</vt:lpstr>
      <vt:lpstr>ITECountywide</vt:lpstr>
      <vt:lpstr>Passby_Length_Adj</vt:lpstr>
      <vt:lpstr>SurveyTripLengthsAndPassBy</vt:lpstr>
      <vt:lpstr>2045_24hr_all_productions</vt:lpstr>
      <vt:lpstr>2045_24hr_all_attractions</vt:lpstr>
      <vt:lpstr>RoadCapCost</vt:lpstr>
      <vt:lpstr>TransitCapCost</vt:lpstr>
      <vt:lpstr>WalkBikeCapCost</vt:lpstr>
      <vt:lpstr>Credits</vt:lpstr>
      <vt:lpstr>CurrentFee_RIF</vt:lpstr>
      <vt:lpstr>RoadFeeCalc</vt:lpstr>
      <vt:lpstr>RIFvMIF (Simple)</vt:lpstr>
      <vt:lpstr>RIFvMIF (Detailed)</vt:lpstr>
      <vt:lpstr>ImpTypePct</vt:lpstr>
    </vt:vector>
  </TitlesOfParts>
  <Manager>RPG</Manager>
  <Company>RPG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Mobility Fee Calculator V3</dc:title>
  <dc:subject>Mobility Fee Calculator V3</dc:subject>
  <dc:creator>RPG;kmalo@citiesthatwork.com;csinclair@citiesthatwork.com;dhardy@citiesthatwork.com;JLehman@citiesthatwork.com;NEstevez@citiesthatwork.com</dc:creator>
  <cp:keywords>mobility fee, impact fee, RIF, lrtp, transit, multimodal</cp:keywords>
  <dc:description>V3 April - May 2021</dc:description>
  <cp:lastModifiedBy>Charles Rudder</cp:lastModifiedBy>
  <cp:revision/>
  <dcterms:created xsi:type="dcterms:W3CDTF">2020-07-08T18:56:16Z</dcterms:created>
  <dcterms:modified xsi:type="dcterms:W3CDTF">2021-08-11T17:11:54Z</dcterms:modified>
  <cp:category>miami-dade</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0x010100E552BEBB70811D4A9B208134DE8F89A7</vt:lpwstr>
  </property>
</Properties>
</file>